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8" windowWidth="14184" windowHeight="8016" tabRatio="602" firstSheet="15" activeTab="18"/>
  </bookViews>
  <sheets>
    <sheet name="ZONE TOOL" sheetId="1" r:id="rId1"/>
    <sheet name="MOTOR_AC" sheetId="4" r:id="rId2"/>
    <sheet name="MOTOR_WC" sheetId="2" r:id="rId3"/>
    <sheet name="TRFO" sheetId="3" r:id="rId4"/>
    <sheet name="GAS_CLASS" sheetId="5" r:id="rId5"/>
    <sheet name="MOONPOOL" sheetId="6" r:id="rId6"/>
    <sheet name="GAUGES" sheetId="7" r:id="rId7"/>
    <sheet name="Roughness" sheetId="8" r:id="rId8"/>
    <sheet name="AIR_TABLES" sheetId="9" r:id="rId9"/>
    <sheet name="AIR_PROP" sheetId="26" r:id="rId10"/>
    <sheet name="Door_force" sheetId="10" r:id="rId11"/>
    <sheet name="LEAKAGE" sheetId="29" r:id="rId12"/>
    <sheet name="useful websites" sheetId="32" r:id="rId13"/>
    <sheet name="LOUVER" sheetId="11" r:id="rId14"/>
    <sheet name="Pressure_drop" sheetId="30" r:id="rId15"/>
    <sheet name="DoubleWallPipe" sheetId="15" r:id="rId16"/>
    <sheet name="PressureConvert" sheetId="16" r:id="rId17"/>
    <sheet name="Axial_Fan_Size" sheetId="17" r:id="rId18"/>
    <sheet name="SOLAS" sheetId="18" r:id="rId19"/>
    <sheet name="ICLL" sheetId="34" r:id="rId20"/>
    <sheet name="Compartment_heat_up" sheetId="19" r:id="rId21"/>
    <sheet name="Engine_pressure" sheetId="20" r:id="rId22"/>
    <sheet name="Compressor_power" sheetId="21" r:id="rId23"/>
    <sheet name="Hydrogen" sheetId="22" r:id="rId24"/>
    <sheet name="PRESS_CONTROL" sheetId="27" r:id="rId25"/>
    <sheet name="Cargo_rail_openings" sheetId="28" r:id="rId26"/>
    <sheet name="steels" sheetId="31" r:id="rId27"/>
    <sheet name="battery" sheetId="33" r:id="rId28"/>
    <sheet name="coamings" sheetId="35" r:id="rId29"/>
  </sheets>
  <externalReferences>
    <externalReference r:id="rId30"/>
  </externalReferences>
  <definedNames>
    <definedName name="_xlnm._FilterDatabase" localSheetId="1" hidden="1">MOTOR_AC!$A$4:$R$29</definedName>
    <definedName name="decks">[1]Lists!$C$1:$C$13</definedName>
    <definedName name="Patm" localSheetId="9">AIR_PROP!$B$3</definedName>
    <definedName name="Patm">#REF!</definedName>
    <definedName name="_xlnm.Print_Area" localSheetId="9">AIR_PROP!$A$1:$F$26</definedName>
    <definedName name="_xlnm.Print_Area" localSheetId="15">DoubleWallPipe!#REF!</definedName>
    <definedName name="units">PressureConvert!$B$1:$L$1</definedName>
  </definedNames>
  <calcPr calcId="152511"/>
</workbook>
</file>

<file path=xl/calcChain.xml><?xml version="1.0" encoding="utf-8"?>
<calcChain xmlns="http://schemas.openxmlformats.org/spreadsheetml/2006/main">
  <c r="E10" i="18" l="1"/>
  <c r="I4" i="33" l="1"/>
  <c r="I5" i="33"/>
  <c r="I6" i="33"/>
  <c r="I7" i="33"/>
  <c r="I8" i="33"/>
  <c r="B13" i="33"/>
  <c r="H4" i="33"/>
  <c r="H5" i="33"/>
  <c r="H6" i="33"/>
  <c r="H7" i="33"/>
  <c r="H8" i="33"/>
  <c r="H3" i="33"/>
  <c r="F2" i="1" l="1"/>
  <c r="E7" i="1"/>
  <c r="J9" i="1"/>
  <c r="C16" i="19" l="1"/>
  <c r="B13" i="19"/>
  <c r="D13" i="19"/>
  <c r="A8" i="16" l="1"/>
  <c r="A7" i="16"/>
  <c r="A6" i="16"/>
  <c r="A5" i="16"/>
  <c r="A4" i="16"/>
  <c r="B20" i="26"/>
  <c r="B31" i="26"/>
  <c r="B18" i="16" l="1"/>
  <c r="F25" i="10" l="1"/>
  <c r="C20" i="10"/>
  <c r="H20" i="10"/>
  <c r="L20" i="10"/>
  <c r="G20" i="28" l="1"/>
  <c r="C20" i="28"/>
  <c r="C29" i="28"/>
  <c r="Z22" i="28"/>
  <c r="Q7" i="28"/>
  <c r="H7" i="28"/>
  <c r="V22" i="28"/>
  <c r="M7" i="28"/>
  <c r="D7" i="28"/>
  <c r="C8" i="28"/>
  <c r="G8" i="28"/>
  <c r="L8" i="28"/>
  <c r="P8" i="28"/>
  <c r="Q5" i="28" s="1"/>
  <c r="Y23" i="28"/>
  <c r="U23" i="28"/>
  <c r="Y16" i="28"/>
  <c r="G31" i="28"/>
  <c r="P31" i="28"/>
  <c r="P16" i="28"/>
  <c r="G16" i="28"/>
  <c r="Y31" i="28"/>
  <c r="Z29" i="28" l="1"/>
  <c r="P26" i="28"/>
  <c r="P25" i="28"/>
  <c r="P24" i="28"/>
  <c r="Y10" i="28"/>
  <c r="Y30" i="28"/>
  <c r="U30" i="28"/>
  <c r="Y29" i="28"/>
  <c r="U29" i="28"/>
  <c r="Y28" i="28"/>
  <c r="U28" i="28"/>
  <c r="Y27" i="28"/>
  <c r="U27" i="28"/>
  <c r="Y26" i="28"/>
  <c r="U26" i="28"/>
  <c r="Y25" i="28"/>
  <c r="U25" i="28"/>
  <c r="Y24" i="28"/>
  <c r="U24" i="28"/>
  <c r="Y20" i="28"/>
  <c r="U20" i="28"/>
  <c r="Y15" i="28"/>
  <c r="U15" i="28"/>
  <c r="Y14" i="28"/>
  <c r="U14" i="28"/>
  <c r="Y13" i="28"/>
  <c r="U13" i="28"/>
  <c r="Y12" i="28"/>
  <c r="Y8" i="28" s="1"/>
  <c r="U12" i="28"/>
  <c r="U8" i="28" s="1"/>
  <c r="Y11" i="28"/>
  <c r="U11" i="28"/>
  <c r="U10" i="28"/>
  <c r="Y9" i="28"/>
  <c r="U9" i="28"/>
  <c r="Y5" i="28"/>
  <c r="U5" i="28"/>
  <c r="P30" i="28"/>
  <c r="L30" i="28"/>
  <c r="P29" i="28"/>
  <c r="L29" i="28"/>
  <c r="P28" i="28"/>
  <c r="L28" i="28"/>
  <c r="P27" i="28"/>
  <c r="P23" i="28" s="1"/>
  <c r="Q29" i="28" s="1"/>
  <c r="L27" i="28"/>
  <c r="L23" i="28" s="1"/>
  <c r="L26" i="28"/>
  <c r="L25" i="28"/>
  <c r="L24" i="28"/>
  <c r="P20" i="28"/>
  <c r="L20" i="28"/>
  <c r="P15" i="28"/>
  <c r="L15" i="28"/>
  <c r="P14" i="28"/>
  <c r="L14" i="28"/>
  <c r="P13" i="28"/>
  <c r="L13" i="28"/>
  <c r="P12" i="28"/>
  <c r="L12" i="28"/>
  <c r="P11" i="28"/>
  <c r="L11" i="28"/>
  <c r="P10" i="28"/>
  <c r="L10" i="28"/>
  <c r="P9" i="28"/>
  <c r="L9" i="28"/>
  <c r="P5" i="28"/>
  <c r="L5" i="28"/>
  <c r="G30" i="28"/>
  <c r="C30" i="28"/>
  <c r="G29" i="28"/>
  <c r="C23" i="28"/>
  <c r="G28" i="28"/>
  <c r="C28" i="28"/>
  <c r="G27" i="28"/>
  <c r="G23" i="28" s="1"/>
  <c r="C27" i="28"/>
  <c r="G26" i="28"/>
  <c r="C26" i="28"/>
  <c r="G25" i="28"/>
  <c r="C25" i="28"/>
  <c r="G24" i="28"/>
  <c r="C24" i="28"/>
  <c r="G15" i="28"/>
  <c r="G14" i="28"/>
  <c r="G13" i="28"/>
  <c r="G12" i="28"/>
  <c r="G11" i="28"/>
  <c r="G10" i="28"/>
  <c r="G9" i="28"/>
  <c r="G5" i="28"/>
  <c r="C11" i="28"/>
  <c r="C12" i="28"/>
  <c r="C13" i="28"/>
  <c r="C14" i="28"/>
  <c r="C15" i="28"/>
  <c r="C10" i="28"/>
  <c r="C9" i="28"/>
  <c r="C5" i="28"/>
  <c r="V7" i="28" l="1"/>
  <c r="Z7" i="28"/>
  <c r="D22" i="28"/>
  <c r="H22" i="28"/>
  <c r="M22" i="28"/>
  <c r="Q22" i="28"/>
  <c r="M20" i="28"/>
  <c r="V20" i="28"/>
  <c r="Z5" i="28"/>
  <c r="Z20" i="28"/>
  <c r="D20" i="28"/>
  <c r="H5" i="28"/>
  <c r="B3" i="26"/>
  <c r="G30" i="26" s="1"/>
  <c r="D12" i="26"/>
  <c r="C10" i="26"/>
  <c r="G20" i="26"/>
  <c r="E12" i="26"/>
  <c r="B24" i="26"/>
  <c r="C23" i="26"/>
  <c r="D11" i="26"/>
  <c r="G12" i="26"/>
  <c r="F33" i="26"/>
  <c r="D34" i="26"/>
  <c r="G11" i="26"/>
  <c r="F35" i="26"/>
  <c r="B10" i="26"/>
  <c r="F34" i="26"/>
  <c r="G23" i="26"/>
  <c r="F31" i="26"/>
  <c r="F11" i="26"/>
  <c r="G24" i="26"/>
  <c r="C11" i="26"/>
  <c r="C33" i="26"/>
  <c r="B35" i="26"/>
  <c r="E24" i="26"/>
  <c r="D35" i="26"/>
  <c r="B34" i="26"/>
  <c r="D13" i="26"/>
  <c r="E23" i="26"/>
  <c r="D23" i="26"/>
  <c r="F20" i="26"/>
  <c r="E35" i="26"/>
  <c r="B23" i="26"/>
  <c r="F10" i="26"/>
  <c r="B13" i="26"/>
  <c r="E31" i="26"/>
  <c r="G31" i="26"/>
  <c r="G33" i="26"/>
  <c r="C12" i="26"/>
  <c r="G13" i="26"/>
  <c r="B33" i="26"/>
  <c r="F22" i="26"/>
  <c r="D33" i="26"/>
  <c r="E13" i="26"/>
  <c r="G10" i="26"/>
  <c r="B9" i="26"/>
  <c r="G9" i="26"/>
  <c r="E10" i="26"/>
  <c r="C31" i="26"/>
  <c r="F24" i="26"/>
  <c r="C35" i="26"/>
  <c r="D20" i="26"/>
  <c r="D24" i="26"/>
  <c r="D22" i="26"/>
  <c r="E9" i="26"/>
  <c r="C20" i="26"/>
  <c r="F23" i="26"/>
  <c r="B12" i="26"/>
  <c r="B11" i="26"/>
  <c r="C34" i="26"/>
  <c r="E22" i="26"/>
  <c r="F13" i="26"/>
  <c r="D31" i="26"/>
  <c r="G35" i="26"/>
  <c r="E11" i="26"/>
  <c r="E33" i="26"/>
  <c r="E20" i="26"/>
  <c r="C9" i="26"/>
  <c r="F9" i="26"/>
  <c r="G34" i="26"/>
  <c r="C13" i="26"/>
  <c r="D10" i="26"/>
  <c r="B22" i="26"/>
  <c r="E34" i="26"/>
  <c r="D9" i="26"/>
  <c r="C24" i="26"/>
  <c r="C22" i="26"/>
  <c r="F12" i="26"/>
  <c r="G22" i="26"/>
  <c r="H20" i="28" l="1"/>
  <c r="H31" i="28" s="1"/>
  <c r="C31" i="28" s="1"/>
  <c r="H29" i="28"/>
  <c r="V5" i="28"/>
  <c r="Z14" i="28"/>
  <c r="M5" i="28"/>
  <c r="Q14" i="28"/>
  <c r="D5" i="28"/>
  <c r="H16" i="28" s="1"/>
  <c r="C16" i="28" s="1"/>
  <c r="H14" i="28"/>
  <c r="Q20" i="28"/>
  <c r="Q31" i="28" s="1"/>
  <c r="L31" i="28" s="1"/>
  <c r="Z31" i="28"/>
  <c r="U31" i="28" s="1"/>
  <c r="Z16" i="28"/>
  <c r="U16" i="28" s="1"/>
  <c r="F30" i="26"/>
  <c r="G8" i="26"/>
  <c r="E30" i="26"/>
  <c r="F8" i="26"/>
  <c r="G19" i="26"/>
  <c r="D30" i="26"/>
  <c r="E8" i="26"/>
  <c r="F19" i="26"/>
  <c r="C30" i="26"/>
  <c r="D8" i="26"/>
  <c r="E19" i="26"/>
  <c r="C8" i="26"/>
  <c r="D19" i="26"/>
  <c r="B30" i="26"/>
  <c r="C19" i="26"/>
  <c r="B8" i="26"/>
  <c r="B19" i="26"/>
  <c r="Q16" i="28" l="1"/>
  <c r="L16" i="28" s="1"/>
  <c r="D8" i="21"/>
  <c r="B10" i="21"/>
  <c r="B19" i="21" s="1"/>
  <c r="B11" i="21"/>
  <c r="B15" i="21"/>
  <c r="E29" i="10" l="1"/>
  <c r="L24" i="10"/>
  <c r="I24" i="10"/>
  <c r="J24" i="10" s="1"/>
  <c r="D24" i="10"/>
  <c r="I11" i="19"/>
  <c r="I13" i="19" s="1"/>
  <c r="I10" i="19"/>
  <c r="I12" i="19" s="1"/>
  <c r="G24" i="10" l="1"/>
  <c r="C29" i="10"/>
  <c r="E13" i="19"/>
  <c r="C5" i="19"/>
  <c r="C6" i="19" s="1"/>
  <c r="D5" i="19"/>
  <c r="D6" i="19" s="1"/>
  <c r="E5" i="19"/>
  <c r="E6" i="19" s="1"/>
  <c r="B5" i="19"/>
  <c r="E32" i="18"/>
  <c r="E33" i="18" s="1"/>
  <c r="E11" i="18"/>
  <c r="E16" i="4"/>
  <c r="B13" i="9"/>
  <c r="B14" i="9"/>
  <c r="B15" i="9"/>
  <c r="B16" i="9"/>
  <c r="B17" i="9"/>
  <c r="B18" i="9"/>
  <c r="B19" i="9"/>
  <c r="B20" i="9"/>
  <c r="B21" i="9"/>
  <c r="B22" i="9"/>
  <c r="B23" i="9"/>
  <c r="B24" i="9"/>
  <c r="B25" i="9"/>
  <c r="B26" i="9"/>
  <c r="B27" i="9"/>
  <c r="B28" i="9"/>
  <c r="B29" i="9"/>
  <c r="B12" i="9"/>
  <c r="A5" i="9"/>
  <c r="A6" i="9"/>
  <c r="A7" i="9"/>
  <c r="A8" i="9"/>
  <c r="A9" i="9"/>
  <c r="A10" i="9"/>
  <c r="A4" i="9"/>
  <c r="F26" i="9"/>
  <c r="F27" i="9"/>
  <c r="F28" i="9"/>
  <c r="F29" i="9"/>
  <c r="F13" i="9"/>
  <c r="F14" i="9"/>
  <c r="F15" i="9"/>
  <c r="F16" i="9"/>
  <c r="F17" i="9"/>
  <c r="F18" i="9"/>
  <c r="F19" i="9"/>
  <c r="F20" i="9"/>
  <c r="F21" i="9"/>
  <c r="F22" i="9"/>
  <c r="F23" i="9"/>
  <c r="F24" i="9"/>
  <c r="F25" i="9"/>
  <c r="F12" i="9"/>
  <c r="J2" i="16"/>
  <c r="J9" i="16" s="1"/>
  <c r="I2" i="16"/>
  <c r="I10" i="16" s="1"/>
  <c r="H2" i="16"/>
  <c r="G2" i="16"/>
  <c r="F2" i="16"/>
  <c r="E2" i="16"/>
  <c r="D2" i="16"/>
  <c r="C2" i="16"/>
  <c r="B4" i="16" s="1"/>
  <c r="W10" i="4"/>
  <c r="Q6" i="15"/>
  <c r="Q13" i="15" s="1"/>
  <c r="J26" i="15" s="1"/>
  <c r="Q4" i="15"/>
  <c r="B6" i="15"/>
  <c r="E6" i="15" s="1"/>
  <c r="F6" i="15" s="1"/>
  <c r="N6" i="15" s="1"/>
  <c r="J6" i="15"/>
  <c r="B13" i="15"/>
  <c r="B14" i="15"/>
  <c r="N15" i="15"/>
  <c r="T19" i="15"/>
  <c r="U19" i="15"/>
  <c r="B21" i="15"/>
  <c r="E21" i="15" s="1"/>
  <c r="F21" i="15" s="1"/>
  <c r="N21" i="15" s="1"/>
  <c r="J21" i="15"/>
  <c r="B22" i="15"/>
  <c r="E22" i="15"/>
  <c r="F22" i="15" s="1"/>
  <c r="N22" i="15" s="1"/>
  <c r="J22" i="15"/>
  <c r="N23" i="15"/>
  <c r="B24" i="15"/>
  <c r="E24" i="15" s="1"/>
  <c r="F24" i="15" s="1"/>
  <c r="N24" i="15" s="1"/>
  <c r="J24" i="15"/>
  <c r="B25" i="15"/>
  <c r="E25" i="15" s="1"/>
  <c r="F25" i="15" s="1"/>
  <c r="N25" i="15" s="1"/>
  <c r="J25" i="15"/>
  <c r="B26" i="15"/>
  <c r="B27" i="15"/>
  <c r="B28" i="15"/>
  <c r="E28" i="15" s="1"/>
  <c r="F28" i="15" s="1"/>
  <c r="N28" i="15" s="1"/>
  <c r="J28" i="15"/>
  <c r="N40" i="15"/>
  <c r="L43" i="15"/>
  <c r="B36" i="15" s="1"/>
  <c r="E36" i="15" s="1"/>
  <c r="F36" i="15" s="1"/>
  <c r="N36" i="15" s="1"/>
  <c r="B5" i="16" l="1"/>
  <c r="C4" i="16"/>
  <c r="H4" i="16"/>
  <c r="B6" i="16"/>
  <c r="C7" i="16"/>
  <c r="B7" i="16"/>
  <c r="D10" i="16"/>
  <c r="I7" i="16"/>
  <c r="I9" i="16"/>
  <c r="E9" i="16"/>
  <c r="D4" i="16"/>
  <c r="E3" i="16"/>
  <c r="J8" i="16"/>
  <c r="D6" i="16"/>
  <c r="E4" i="16"/>
  <c r="D3" i="16"/>
  <c r="I8" i="16"/>
  <c r="H9" i="16"/>
  <c r="C5" i="16"/>
  <c r="H3" i="16"/>
  <c r="J6" i="16"/>
  <c r="F5" i="16"/>
  <c r="H10" i="16"/>
  <c r="B8" i="16"/>
  <c r="J5" i="16"/>
  <c r="G4" i="16"/>
  <c r="E10" i="16"/>
  <c r="J7" i="16"/>
  <c r="E5" i="16"/>
  <c r="G10" i="16"/>
  <c r="F10" i="16"/>
  <c r="F9" i="16"/>
  <c r="F8" i="16"/>
  <c r="I5" i="16"/>
  <c r="R5" i="15"/>
  <c r="B3" i="16"/>
  <c r="C3" i="16"/>
  <c r="C10" i="16"/>
  <c r="D9" i="16"/>
  <c r="E8" i="16"/>
  <c r="F7" i="16"/>
  <c r="G6" i="16"/>
  <c r="H5" i="16"/>
  <c r="I4" i="16"/>
  <c r="G3" i="16"/>
  <c r="F3" i="16"/>
  <c r="G9" i="16"/>
  <c r="H8" i="16"/>
  <c r="G8" i="16"/>
  <c r="H7" i="16"/>
  <c r="I6" i="16"/>
  <c r="G7" i="16"/>
  <c r="H6" i="16"/>
  <c r="J4" i="16"/>
  <c r="J3" i="16"/>
  <c r="J10" i="16"/>
  <c r="B10" i="16"/>
  <c r="C9" i="16"/>
  <c r="D8" i="16"/>
  <c r="E7" i="16"/>
  <c r="F6" i="16"/>
  <c r="G5" i="16"/>
  <c r="F4" i="16"/>
  <c r="I3" i="16"/>
  <c r="B9" i="16"/>
  <c r="C8" i="16"/>
  <c r="D7" i="16"/>
  <c r="E6" i="16"/>
  <c r="C6" i="16"/>
  <c r="D5" i="16"/>
  <c r="F5" i="19"/>
  <c r="B6" i="19"/>
  <c r="F6" i="19" s="1"/>
  <c r="T15" i="15"/>
  <c r="E27" i="15"/>
  <c r="F27" i="15" s="1"/>
  <c r="N27" i="15" s="1"/>
  <c r="E14" i="15"/>
  <c r="F14" i="15" s="1"/>
  <c r="N14" i="15" s="1"/>
  <c r="J27" i="15"/>
  <c r="J14" i="15"/>
  <c r="J13" i="15"/>
  <c r="U15" i="15"/>
  <c r="T16" i="15"/>
  <c r="T17" i="15" s="1"/>
  <c r="U16" i="15"/>
  <c r="U17" i="15" s="1"/>
  <c r="W5" i="15" s="1"/>
  <c r="E13" i="15"/>
  <c r="F13" i="15" s="1"/>
  <c r="N13" i="15" s="1"/>
  <c r="N16" i="15" s="1"/>
  <c r="B39" i="15"/>
  <c r="E39" i="15" s="1"/>
  <c r="F39" i="15" s="1"/>
  <c r="N39" i="15" s="1"/>
  <c r="B37" i="15"/>
  <c r="E37" i="15" s="1"/>
  <c r="F37" i="15" s="1"/>
  <c r="N37" i="15" s="1"/>
  <c r="B35" i="15"/>
  <c r="E35" i="15" s="1"/>
  <c r="F35" i="15" s="1"/>
  <c r="N35" i="15" s="1"/>
  <c r="E26" i="15"/>
  <c r="F26" i="15" s="1"/>
  <c r="N26" i="15" s="1"/>
  <c r="B38" i="15"/>
  <c r="E38" i="15" s="1"/>
  <c r="F38" i="15" s="1"/>
  <c r="N38" i="15" s="1"/>
  <c r="S5" i="4"/>
  <c r="S6" i="4"/>
  <c r="S7" i="4"/>
  <c r="S8" i="4"/>
  <c r="S9" i="4"/>
  <c r="S10" i="4"/>
  <c r="S11" i="4"/>
  <c r="S12" i="4"/>
  <c r="S13" i="4"/>
  <c r="S14" i="4"/>
  <c r="S15" i="4"/>
  <c r="S16" i="4"/>
  <c r="S17" i="4"/>
  <c r="S18" i="4"/>
  <c r="S19" i="4"/>
  <c r="S20" i="4"/>
  <c r="S21" i="4"/>
  <c r="S22" i="4"/>
  <c r="S23" i="4"/>
  <c r="S24" i="4"/>
  <c r="S25" i="4"/>
  <c r="S26" i="4"/>
  <c r="S27" i="4"/>
  <c r="S28" i="4"/>
  <c r="S29" i="4"/>
  <c r="S4" i="4"/>
  <c r="Q5" i="4"/>
  <c r="Q6" i="4"/>
  <c r="Q7" i="4"/>
  <c r="Q8" i="4"/>
  <c r="Q9" i="4"/>
  <c r="Q10" i="4"/>
  <c r="Q11" i="4"/>
  <c r="Q12" i="4"/>
  <c r="Q13" i="4"/>
  <c r="Q14" i="4"/>
  <c r="Q15" i="4"/>
  <c r="Q16" i="4"/>
  <c r="Q17" i="4"/>
  <c r="Q18" i="4"/>
  <c r="Q19" i="4"/>
  <c r="Q20" i="4"/>
  <c r="Q21" i="4"/>
  <c r="Q22" i="4"/>
  <c r="Q23" i="4"/>
  <c r="Q24" i="4"/>
  <c r="Q25" i="4"/>
  <c r="Q26" i="4"/>
  <c r="Q27" i="4"/>
  <c r="Q28" i="4"/>
  <c r="Q29" i="4"/>
  <c r="Q4" i="4"/>
  <c r="O5" i="4"/>
  <c r="O6" i="4"/>
  <c r="O7" i="4"/>
  <c r="O8" i="4"/>
  <c r="O9" i="4"/>
  <c r="O10" i="4"/>
  <c r="O11" i="4"/>
  <c r="O12" i="4"/>
  <c r="O13" i="4"/>
  <c r="O14" i="4"/>
  <c r="O15" i="4"/>
  <c r="O16" i="4"/>
  <c r="O17" i="4"/>
  <c r="O18" i="4"/>
  <c r="O19" i="4"/>
  <c r="O20" i="4"/>
  <c r="O21" i="4"/>
  <c r="O22" i="4"/>
  <c r="O23" i="4"/>
  <c r="O24" i="4"/>
  <c r="O25" i="4"/>
  <c r="O26" i="4"/>
  <c r="O27" i="4"/>
  <c r="O28" i="4"/>
  <c r="O29" i="4"/>
  <c r="O4" i="4"/>
  <c r="M5" i="4"/>
  <c r="M6" i="4"/>
  <c r="M7" i="4"/>
  <c r="M8" i="4"/>
  <c r="M9" i="4"/>
  <c r="M10" i="4"/>
  <c r="M11" i="4"/>
  <c r="M12" i="4"/>
  <c r="M13" i="4"/>
  <c r="M14" i="4"/>
  <c r="M15" i="4"/>
  <c r="M16" i="4"/>
  <c r="M17" i="4"/>
  <c r="M18" i="4"/>
  <c r="M19" i="4"/>
  <c r="M20" i="4"/>
  <c r="M21" i="4"/>
  <c r="M22" i="4"/>
  <c r="M23" i="4"/>
  <c r="M24" i="4"/>
  <c r="M25" i="4"/>
  <c r="M26" i="4"/>
  <c r="M27" i="4"/>
  <c r="M28" i="4"/>
  <c r="M29" i="4"/>
  <c r="M4" i="4"/>
  <c r="K29" i="4"/>
  <c r="K5" i="4"/>
  <c r="K6" i="4"/>
  <c r="K7" i="4"/>
  <c r="K8" i="4"/>
  <c r="K9" i="4"/>
  <c r="K10" i="4"/>
  <c r="K11" i="4"/>
  <c r="K12" i="4"/>
  <c r="K13" i="4"/>
  <c r="K14" i="4"/>
  <c r="K15" i="4"/>
  <c r="K16" i="4"/>
  <c r="K17" i="4"/>
  <c r="K18" i="4"/>
  <c r="K19" i="4"/>
  <c r="K20" i="4"/>
  <c r="K21" i="4"/>
  <c r="K22" i="4"/>
  <c r="K23" i="4"/>
  <c r="K24" i="4"/>
  <c r="K25" i="4"/>
  <c r="K26" i="4"/>
  <c r="K27" i="4"/>
  <c r="K28" i="4"/>
  <c r="K4" i="4"/>
  <c r="I5" i="4"/>
  <c r="I6" i="4"/>
  <c r="I7" i="4"/>
  <c r="I8" i="4"/>
  <c r="I9" i="4"/>
  <c r="I10" i="4"/>
  <c r="I11" i="4"/>
  <c r="I12" i="4"/>
  <c r="I13" i="4"/>
  <c r="I14" i="4"/>
  <c r="I15" i="4"/>
  <c r="I16" i="4"/>
  <c r="I17" i="4"/>
  <c r="I18" i="4"/>
  <c r="I19" i="4"/>
  <c r="I20" i="4"/>
  <c r="I21" i="4"/>
  <c r="I22" i="4"/>
  <c r="I23" i="4"/>
  <c r="I24" i="4"/>
  <c r="I25" i="4"/>
  <c r="I26" i="4"/>
  <c r="I27" i="4"/>
  <c r="I28" i="4"/>
  <c r="I29" i="4"/>
  <c r="I4" i="4"/>
  <c r="G5" i="4"/>
  <c r="G6" i="4"/>
  <c r="G7" i="4"/>
  <c r="G8" i="4"/>
  <c r="G9" i="4"/>
  <c r="G10" i="4"/>
  <c r="G11" i="4"/>
  <c r="G12" i="4"/>
  <c r="G13" i="4"/>
  <c r="G14" i="4"/>
  <c r="G15" i="4"/>
  <c r="G16" i="4"/>
  <c r="G17" i="4"/>
  <c r="G18" i="4"/>
  <c r="G19" i="4"/>
  <c r="G20" i="4"/>
  <c r="G21" i="4"/>
  <c r="G22" i="4"/>
  <c r="G23" i="4"/>
  <c r="G24" i="4"/>
  <c r="G25" i="4"/>
  <c r="G26" i="4"/>
  <c r="G27" i="4"/>
  <c r="G28" i="4"/>
  <c r="G29" i="4"/>
  <c r="G4" i="4"/>
  <c r="E5" i="4"/>
  <c r="E6" i="4"/>
  <c r="E7" i="4"/>
  <c r="E8" i="4"/>
  <c r="E9" i="4"/>
  <c r="E10" i="4"/>
  <c r="E11" i="4"/>
  <c r="E12" i="4"/>
  <c r="E13" i="4"/>
  <c r="E14" i="4"/>
  <c r="E15" i="4"/>
  <c r="E17" i="4"/>
  <c r="E18" i="4"/>
  <c r="E19" i="4"/>
  <c r="E20" i="4"/>
  <c r="E21" i="4"/>
  <c r="E22" i="4"/>
  <c r="E23" i="4"/>
  <c r="E24" i="4"/>
  <c r="E25" i="4"/>
  <c r="E26" i="4"/>
  <c r="E27" i="4"/>
  <c r="E28" i="4"/>
  <c r="E29" i="4"/>
  <c r="E4" i="4"/>
  <c r="C5" i="4"/>
  <c r="C6" i="4"/>
  <c r="C7" i="4"/>
  <c r="C8" i="4"/>
  <c r="C9" i="4"/>
  <c r="C10" i="4"/>
  <c r="C11" i="4"/>
  <c r="C12" i="4"/>
  <c r="C13" i="4"/>
  <c r="C14" i="4"/>
  <c r="C15" i="4"/>
  <c r="C16" i="4"/>
  <c r="C17" i="4"/>
  <c r="C18" i="4"/>
  <c r="C19" i="4"/>
  <c r="C20" i="4"/>
  <c r="C21" i="4"/>
  <c r="C22" i="4"/>
  <c r="C23" i="4"/>
  <c r="C24" i="4"/>
  <c r="C25" i="4"/>
  <c r="C26" i="4"/>
  <c r="C27" i="4"/>
  <c r="C28" i="4"/>
  <c r="C29" i="4"/>
  <c r="C4" i="4"/>
  <c r="W11" i="4"/>
  <c r="D13" i="11"/>
  <c r="E13" i="11"/>
  <c r="F13" i="11"/>
  <c r="G13" i="11"/>
  <c r="H13" i="11"/>
  <c r="I13" i="11"/>
  <c r="J13" i="11"/>
  <c r="E12" i="11"/>
  <c r="F12" i="11"/>
  <c r="G12" i="11"/>
  <c r="H12" i="11"/>
  <c r="I12" i="11"/>
  <c r="J12" i="11"/>
  <c r="D12" i="11"/>
  <c r="E14" i="11"/>
  <c r="K14" i="11"/>
  <c r="J14" i="11"/>
  <c r="I14" i="11"/>
  <c r="F14" i="11"/>
  <c r="G14" i="11"/>
  <c r="H14" i="11"/>
  <c r="D14" i="11"/>
  <c r="E14" i="10"/>
  <c r="E16" i="6"/>
  <c r="E17" i="6" s="1"/>
  <c r="D24" i="6" s="1"/>
  <c r="H2" i="6"/>
  <c r="H3" i="6" s="1"/>
  <c r="M4" i="6"/>
  <c r="M5" i="6"/>
  <c r="O5" i="6"/>
  <c r="O6" i="6"/>
  <c r="N7" i="6"/>
  <c r="O7" i="6" s="1"/>
  <c r="N6" i="6"/>
  <c r="M6" i="6" s="1"/>
  <c r="N3" i="6"/>
  <c r="N2" i="6" s="1"/>
  <c r="M2" i="6" s="1"/>
  <c r="N4" i="6"/>
  <c r="O4" i="6" s="1"/>
  <c r="H13" i="6"/>
  <c r="I13" i="6"/>
  <c r="J13" i="6"/>
  <c r="B16" i="3"/>
  <c r="B18" i="3" s="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3" i="5"/>
  <c r="F16" i="2"/>
  <c r="G4" i="2"/>
  <c r="G5" i="2"/>
  <c r="G6" i="2"/>
  <c r="G3" i="2"/>
  <c r="G10" i="1"/>
  <c r="G9" i="1"/>
  <c r="O2" i="6" l="1"/>
  <c r="M7" i="6"/>
  <c r="N8" i="6"/>
  <c r="M3" i="6"/>
  <c r="N29" i="15"/>
  <c r="X5" i="15"/>
  <c r="S5" i="15"/>
  <c r="V5" i="15" s="1"/>
  <c r="O3" i="6"/>
  <c r="Q3" i="6" s="1"/>
  <c r="G14" i="10"/>
  <c r="E16" i="10"/>
  <c r="B19" i="19"/>
  <c r="B20" i="19" s="1"/>
  <c r="V13" i="4"/>
  <c r="W13" i="4" s="1"/>
  <c r="N41" i="15"/>
  <c r="I14" i="10"/>
  <c r="E24" i="6"/>
  <c r="B24" i="6"/>
  <c r="N1" i="6"/>
  <c r="E12" i="1"/>
  <c r="F6" i="1"/>
  <c r="F13" i="1"/>
  <c r="N42" i="15" l="1"/>
  <c r="O1" i="6"/>
  <c r="M1" i="6"/>
  <c r="N9" i="6"/>
  <c r="M8" i="6"/>
  <c r="O8" i="6"/>
  <c r="G16" i="10"/>
  <c r="I16" i="10"/>
  <c r="P3" i="6"/>
  <c r="N10" i="6" l="1"/>
  <c r="M9" i="6"/>
  <c r="O9" i="6"/>
  <c r="Q2" i="6"/>
  <c r="P2" i="6"/>
  <c r="Q4" i="6"/>
  <c r="P4" i="6"/>
  <c r="Q5" i="6"/>
  <c r="N11" i="6" l="1"/>
  <c r="M10" i="6"/>
  <c r="O10" i="6"/>
  <c r="H16" i="6"/>
  <c r="H17" i="6" s="1"/>
  <c r="G24" i="6" s="1"/>
  <c r="P5" i="6"/>
  <c r="Q6" i="6"/>
  <c r="N12" i="6" l="1"/>
  <c r="O11" i="6"/>
  <c r="M11" i="6"/>
  <c r="H24" i="6"/>
  <c r="J16" i="6"/>
  <c r="P6" i="6"/>
  <c r="N13" i="6" l="1"/>
  <c r="O12" i="6"/>
  <c r="M12" i="6"/>
  <c r="Q7" i="6"/>
  <c r="P7" i="6"/>
  <c r="N14" i="6" l="1"/>
  <c r="O13" i="6"/>
  <c r="M13" i="6"/>
  <c r="Q8" i="6"/>
  <c r="P8" i="6"/>
  <c r="N15" i="6" l="1"/>
  <c r="O14" i="6"/>
  <c r="M14" i="6"/>
  <c r="Q9" i="6"/>
  <c r="P9" i="6"/>
  <c r="N16" i="6" l="1"/>
  <c r="O15" i="6"/>
  <c r="M15" i="6"/>
  <c r="Q10" i="6"/>
  <c r="P10" i="6"/>
  <c r="N17" i="6" l="1"/>
  <c r="M16" i="6"/>
  <c r="O16" i="6"/>
  <c r="Q11" i="6"/>
  <c r="P11" i="6"/>
  <c r="N18" i="6" l="1"/>
  <c r="M17" i="6"/>
  <c r="O17" i="6"/>
  <c r="Q12" i="6"/>
  <c r="P12" i="6"/>
  <c r="N19" i="6" l="1"/>
  <c r="M18" i="6"/>
  <c r="O18" i="6"/>
  <c r="Q13" i="6"/>
  <c r="P13" i="6"/>
  <c r="N20" i="6" l="1"/>
  <c r="O19" i="6"/>
  <c r="M19" i="6"/>
  <c r="Q14" i="6"/>
  <c r="P14" i="6"/>
  <c r="N21" i="6" l="1"/>
  <c r="O20" i="6"/>
  <c r="M20" i="6"/>
  <c r="Q15" i="6"/>
  <c r="P15" i="6"/>
  <c r="N22" i="6" l="1"/>
  <c r="O21" i="6"/>
  <c r="M21" i="6"/>
  <c r="Q16" i="6"/>
  <c r="P16" i="6"/>
  <c r="N23" i="6" l="1"/>
  <c r="O22" i="6"/>
  <c r="M22" i="6"/>
  <c r="Q17" i="6"/>
  <c r="P17" i="6"/>
  <c r="N24" i="6" l="1"/>
  <c r="O23" i="6"/>
  <c r="M23" i="6"/>
  <c r="Q18" i="6"/>
  <c r="P18" i="6"/>
  <c r="N25" i="6" l="1"/>
  <c r="M24" i="6"/>
  <c r="O24" i="6"/>
  <c r="Q19" i="6"/>
  <c r="P19" i="6"/>
  <c r="N26" i="6" l="1"/>
  <c r="M25" i="6"/>
  <c r="O25" i="6"/>
  <c r="Q20" i="6"/>
  <c r="P20" i="6"/>
  <c r="N27" i="6" l="1"/>
  <c r="M26" i="6"/>
  <c r="O26" i="6"/>
  <c r="Q21" i="6"/>
  <c r="P21" i="6"/>
  <c r="N28" i="6" l="1"/>
  <c r="O27" i="6"/>
  <c r="M27" i="6"/>
  <c r="Q22" i="6"/>
  <c r="P22" i="6"/>
  <c r="N29" i="6" l="1"/>
  <c r="O28" i="6"/>
  <c r="M28" i="6"/>
  <c r="Q23" i="6"/>
  <c r="P23" i="6"/>
  <c r="N30" i="6" l="1"/>
  <c r="O29" i="6"/>
  <c r="M29" i="6"/>
  <c r="Q24" i="6"/>
  <c r="P24" i="6"/>
  <c r="N31" i="6" l="1"/>
  <c r="O30" i="6"/>
  <c r="M30" i="6"/>
  <c r="Q25" i="6"/>
  <c r="P25" i="6"/>
  <c r="N32" i="6" l="1"/>
  <c r="O31" i="6"/>
  <c r="M31" i="6"/>
  <c r="Q26" i="6"/>
  <c r="P26" i="6"/>
  <c r="N33" i="6" l="1"/>
  <c r="M32" i="6"/>
  <c r="O32" i="6"/>
  <c r="Q27" i="6"/>
  <c r="P27" i="6"/>
  <c r="N34" i="6" l="1"/>
  <c r="M33" i="6"/>
  <c r="O33" i="6"/>
  <c r="Q28" i="6"/>
  <c r="P28" i="6"/>
  <c r="N35" i="6" l="1"/>
  <c r="M34" i="6"/>
  <c r="O34" i="6"/>
  <c r="Q29" i="6"/>
  <c r="P29" i="6"/>
  <c r="N36" i="6" l="1"/>
  <c r="O35" i="6"/>
  <c r="M35" i="6"/>
  <c r="Q30" i="6"/>
  <c r="P30" i="6"/>
  <c r="N37" i="6" l="1"/>
  <c r="M36" i="6"/>
  <c r="O36" i="6"/>
  <c r="Q31" i="6"/>
  <c r="P31" i="6"/>
  <c r="N38" i="6" l="1"/>
  <c r="O37" i="6"/>
  <c r="M37" i="6"/>
  <c r="Q32" i="6"/>
  <c r="P32" i="6"/>
  <c r="N39" i="6" l="1"/>
  <c r="O38" i="6"/>
  <c r="M38" i="6"/>
  <c r="Q33" i="6"/>
  <c r="P33" i="6"/>
  <c r="N40" i="6" l="1"/>
  <c r="O39" i="6"/>
  <c r="M39" i="6"/>
  <c r="Q34" i="6"/>
  <c r="P34" i="6"/>
  <c r="N41" i="6" l="1"/>
  <c r="M40" i="6"/>
  <c r="O40" i="6"/>
  <c r="Q35" i="6"/>
  <c r="P35" i="6"/>
  <c r="N42" i="6" l="1"/>
  <c r="M41" i="6"/>
  <c r="O41" i="6"/>
  <c r="Q36" i="6"/>
  <c r="P36" i="6"/>
  <c r="N43" i="6" l="1"/>
  <c r="M42" i="6"/>
  <c r="O42" i="6"/>
  <c r="Q37" i="6"/>
  <c r="P37" i="6"/>
  <c r="N44" i="6" l="1"/>
  <c r="O43" i="6"/>
  <c r="M43" i="6"/>
  <c r="Q38" i="6"/>
  <c r="P38" i="6"/>
  <c r="N45" i="6" l="1"/>
  <c r="O44" i="6"/>
  <c r="M44" i="6"/>
  <c r="Q39" i="6"/>
  <c r="P39" i="6"/>
  <c r="N46" i="6" l="1"/>
  <c r="O45" i="6"/>
  <c r="M45" i="6"/>
  <c r="Q40" i="6"/>
  <c r="P40" i="6"/>
  <c r="N47" i="6" l="1"/>
  <c r="O46" i="6"/>
  <c r="M46" i="6"/>
  <c r="Q41" i="6"/>
  <c r="P41" i="6"/>
  <c r="N48" i="6" l="1"/>
  <c r="O47" i="6"/>
  <c r="M47" i="6"/>
  <c r="Q42" i="6"/>
  <c r="P42" i="6"/>
  <c r="N49" i="6" l="1"/>
  <c r="M48" i="6"/>
  <c r="O48" i="6"/>
  <c r="Q43" i="6"/>
  <c r="P43" i="6"/>
  <c r="N50" i="6" l="1"/>
  <c r="M49" i="6"/>
  <c r="O49" i="6"/>
  <c r="Q44" i="6"/>
  <c r="P44" i="6"/>
  <c r="N51" i="6" l="1"/>
  <c r="M50" i="6"/>
  <c r="O50" i="6"/>
  <c r="Q45" i="6"/>
  <c r="P45" i="6"/>
  <c r="N52" i="6" l="1"/>
  <c r="O51" i="6"/>
  <c r="M51" i="6"/>
  <c r="Q46" i="6"/>
  <c r="P46" i="6"/>
  <c r="N53" i="6" l="1"/>
  <c r="O52" i="6"/>
  <c r="M52" i="6"/>
  <c r="Q47" i="6"/>
  <c r="P47" i="6"/>
  <c r="N54" i="6" l="1"/>
  <c r="O53" i="6"/>
  <c r="M53" i="6"/>
  <c r="Q48" i="6"/>
  <c r="P48" i="6"/>
  <c r="N55" i="6" l="1"/>
  <c r="O54" i="6"/>
  <c r="M54" i="6"/>
  <c r="Q49" i="6"/>
  <c r="P49" i="6"/>
  <c r="N56" i="6" l="1"/>
  <c r="O55" i="6"/>
  <c r="M55" i="6"/>
  <c r="Q50" i="6"/>
  <c r="P50" i="6"/>
  <c r="N57" i="6" l="1"/>
  <c r="M56" i="6"/>
  <c r="O56" i="6"/>
  <c r="Q51" i="6"/>
  <c r="P51" i="6"/>
  <c r="N58" i="6" l="1"/>
  <c r="M57" i="6"/>
  <c r="O57" i="6"/>
  <c r="Q52" i="6"/>
  <c r="P52" i="6"/>
  <c r="N59" i="6" l="1"/>
  <c r="M58" i="6"/>
  <c r="O58" i="6"/>
  <c r="Q53" i="6"/>
  <c r="P53" i="6"/>
  <c r="N60" i="6" l="1"/>
  <c r="O59" i="6"/>
  <c r="M59" i="6"/>
  <c r="Q54" i="6"/>
  <c r="P54" i="6"/>
  <c r="N61" i="6" l="1"/>
  <c r="M60" i="6"/>
  <c r="O60" i="6"/>
  <c r="Q55" i="6"/>
  <c r="P55" i="6"/>
  <c r="N62" i="6" l="1"/>
  <c r="O61" i="6"/>
  <c r="M61" i="6"/>
  <c r="Q56" i="6"/>
  <c r="P56" i="6"/>
  <c r="N63" i="6" l="1"/>
  <c r="O62" i="6"/>
  <c r="M62" i="6"/>
  <c r="Q57" i="6"/>
  <c r="P57" i="6"/>
  <c r="N64" i="6" l="1"/>
  <c r="O63" i="6"/>
  <c r="M63" i="6"/>
  <c r="Q58" i="6"/>
  <c r="P58" i="6"/>
  <c r="N65" i="6" l="1"/>
  <c r="M64" i="6"/>
  <c r="O64" i="6"/>
  <c r="Q59" i="6"/>
  <c r="P59" i="6"/>
  <c r="N66" i="6" l="1"/>
  <c r="M65" i="6"/>
  <c r="O65" i="6"/>
  <c r="Q60" i="6"/>
  <c r="P60" i="6"/>
  <c r="N67" i="6" l="1"/>
  <c r="M66" i="6"/>
  <c r="O66" i="6"/>
  <c r="Q61" i="6"/>
  <c r="P61" i="6"/>
  <c r="N68" i="6" l="1"/>
  <c r="O67" i="6"/>
  <c r="M67" i="6"/>
  <c r="Q62" i="6"/>
  <c r="P62" i="6"/>
  <c r="N69" i="6" l="1"/>
  <c r="O68" i="6"/>
  <c r="M68" i="6"/>
  <c r="Q63" i="6"/>
  <c r="P63" i="6"/>
  <c r="N70" i="6" l="1"/>
  <c r="O69" i="6"/>
  <c r="M69" i="6"/>
  <c r="Q64" i="6"/>
  <c r="P64" i="6"/>
  <c r="N71" i="6" l="1"/>
  <c r="O70" i="6"/>
  <c r="M70" i="6"/>
  <c r="Q65" i="6"/>
  <c r="P65" i="6"/>
  <c r="N72" i="6" l="1"/>
  <c r="O71" i="6"/>
  <c r="M71" i="6"/>
  <c r="Q66" i="6"/>
  <c r="P66" i="6"/>
  <c r="N73" i="6" l="1"/>
  <c r="M72" i="6"/>
  <c r="O72" i="6"/>
  <c r="Q67" i="6"/>
  <c r="P67" i="6"/>
  <c r="N74" i="6" l="1"/>
  <c r="M73" i="6"/>
  <c r="O73" i="6"/>
  <c r="Q68" i="6"/>
  <c r="P68" i="6"/>
  <c r="N75" i="6" l="1"/>
  <c r="M74" i="6"/>
  <c r="O74" i="6"/>
  <c r="Q69" i="6"/>
  <c r="P69" i="6"/>
  <c r="N76" i="6" l="1"/>
  <c r="O75" i="6"/>
  <c r="M75" i="6"/>
  <c r="Q70" i="6"/>
  <c r="P70" i="6"/>
  <c r="N77" i="6" l="1"/>
  <c r="M76" i="6"/>
  <c r="O76" i="6"/>
  <c r="Q71" i="6"/>
  <c r="P71" i="6"/>
  <c r="N78" i="6" l="1"/>
  <c r="O77" i="6"/>
  <c r="M77" i="6"/>
  <c r="Q72" i="6"/>
  <c r="P72" i="6"/>
  <c r="N79" i="6" l="1"/>
  <c r="O78" i="6"/>
  <c r="M78" i="6"/>
  <c r="Q73" i="6"/>
  <c r="P73" i="6"/>
  <c r="N80" i="6" l="1"/>
  <c r="O79" i="6"/>
  <c r="M79" i="6"/>
  <c r="Q74" i="6"/>
  <c r="P74" i="6"/>
  <c r="N81" i="6" l="1"/>
  <c r="M80" i="6"/>
  <c r="O80" i="6"/>
  <c r="Q75" i="6"/>
  <c r="P75" i="6"/>
  <c r="N82" i="6" l="1"/>
  <c r="M81" i="6"/>
  <c r="O81" i="6"/>
  <c r="Q76" i="6"/>
  <c r="P76" i="6"/>
  <c r="N83" i="6" l="1"/>
  <c r="M82" i="6"/>
  <c r="O82" i="6"/>
  <c r="Q77" i="6"/>
  <c r="P77" i="6"/>
  <c r="N84" i="6" l="1"/>
  <c r="O83" i="6"/>
  <c r="M83" i="6"/>
  <c r="Q78" i="6"/>
  <c r="P78" i="6"/>
  <c r="N85" i="6" l="1"/>
  <c r="O84" i="6"/>
  <c r="M84" i="6"/>
  <c r="Q79" i="6"/>
  <c r="P79" i="6"/>
  <c r="N86" i="6" l="1"/>
  <c r="O85" i="6"/>
  <c r="M85" i="6"/>
  <c r="Q80" i="6"/>
  <c r="P80" i="6"/>
  <c r="N87" i="6" l="1"/>
  <c r="O86" i="6"/>
  <c r="M86" i="6"/>
  <c r="Q81" i="6"/>
  <c r="P81" i="6"/>
  <c r="N88" i="6" l="1"/>
  <c r="O87" i="6"/>
  <c r="M87" i="6"/>
  <c r="Q82" i="6"/>
  <c r="P82" i="6"/>
  <c r="N89" i="6" l="1"/>
  <c r="M88" i="6"/>
  <c r="O88" i="6"/>
  <c r="Q83" i="6"/>
  <c r="P83" i="6"/>
  <c r="N90" i="6" l="1"/>
  <c r="M89" i="6"/>
  <c r="O89" i="6"/>
  <c r="Q84" i="6"/>
  <c r="P84" i="6"/>
  <c r="N91" i="6" l="1"/>
  <c r="M90" i="6"/>
  <c r="O90" i="6"/>
  <c r="Q85" i="6"/>
  <c r="P85" i="6"/>
  <c r="N92" i="6" l="1"/>
  <c r="O91" i="6"/>
  <c r="M91" i="6"/>
  <c r="Q86" i="6"/>
  <c r="P86" i="6"/>
  <c r="N93" i="6" l="1"/>
  <c r="M92" i="6"/>
  <c r="O92" i="6"/>
  <c r="Q87" i="6"/>
  <c r="P87" i="6"/>
  <c r="N94" i="6" l="1"/>
  <c r="O93" i="6"/>
  <c r="M93" i="6"/>
  <c r="Q88" i="6"/>
  <c r="P88" i="6"/>
  <c r="N95" i="6" l="1"/>
  <c r="O94" i="6"/>
  <c r="M94" i="6"/>
  <c r="Q89" i="6"/>
  <c r="P89" i="6"/>
  <c r="N96" i="6" l="1"/>
  <c r="O95" i="6"/>
  <c r="M95" i="6"/>
  <c r="Q90" i="6"/>
  <c r="P90" i="6"/>
  <c r="N97" i="6" l="1"/>
  <c r="M96" i="6"/>
  <c r="O96" i="6"/>
  <c r="Q91" i="6"/>
  <c r="P91" i="6"/>
  <c r="N98" i="6" l="1"/>
  <c r="M97" i="6"/>
  <c r="O97" i="6"/>
  <c r="Q92" i="6"/>
  <c r="P92" i="6"/>
  <c r="N99" i="6" l="1"/>
  <c r="M98" i="6"/>
  <c r="O98" i="6"/>
  <c r="Q93" i="6"/>
  <c r="P93" i="6"/>
  <c r="N100" i="6" l="1"/>
  <c r="O99" i="6"/>
  <c r="M99" i="6"/>
  <c r="Q94" i="6"/>
  <c r="P94" i="6"/>
  <c r="N101" i="6" l="1"/>
  <c r="O100" i="6"/>
  <c r="M100" i="6"/>
  <c r="Q95" i="6"/>
  <c r="P95" i="6"/>
  <c r="N102" i="6" l="1"/>
  <c r="O101" i="6"/>
  <c r="M101" i="6"/>
  <c r="Q96" i="6"/>
  <c r="P96" i="6"/>
  <c r="N103" i="6" l="1"/>
  <c r="O102" i="6"/>
  <c r="M102" i="6"/>
  <c r="Q97" i="6"/>
  <c r="P97" i="6"/>
  <c r="N104" i="6" l="1"/>
  <c r="O103" i="6"/>
  <c r="M103" i="6"/>
  <c r="Q98" i="6"/>
  <c r="P98" i="6"/>
  <c r="N105" i="6" l="1"/>
  <c r="M104" i="6"/>
  <c r="O104" i="6"/>
  <c r="Q99" i="6"/>
  <c r="P99" i="6"/>
  <c r="N106" i="6" l="1"/>
  <c r="M105" i="6"/>
  <c r="O105" i="6"/>
  <c r="Q100" i="6"/>
  <c r="P100" i="6"/>
  <c r="N107" i="6" l="1"/>
  <c r="M106" i="6"/>
  <c r="O106" i="6"/>
  <c r="Q101" i="6"/>
  <c r="P101" i="6"/>
  <c r="N108" i="6" l="1"/>
  <c r="O107" i="6"/>
  <c r="M107" i="6"/>
  <c r="Q102" i="6"/>
  <c r="P102" i="6"/>
  <c r="N109" i="6" l="1"/>
  <c r="O108" i="6"/>
  <c r="M108" i="6"/>
  <c r="Q103" i="6"/>
  <c r="P103" i="6"/>
  <c r="O109" i="6" l="1"/>
  <c r="M109" i="6"/>
  <c r="Q104" i="6"/>
  <c r="P104" i="6"/>
  <c r="Q106" i="6" l="1"/>
  <c r="Q105" i="6"/>
  <c r="P105" i="6"/>
  <c r="P107" i="6" l="1"/>
  <c r="P106" i="6"/>
  <c r="Q107" i="6" l="1"/>
  <c r="P108" i="6"/>
  <c r="Q108" i="6" l="1"/>
  <c r="P109" i="6"/>
  <c r="Q109" i="6"/>
</calcChain>
</file>

<file path=xl/sharedStrings.xml><?xml version="1.0" encoding="utf-8"?>
<sst xmlns="http://schemas.openxmlformats.org/spreadsheetml/2006/main" count="3931" uniqueCount="2377">
  <si>
    <t>r =</t>
  </si>
  <si>
    <t>R =</t>
  </si>
  <si>
    <t>1m</t>
  </si>
  <si>
    <t>inlet</t>
  </si>
  <si>
    <t>outlet</t>
  </si>
  <si>
    <t>PRV</t>
  </si>
  <si>
    <t>Type:</t>
  </si>
  <si>
    <t>ab. BL</t>
  </si>
  <si>
    <t>h =</t>
  </si>
  <si>
    <t>ρ =</t>
  </si>
  <si>
    <t>Ρ =</t>
  </si>
  <si>
    <t>H =</t>
  </si>
  <si>
    <t>type</t>
  </si>
  <si>
    <t>P [kW]</t>
  </si>
  <si>
    <t>Q [kW]</t>
  </si>
  <si>
    <t>H [kW]</t>
  </si>
  <si>
    <t>power</t>
  </si>
  <si>
    <t>to water</t>
  </si>
  <si>
    <t>to air</t>
  </si>
  <si>
    <t>[-]</t>
  </si>
  <si>
    <t>HHI HRN3 509-88Y</t>
  </si>
  <si>
    <t>voltage</t>
  </si>
  <si>
    <t>freqencey</t>
  </si>
  <si>
    <t>[V]</t>
  </si>
  <si>
    <t>[Hz]</t>
  </si>
  <si>
    <t>HHI HRN3 569-88Y</t>
  </si>
  <si>
    <t>HHI HRN3 635-88Y</t>
  </si>
  <si>
    <t>Marelli B5J 500 LB6</t>
  </si>
  <si>
    <t>percentage</t>
  </si>
  <si>
    <t>[%]</t>
  </si>
  <si>
    <t>Estimation</t>
  </si>
  <si>
    <t>NEMA Class I efficiency levels for 3-phase, dry-type, low-voltage transformers</t>
  </si>
  <si>
    <t>kVA</t>
  </si>
  <si>
    <t>Efficiency</t>
  </si>
  <si>
    <t>estimate</t>
  </si>
  <si>
    <t>loss:</t>
  </si>
  <si>
    <t>P</t>
  </si>
  <si>
    <t>[kW]</t>
  </si>
  <si>
    <t>2 poles</t>
  </si>
  <si>
    <t>4 poles</t>
  </si>
  <si>
    <t>6 poles</t>
  </si>
  <si>
    <t>3600/3000 rpm</t>
  </si>
  <si>
    <t>1800/1500 rpm</t>
  </si>
  <si>
    <t>1200/1000 rpm</t>
  </si>
  <si>
    <t>standard efficiency 60/50 Hz</t>
  </si>
  <si>
    <t>high efficiency 60/50 Hz</t>
  </si>
  <si>
    <t>premium efficiency 60/50 Hz</t>
  </si>
  <si>
    <t>power [kW]:</t>
  </si>
  <si>
    <t>heat [kW]</t>
  </si>
  <si>
    <t>rpm</t>
  </si>
  <si>
    <t>MSC.1/Circular.1314</t>
  </si>
  <si>
    <t>Fuel or Chemical</t>
  </si>
  <si>
    <t>Autoignition Temperature</t>
  </si>
  <si>
    <t>Acetaldehyde</t>
  </si>
  <si>
    <t>Acetic acid</t>
  </si>
  <si>
    <t>Acetone, propanone</t>
  </si>
  <si>
    <t>Acetylene</t>
  </si>
  <si>
    <t>Anthracite - glow point</t>
  </si>
  <si>
    <t>Benzene</t>
  </si>
  <si>
    <t>Bituminous coal - glow point</t>
  </si>
  <si>
    <t>Butane</t>
  </si>
  <si>
    <t>Butyl acetate</t>
  </si>
  <si>
    <t>Butyl alcohol</t>
  </si>
  <si>
    <t>Butyl methyl ketone</t>
  </si>
  <si>
    <t>Carbon</t>
  </si>
  <si>
    <t>Carbon monoxide</t>
  </si>
  <si>
    <t>Charcoal</t>
  </si>
  <si>
    <t>Coal-tar oil</t>
  </si>
  <si>
    <t>Coke</t>
  </si>
  <si>
    <t>Cyclohexane</t>
  </si>
  <si>
    <t>Cyclohexanol</t>
  </si>
  <si>
    <t>Cyclohexanone</t>
  </si>
  <si>
    <t>Dichloromethane</t>
  </si>
  <si>
    <t>Diethylamine</t>
  </si>
  <si>
    <t>Diethylether</t>
  </si>
  <si>
    <t>Diethanolamine</t>
  </si>
  <si>
    <t>Diesel, Jet A-1</t>
  </si>
  <si>
    <t>Diisobutyl ketone</t>
  </si>
  <si>
    <t>Diisopropyl ether</t>
  </si>
  <si>
    <t>Dimethyl sulphoxide</t>
  </si>
  <si>
    <t>Dodecane, dihexyl</t>
  </si>
  <si>
    <t>Epichlorohydrin</t>
  </si>
  <si>
    <t>Ethane</t>
  </si>
  <si>
    <t>Ethylene. ethene</t>
  </si>
  <si>
    <t>Ethyl acetate</t>
  </si>
  <si>
    <t>Ethyl Alcohol, Ethanol</t>
  </si>
  <si>
    <t>Fuel Oil No.1</t>
  </si>
  <si>
    <t>Fuel Oil No.2</t>
  </si>
  <si>
    <t>Fuel Oil No.4</t>
  </si>
  <si>
    <t>Furfural</t>
  </si>
  <si>
    <t>Heavy hydrocarbons</t>
  </si>
  <si>
    <t>Heptane</t>
  </si>
  <si>
    <t>Hexane</t>
  </si>
  <si>
    <t>Hexadecane, cetane</t>
  </si>
  <si>
    <t>Hydrogen</t>
  </si>
  <si>
    <t>Gas oil</t>
  </si>
  <si>
    <t>Gasoline, Petrol</t>
  </si>
  <si>
    <t>246 - 280</t>
  </si>
  <si>
    <t>475 - 536</t>
  </si>
  <si>
    <t>Glycerol</t>
  </si>
  <si>
    <t>Gun Cotton</t>
  </si>
  <si>
    <t>Kerosene</t>
  </si>
  <si>
    <t>Isobutane</t>
  </si>
  <si>
    <t>Isobutene</t>
  </si>
  <si>
    <t>Isobutyl alcohol</t>
  </si>
  <si>
    <t>Isooctane</t>
  </si>
  <si>
    <t>Isopentane</t>
  </si>
  <si>
    <t>Isopropyl alcohol</t>
  </si>
  <si>
    <t>Isophorone</t>
  </si>
  <si>
    <t>Isohexane</t>
  </si>
  <si>
    <t>Isononane</t>
  </si>
  <si>
    <t>Isopropyl Alcohol</t>
  </si>
  <si>
    <t>Light gas</t>
  </si>
  <si>
    <t>Light hydrocarbons</t>
  </si>
  <si>
    <t>Lignite - glow point</t>
  </si>
  <si>
    <t>Magnesium</t>
  </si>
  <si>
    <t>Methane (Natural Gas)</t>
  </si>
  <si>
    <t>Methanol, Methyl Alcohol</t>
  </si>
  <si>
    <t>Methyl acetate</t>
  </si>
  <si>
    <t>Methyl ethyl ketone</t>
  </si>
  <si>
    <t>Naphtha</t>
  </si>
  <si>
    <t>Neoheaxane</t>
  </si>
  <si>
    <t>Neopentane</t>
  </si>
  <si>
    <t>Nitrobenzene</t>
  </si>
  <si>
    <t>Nitro-glycerine</t>
  </si>
  <si>
    <t>n-Butane</t>
  </si>
  <si>
    <t>n-Heptane</t>
  </si>
  <si>
    <t>n-Hexane</t>
  </si>
  <si>
    <t>n-Octane</t>
  </si>
  <si>
    <t>n-Pentane</t>
  </si>
  <si>
    <t>n-Pentene</t>
  </si>
  <si>
    <t>Oak Wood - dry</t>
  </si>
  <si>
    <t>Paper</t>
  </si>
  <si>
    <t>218 - 246</t>
  </si>
  <si>
    <t>424 - 475</t>
  </si>
  <si>
    <t>Peat</t>
  </si>
  <si>
    <t>Petroleum</t>
  </si>
  <si>
    <t>Pine Wood - dry</t>
  </si>
  <si>
    <t>Phosphorus, amorphous</t>
  </si>
  <si>
    <t>Phosphorus, transparent</t>
  </si>
  <si>
    <t>Phosphorus, white</t>
  </si>
  <si>
    <t>Production gas</t>
  </si>
  <si>
    <t>Propane</t>
  </si>
  <si>
    <t>Propyl acetate</t>
  </si>
  <si>
    <t>Propylene, propene</t>
  </si>
  <si>
    <t>Pyridine</t>
  </si>
  <si>
    <t>p-Xylene</t>
  </si>
  <si>
    <t>Rifle Powder</t>
  </si>
  <si>
    <t>Triethylborane</t>
  </si>
  <si>
    <t>Toluene</t>
  </si>
  <si>
    <t>Semi anthracite coal</t>
  </si>
  <si>
    <t>Semi bituminous coal - glow point</t>
  </si>
  <si>
    <t>Silane</t>
  </si>
  <si>
    <t>&lt; 21</t>
  </si>
  <si>
    <t>&lt; 70</t>
  </si>
  <si>
    <t>Styrene</t>
  </si>
  <si>
    <t>Sulphur</t>
  </si>
  <si>
    <t>Tetrahydrofuran</t>
  </si>
  <si>
    <t>Trichloroethylene</t>
  </si>
  <si>
    <t>Wood</t>
  </si>
  <si>
    <t>Xylene</t>
  </si>
  <si>
    <t>T1</t>
  </si>
  <si>
    <t>T2</t>
  </si>
  <si>
    <t>T3</t>
  </si>
  <si>
    <t>T4</t>
  </si>
  <si>
    <t>T5</t>
  </si>
  <si>
    <t>T6</t>
  </si>
  <si>
    <r>
      <t>[</t>
    </r>
    <r>
      <rPr>
        <vertAlign val="superscript"/>
        <sz val="10"/>
        <color theme="1"/>
        <rFont val="Arial"/>
        <family val="2"/>
        <charset val="238"/>
      </rPr>
      <t>o</t>
    </r>
    <r>
      <rPr>
        <sz val="10"/>
        <color theme="1"/>
        <rFont val="Arial"/>
        <family val="2"/>
        <charset val="238"/>
      </rPr>
      <t>C]</t>
    </r>
  </si>
  <si>
    <r>
      <t>[</t>
    </r>
    <r>
      <rPr>
        <vertAlign val="superscript"/>
        <sz val="10"/>
        <color theme="1"/>
        <rFont val="Arial"/>
        <family val="2"/>
        <charset val="238"/>
      </rPr>
      <t>o</t>
    </r>
    <r>
      <rPr>
        <sz val="10"/>
        <color theme="1"/>
        <rFont val="Arial"/>
        <family val="2"/>
        <charset val="238"/>
      </rPr>
      <t>F]</t>
    </r>
  </si>
  <si>
    <r>
      <t>Carbon disulfide, CS</t>
    </r>
    <r>
      <rPr>
        <vertAlign val="subscript"/>
        <sz val="10"/>
        <color theme="1"/>
        <rFont val="Arial"/>
        <family val="2"/>
        <charset val="238"/>
      </rPr>
      <t>2</t>
    </r>
  </si>
  <si>
    <t>Class</t>
  </si>
  <si>
    <t>to be double checked</t>
  </si>
  <si>
    <r>
      <t>T</t>
    </r>
    <r>
      <rPr>
        <b/>
        <sz val="9"/>
        <color theme="1"/>
        <rFont val="Arial"/>
        <family val="2"/>
        <charset val="238"/>
      </rPr>
      <t>ig</t>
    </r>
    <r>
      <rPr>
        <b/>
        <sz val="10"/>
        <color theme="1"/>
        <rFont val="Arial"/>
        <family val="2"/>
        <charset val="238"/>
      </rPr>
      <t>&lt; [</t>
    </r>
    <r>
      <rPr>
        <b/>
        <vertAlign val="superscript"/>
        <sz val="10"/>
        <color theme="1"/>
        <rFont val="Arial"/>
        <family val="2"/>
        <charset val="238"/>
      </rPr>
      <t>o</t>
    </r>
    <r>
      <rPr>
        <b/>
        <sz val="10"/>
        <color theme="1"/>
        <rFont val="Arial"/>
        <family val="2"/>
        <charset val="238"/>
      </rPr>
      <t>C]</t>
    </r>
  </si>
  <si>
    <t>moonpool</t>
  </si>
  <si>
    <t>ventilation</t>
  </si>
  <si>
    <t>H [m] =</t>
  </si>
  <si>
    <t>Ts[s] =</t>
  </si>
  <si>
    <t>A [m2] =</t>
  </si>
  <si>
    <t>sinusoidal approach</t>
  </si>
  <si>
    <t>linear approach</t>
  </si>
  <si>
    <t>[m3/h]</t>
  </si>
  <si>
    <t>DN [mm]</t>
  </si>
  <si>
    <t>n [pcs]</t>
  </si>
  <si>
    <t>[m/s]</t>
  </si>
  <si>
    <t>V max [m/s] =</t>
  </si>
  <si>
    <t>Q [m3/s] =</t>
  </si>
  <si>
    <t>cond 1</t>
  </si>
  <si>
    <t>cond 2</t>
  </si>
  <si>
    <t>cond 3</t>
  </si>
  <si>
    <t>cond 4</t>
  </si>
  <si>
    <t>cond 5</t>
  </si>
  <si>
    <t>cond 6</t>
  </si>
  <si>
    <t>Vs [kn] =</t>
  </si>
  <si>
    <t>RMS =</t>
  </si>
  <si>
    <t>open</t>
  </si>
  <si>
    <t>moonpool condition =</t>
  </si>
  <si>
    <t>load condition =</t>
  </si>
  <si>
    <t>LC1</t>
  </si>
  <si>
    <t>LC2</t>
  </si>
  <si>
    <t>closed</t>
  </si>
  <si>
    <r>
      <t>µ [</t>
    </r>
    <r>
      <rPr>
        <sz val="11"/>
        <color theme="1"/>
        <rFont val="Arial"/>
        <family val="2"/>
        <charset val="238"/>
      </rPr>
      <t>°</t>
    </r>
    <r>
      <rPr>
        <sz val="11"/>
        <color theme="1"/>
        <rFont val="Calibri"/>
        <family val="2"/>
        <charset val="238"/>
      </rPr>
      <t>] =</t>
    </r>
  </si>
  <si>
    <t>relative elevation in moonpool [m] =</t>
  </si>
  <si>
    <t>significant wave height Hs [m] =</t>
  </si>
  <si>
    <t>0.5</t>
  </si>
  <si>
    <t>12.7</t>
  </si>
  <si>
    <t>9.072</t>
  </si>
  <si>
    <t>97.65</t>
  </si>
  <si>
    <t>215.28</t>
  </si>
  <si>
    <t>15/32</t>
  </si>
  <si>
    <t>0.46875</t>
  </si>
  <si>
    <t>11.90625</t>
  </si>
  <si>
    <t>18.75</t>
  </si>
  <si>
    <t>8.505</t>
  </si>
  <si>
    <t>91.55</t>
  </si>
  <si>
    <t>201.82</t>
  </si>
  <si>
    <t>0.4375</t>
  </si>
  <si>
    <t>11.1125</t>
  </si>
  <si>
    <t>17.5</t>
  </si>
  <si>
    <t>7.983</t>
  </si>
  <si>
    <t>85.44</t>
  </si>
  <si>
    <t>188.37</t>
  </si>
  <si>
    <t>13/32</t>
  </si>
  <si>
    <t>0.40625</t>
  </si>
  <si>
    <t>10.31875</t>
  </si>
  <si>
    <t>16.25</t>
  </si>
  <si>
    <t>7.371</t>
  </si>
  <si>
    <t>79.33</t>
  </si>
  <si>
    <t>174.91</t>
  </si>
  <si>
    <t>0.375</t>
  </si>
  <si>
    <t>9.525</t>
  </si>
  <si>
    <t>6.804</t>
  </si>
  <si>
    <t>73.24</t>
  </si>
  <si>
    <t>161.46</t>
  </si>
  <si>
    <t>11/32</t>
  </si>
  <si>
    <t>0.34375</t>
  </si>
  <si>
    <t>8.73125</t>
  </si>
  <si>
    <t>13.75</t>
  </si>
  <si>
    <t>6.237</t>
  </si>
  <si>
    <t>67.13</t>
  </si>
  <si>
    <t>0.3125</t>
  </si>
  <si>
    <t>7.9375</t>
  </si>
  <si>
    <t>12.5</t>
  </si>
  <si>
    <t>5.67</t>
  </si>
  <si>
    <t>61.03</t>
  </si>
  <si>
    <t>134.55</t>
  </si>
  <si>
    <t>9/32</t>
  </si>
  <si>
    <t>0.28125</t>
  </si>
  <si>
    <t>7.14375</t>
  </si>
  <si>
    <t>11.25</t>
  </si>
  <si>
    <t>5.103</t>
  </si>
  <si>
    <t>54.93</t>
  </si>
  <si>
    <t>121.09</t>
  </si>
  <si>
    <t>17/64</t>
  </si>
  <si>
    <t>0.265625</t>
  </si>
  <si>
    <t>6.746875</t>
  </si>
  <si>
    <t>10.625</t>
  </si>
  <si>
    <t>4.819</t>
  </si>
  <si>
    <t>51.88</t>
  </si>
  <si>
    <t>114.37</t>
  </si>
  <si>
    <t>0.25</t>
  </si>
  <si>
    <t>6.35</t>
  </si>
  <si>
    <t>4.536</t>
  </si>
  <si>
    <t>48.82</t>
  </si>
  <si>
    <t>107.64</t>
  </si>
  <si>
    <t>15/64</t>
  </si>
  <si>
    <t>0.234375</t>
  </si>
  <si>
    <t>5.953125</t>
  </si>
  <si>
    <t>9.375</t>
  </si>
  <si>
    <t>4.252</t>
  </si>
  <si>
    <t>45.77</t>
  </si>
  <si>
    <t>100.91</t>
  </si>
  <si>
    <t>7/32</t>
  </si>
  <si>
    <t>0.21875</t>
  </si>
  <si>
    <t>5.55625</t>
  </si>
  <si>
    <t>8.75</t>
  </si>
  <si>
    <t>3.969</t>
  </si>
  <si>
    <t>42.72</t>
  </si>
  <si>
    <t>94.18</t>
  </si>
  <si>
    <t>13/64</t>
  </si>
  <si>
    <t>0.203125</t>
  </si>
  <si>
    <t>5.159375</t>
  </si>
  <si>
    <t>8.125</t>
  </si>
  <si>
    <t>3.685</t>
  </si>
  <si>
    <t>39.67</t>
  </si>
  <si>
    <t>87.45</t>
  </si>
  <si>
    <t>0.1875</t>
  </si>
  <si>
    <t>4.7625</t>
  </si>
  <si>
    <t>7.5</t>
  </si>
  <si>
    <t>3.402</t>
  </si>
  <si>
    <t>36.62</t>
  </si>
  <si>
    <t>80.72</t>
  </si>
  <si>
    <t>11/64</t>
  </si>
  <si>
    <t>0.171875</t>
  </si>
  <si>
    <t>4.365625</t>
  </si>
  <si>
    <t>6.875</t>
  </si>
  <si>
    <t>3.118</t>
  </si>
  <si>
    <t>33.57</t>
  </si>
  <si>
    <t>5/32</t>
  </si>
  <si>
    <t>0.15625</t>
  </si>
  <si>
    <t>3.96875</t>
  </si>
  <si>
    <t>6.25</t>
  </si>
  <si>
    <t>2.835</t>
  </si>
  <si>
    <t>30.52</t>
  </si>
  <si>
    <t>67.27</t>
  </si>
  <si>
    <t>9/64</t>
  </si>
  <si>
    <t>0.140625</t>
  </si>
  <si>
    <t>3.571875</t>
  </si>
  <si>
    <t>5.625</t>
  </si>
  <si>
    <t>2.552</t>
  </si>
  <si>
    <t>27.46</t>
  </si>
  <si>
    <t>60.55</t>
  </si>
  <si>
    <t>0.125</t>
  </si>
  <si>
    <t>3.175</t>
  </si>
  <si>
    <t>2.268</t>
  </si>
  <si>
    <t>24.41</t>
  </si>
  <si>
    <t>53.82</t>
  </si>
  <si>
    <t>7/64</t>
  </si>
  <si>
    <t>0.109375</t>
  </si>
  <si>
    <t>2.778125</t>
  </si>
  <si>
    <t>4.375</t>
  </si>
  <si>
    <t>1.984</t>
  </si>
  <si>
    <t>21.36</t>
  </si>
  <si>
    <t>47.09</t>
  </si>
  <si>
    <t>3/32</t>
  </si>
  <si>
    <t>0.09375</t>
  </si>
  <si>
    <t>2.38125</t>
  </si>
  <si>
    <t>3.75</t>
  </si>
  <si>
    <t>1.701</t>
  </si>
  <si>
    <t>18.31</t>
  </si>
  <si>
    <t>40.36</t>
  </si>
  <si>
    <t>5/64</t>
  </si>
  <si>
    <t>0.078125</t>
  </si>
  <si>
    <t>1.984375</t>
  </si>
  <si>
    <t>3.125</t>
  </si>
  <si>
    <t>1.417</t>
  </si>
  <si>
    <t>15.26</t>
  </si>
  <si>
    <t>33.64</t>
  </si>
  <si>
    <t>9/128</t>
  </si>
  <si>
    <t>0.0703125</t>
  </si>
  <si>
    <t>1.7859375</t>
  </si>
  <si>
    <t>2.8125</t>
  </si>
  <si>
    <t>1.276</t>
  </si>
  <si>
    <t>13.73</t>
  </si>
  <si>
    <t>30.27</t>
  </si>
  <si>
    <t>0.0625</t>
  </si>
  <si>
    <t>1.5875</t>
  </si>
  <si>
    <t>2.5</t>
  </si>
  <si>
    <t>1.134</t>
  </si>
  <si>
    <t>12.21</t>
  </si>
  <si>
    <t>26.91</t>
  </si>
  <si>
    <t>9/160</t>
  </si>
  <si>
    <t>0.05625</t>
  </si>
  <si>
    <t>1.42875</t>
  </si>
  <si>
    <t>2.25</t>
  </si>
  <si>
    <t>1.021</t>
  </si>
  <si>
    <t>10.99</t>
  </si>
  <si>
    <t>24.22</t>
  </si>
  <si>
    <t>0.05</t>
  </si>
  <si>
    <t>1.27</t>
  </si>
  <si>
    <t>0.9072</t>
  </si>
  <si>
    <t>9.765</t>
  </si>
  <si>
    <t>21.53</t>
  </si>
  <si>
    <t>7/160</t>
  </si>
  <si>
    <t>0.04375</t>
  </si>
  <si>
    <t>1.11125</t>
  </si>
  <si>
    <t>1.75</t>
  </si>
  <si>
    <t>0.7938</t>
  </si>
  <si>
    <t>8.544</t>
  </si>
  <si>
    <t>18.84</t>
  </si>
  <si>
    <t>3/80</t>
  </si>
  <si>
    <t>0.0375</t>
  </si>
  <si>
    <t>0.9525</t>
  </si>
  <si>
    <t>1.5</t>
  </si>
  <si>
    <t>0.6804</t>
  </si>
  <si>
    <t>7.324</t>
  </si>
  <si>
    <t>16.15</t>
  </si>
  <si>
    <t>11/320</t>
  </si>
  <si>
    <t>0.034375</t>
  </si>
  <si>
    <t>0.873125</t>
  </si>
  <si>
    <t>1.375</t>
  </si>
  <si>
    <t>0.6237</t>
  </si>
  <si>
    <t>6.713</t>
  </si>
  <si>
    <t>14.8</t>
  </si>
  <si>
    <t>1/32</t>
  </si>
  <si>
    <t>0.03125</t>
  </si>
  <si>
    <t>0.79375</t>
  </si>
  <si>
    <t>1.25</t>
  </si>
  <si>
    <t>0.567</t>
  </si>
  <si>
    <t>6.103</t>
  </si>
  <si>
    <t>13.46</t>
  </si>
  <si>
    <t>9/320</t>
  </si>
  <si>
    <t>0.028125</t>
  </si>
  <si>
    <t>0.714375</t>
  </si>
  <si>
    <t>1.125</t>
  </si>
  <si>
    <t>0.5103</t>
  </si>
  <si>
    <t>5.493</t>
  </si>
  <si>
    <t>12.11</t>
  </si>
  <si>
    <t>1/40</t>
  </si>
  <si>
    <t>0.025</t>
  </si>
  <si>
    <t>0.635</t>
  </si>
  <si>
    <t>0.4536</t>
  </si>
  <si>
    <t>4.882</t>
  </si>
  <si>
    <t>10.76</t>
  </si>
  <si>
    <t>7/320</t>
  </si>
  <si>
    <t>0.021875</t>
  </si>
  <si>
    <t>0.555625</t>
  </si>
  <si>
    <t>0.875</t>
  </si>
  <si>
    <t>0.3969</t>
  </si>
  <si>
    <t>4.272</t>
  </si>
  <si>
    <t>9.42</t>
  </si>
  <si>
    <t>3/160</t>
  </si>
  <si>
    <t>0.01875</t>
  </si>
  <si>
    <t>.047625</t>
  </si>
  <si>
    <t>0.75</t>
  </si>
  <si>
    <t>0.3402</t>
  </si>
  <si>
    <t>3.662</t>
  </si>
  <si>
    <t>8.07</t>
  </si>
  <si>
    <t>11/640</t>
  </si>
  <si>
    <t>0.0171875</t>
  </si>
  <si>
    <t>0.4365625</t>
  </si>
  <si>
    <t>0.6875</t>
  </si>
  <si>
    <t>0.3119</t>
  </si>
  <si>
    <t>3.357</t>
  </si>
  <si>
    <t>7.4</t>
  </si>
  <si>
    <t>1/64</t>
  </si>
  <si>
    <t>0.015625</t>
  </si>
  <si>
    <t>0.396875</t>
  </si>
  <si>
    <t>0.625</t>
  </si>
  <si>
    <t>0.2835</t>
  </si>
  <si>
    <t>3.052</t>
  </si>
  <si>
    <t>6.73</t>
  </si>
  <si>
    <t>9/640</t>
  </si>
  <si>
    <t>0.0140625</t>
  </si>
  <si>
    <t>0.3571875</t>
  </si>
  <si>
    <t>0.5625</t>
  </si>
  <si>
    <t>0.2551</t>
  </si>
  <si>
    <t>2.746</t>
  </si>
  <si>
    <t>6.05</t>
  </si>
  <si>
    <t>1/80</t>
  </si>
  <si>
    <t>0.0125</t>
  </si>
  <si>
    <t>0.3175</t>
  </si>
  <si>
    <t>0.2268</t>
  </si>
  <si>
    <t>2.441</t>
  </si>
  <si>
    <t>5.38</t>
  </si>
  <si>
    <t>7/640</t>
  </si>
  <si>
    <t>0.0109375</t>
  </si>
  <si>
    <t>0.2778125</t>
  </si>
  <si>
    <t>0.1984</t>
  </si>
  <si>
    <t>2.136</t>
  </si>
  <si>
    <t>4.71</t>
  </si>
  <si>
    <t>13/1280</t>
  </si>
  <si>
    <t>0.01015625</t>
  </si>
  <si>
    <t>0.25796875</t>
  </si>
  <si>
    <t>0.1843</t>
  </si>
  <si>
    <t>1.983</t>
  </si>
  <si>
    <t>4.37</t>
  </si>
  <si>
    <t>3/320</t>
  </si>
  <si>
    <t>0.009375</t>
  </si>
  <si>
    <t>0.238125</t>
  </si>
  <si>
    <t>.0375</t>
  </si>
  <si>
    <t>0.1701</t>
  </si>
  <si>
    <t>1.831</t>
  </si>
  <si>
    <t>4.04</t>
  </si>
  <si>
    <t>11/1280</t>
  </si>
  <si>
    <t>0.00859375</t>
  </si>
  <si>
    <t>0.21828125</t>
  </si>
  <si>
    <t>0.1559</t>
  </si>
  <si>
    <t>1.678</t>
  </si>
  <si>
    <t>3.7</t>
  </si>
  <si>
    <t>5/640</t>
  </si>
  <si>
    <t>0.0078125</t>
  </si>
  <si>
    <t>0.1984375</t>
  </si>
  <si>
    <t>0.1417</t>
  </si>
  <si>
    <t>1.526</t>
  </si>
  <si>
    <t>3.36</t>
  </si>
  <si>
    <t>9/1280</t>
  </si>
  <si>
    <t>0.00703125</t>
  </si>
  <si>
    <t>0.17859375</t>
  </si>
  <si>
    <t>0.1276</t>
  </si>
  <si>
    <t>1.373</t>
  </si>
  <si>
    <t>3.03</t>
  </si>
  <si>
    <t>17/2560</t>
  </si>
  <si>
    <t>0.006640625</t>
  </si>
  <si>
    <t>0.168671875</t>
  </si>
  <si>
    <t>0.1205</t>
  </si>
  <si>
    <t>1.297</t>
  </si>
  <si>
    <t>2.87</t>
  </si>
  <si>
    <t>1/160</t>
  </si>
  <si>
    <t>0.00625</t>
  </si>
  <si>
    <t>0.15875</t>
  </si>
  <si>
    <t>0.1134</t>
  </si>
  <si>
    <t>1.221</t>
  </si>
  <si>
    <t>2.69</t>
  </si>
  <si>
    <t>1/2</t>
  </si>
  <si>
    <t>7/16</t>
  </si>
  <si>
    <t>3/8</t>
  </si>
  <si>
    <t>5/16</t>
  </si>
  <si>
    <t>1/4</t>
  </si>
  <si>
    <t>3/16</t>
  </si>
  <si>
    <t>1/8</t>
  </si>
  <si>
    <t>1/16</t>
  </si>
  <si>
    <t>1/20</t>
  </si>
  <si>
    <t>0000000</t>
  </si>
  <si>
    <t>000000</t>
  </si>
  <si>
    <t>00000</t>
  </si>
  <si>
    <t>0000</t>
  </si>
  <si>
    <t>000</t>
  </si>
  <si>
    <t>00</t>
  </si>
  <si>
    <t>gauge</t>
  </si>
  <si>
    <t>thk [in]</t>
  </si>
  <si>
    <t>thk [mm]</t>
  </si>
  <si>
    <t>weight of sqr. foot [kg]</t>
  </si>
  <si>
    <t>weight of sqr. foot [lbs]</t>
  </si>
  <si>
    <t>weight of sqr. foot [ounces]</t>
  </si>
  <si>
    <t>weight of sqr. meter [kg]</t>
  </si>
  <si>
    <t>weight of sqr. meter [lbs]</t>
  </si>
  <si>
    <t>displacement</t>
  </si>
  <si>
    <t>V [m3] =</t>
  </si>
  <si>
    <t>M [T] =</t>
  </si>
  <si>
    <t>Aluminium, drawn/pressed</t>
  </si>
  <si>
    <t>new</t>
  </si>
  <si>
    <t>0.0013 - 0.0015 mm</t>
  </si>
  <si>
    <t>used</t>
  </si>
  <si>
    <t>to 0.03 mm</t>
  </si>
  <si>
    <t>Asbestos-cement</t>
  </si>
  <si>
    <t>new, smooth</t>
  </si>
  <si>
    <t>0.03 - 0.1 mm</t>
  </si>
  <si>
    <t>Brass, drawn/pressed</t>
  </si>
  <si>
    <t>0.0013 - 0.0014 mm</t>
  </si>
  <si>
    <t>Cast iron</t>
  </si>
  <si>
    <t>average city severage</t>
  </si>
  <si>
    <t>1.2 mm</t>
  </si>
  <si>
    <t>incrusted</t>
  </si>
  <si>
    <t>to 3.0 mm</t>
  </si>
  <si>
    <t>new, bituminized</t>
  </si>
  <si>
    <t>0.10 - 0.13 mm</t>
  </si>
  <si>
    <t>new, with skin</t>
  </si>
  <si>
    <t>0.2 - 0.6 mm</t>
  </si>
  <si>
    <t>operating several years, cleaned</t>
  </si>
  <si>
    <t>1.5 mm</t>
  </si>
  <si>
    <t>slightly rusty</t>
  </si>
  <si>
    <t>1.0 - 1.5 mm</t>
  </si>
  <si>
    <t>Clay</t>
  </si>
  <si>
    <t>new, clay tile</t>
  </si>
  <si>
    <t>9.0 mm</t>
  </si>
  <si>
    <t>Clay, Drainage-pipe</t>
  </si>
  <si>
    <t>new, calcined</t>
  </si>
  <si>
    <t>0.7 mm</t>
  </si>
  <si>
    <t>Concrete</t>
  </si>
  <si>
    <t>new, medium rough</t>
  </si>
  <si>
    <t>1.0 - 2.0 mm</t>
  </si>
  <si>
    <t>new, rough</t>
  </si>
  <si>
    <t>2.0 - 3.0 mm</t>
  </si>
  <si>
    <t>0.3 - 0.8 mm</t>
  </si>
  <si>
    <t>operating several years</t>
  </si>
  <si>
    <t>0.2 - 0.3 mm</t>
  </si>
  <si>
    <t>Concrete, Centrifugal-</t>
  </si>
  <si>
    <t>new, smooth plastered</t>
  </si>
  <si>
    <t>0.1 - 0.15 mm</t>
  </si>
  <si>
    <t>new, without plaster</t>
  </si>
  <si>
    <t>0.2 - 0.8 mm</t>
  </si>
  <si>
    <t>Concrete, Steel-</t>
  </si>
  <si>
    <t>01. - 0.15 mm</t>
  </si>
  <si>
    <t>Copper, drawn/pressed</t>
  </si>
  <si>
    <t>Glass, drawn/pressed</t>
  </si>
  <si>
    <t>Plastic, drawn/pressed</t>
  </si>
  <si>
    <t>Rubber</t>
  </si>
  <si>
    <t>new, smoot</t>
  </si>
  <si>
    <t>0.0016 mm</t>
  </si>
  <si>
    <t>Steel</t>
  </si>
  <si>
    <t>after long operation cleaned</t>
  </si>
  <si>
    <t>0.15 - 0.20 mm</t>
  </si>
  <si>
    <t>homogeneous corrosion pits</t>
  </si>
  <si>
    <t>0.15 mm</t>
  </si>
  <si>
    <t>intensely incrusted</t>
  </si>
  <si>
    <t>2.0 - 4.0 mm</t>
  </si>
  <si>
    <t>slightly rusty and incrusted</t>
  </si>
  <si>
    <t>0.15 - 0.40 mm</t>
  </si>
  <si>
    <t>Steel, longitudinal welded</t>
  </si>
  <si>
    <t>0.01 - 0.05 mm</t>
  </si>
  <si>
    <t>new, galvanized</t>
  </si>
  <si>
    <t>0.008 mm</t>
  </si>
  <si>
    <t>new, rolling skin</t>
  </si>
  <si>
    <t>0.04 - 0.1 mm</t>
  </si>
  <si>
    <t>Steel, weldless</t>
  </si>
  <si>
    <t>new, comm.size galvanized</t>
  </si>
  <si>
    <t>0.10 - 0.16 mm</t>
  </si>
  <si>
    <t>new, neatly galvanized</t>
  </si>
  <si>
    <t>0.07 - 0.10 mm</t>
  </si>
  <si>
    <t>new, pickled</t>
  </si>
  <si>
    <t>0.03 - 0.04 mm</t>
  </si>
  <si>
    <t>0.02 - 0.06 mm</t>
  </si>
  <si>
    <t>new, unpickled</t>
  </si>
  <si>
    <t>0.03 - 0.06 mm</t>
  </si>
  <si>
    <t>Stoneware</t>
  </si>
  <si>
    <t>0.25 mm</t>
  </si>
  <si>
    <t>after long operating</t>
  </si>
  <si>
    <t>0.1 mm</t>
  </si>
  <si>
    <t>0.2 - 1.0 mm</t>
  </si>
  <si>
    <t>Temperature</t>
  </si>
  <si>
    <t>Specific Heat Capacity</t>
  </si>
  <si>
    <t>Ratio of Specific Heats</t>
  </si>
  <si>
    <t>Dynamic Viscosity</t>
  </si>
  <si>
    <t>Thermal Conductivity</t>
  </si>
  <si>
    <t>Prandtl Number</t>
  </si>
  <si>
    <t>Kinematic Viscosity1)</t>
  </si>
  <si>
    <t>Density1)</t>
  </si>
  <si>
    <t>Diffusivity</t>
  </si>
  <si>
    <t xml:space="preserve">- α - </t>
  </si>
  <si>
    <t>(kJ/kgK)</t>
  </si>
  <si>
    <t>Pr</t>
  </si>
  <si>
    <t>(-)</t>
  </si>
  <si>
    <t>T</t>
  </si>
  <si>
    <t>p =</t>
  </si>
  <si>
    <t>b =</t>
  </si>
  <si>
    <t>F =</t>
  </si>
  <si>
    <t>=</t>
  </si>
  <si>
    <t>a =</t>
  </si>
  <si>
    <t>Halton PAL</t>
  </si>
  <si>
    <t>Name</t>
  </si>
  <si>
    <t>Width</t>
  </si>
  <si>
    <t>Height</t>
  </si>
  <si>
    <t>-</t>
  </si>
  <si>
    <t>intake</t>
  </si>
  <si>
    <t>SSVent- SR-F/SR-G (i/e)</t>
  </si>
  <si>
    <t>SSVent- FS (i/e)</t>
  </si>
  <si>
    <t>Halton USL (i)</t>
  </si>
  <si>
    <t>Halton USS (i)</t>
  </si>
  <si>
    <t>SSVent- FS + damper (i/e)</t>
  </si>
  <si>
    <t>Unknown</t>
  </si>
  <si>
    <t>middle</t>
  </si>
  <si>
    <t>TTS assume (i)</t>
  </si>
  <si>
    <t>TTS assume (e)</t>
  </si>
  <si>
    <t>Halton USS (e)</t>
  </si>
  <si>
    <t>P =</t>
  </si>
  <si>
    <t>q =</t>
  </si>
  <si>
    <t>η =</t>
  </si>
  <si>
    <t>PUMP</t>
  </si>
  <si>
    <t>GVU  unit</t>
  </si>
  <si>
    <t>Gas pipe diameter [mm]</t>
  </si>
  <si>
    <t>Section area of dbl wall pipe</t>
  </si>
  <si>
    <t>Piping vol.</t>
  </si>
  <si>
    <t>GVU volume</t>
  </si>
  <si>
    <t>Engine volume</t>
  </si>
  <si>
    <t>Required capacity (sum)</t>
  </si>
  <si>
    <t>min Cap. - Gas conn. -&gt; GVU</t>
  </si>
  <si>
    <t>min Cap. - Engine -&gt; GVU</t>
  </si>
  <si>
    <t>V</t>
  </si>
  <si>
    <t>ξ</t>
  </si>
  <si>
    <t>ρ</t>
  </si>
  <si>
    <t>v</t>
  </si>
  <si>
    <t>∆P</t>
  </si>
  <si>
    <t>W</t>
  </si>
  <si>
    <t>H</t>
  </si>
  <si>
    <t>No.</t>
  </si>
  <si>
    <t>dh</t>
  </si>
  <si>
    <t>diam.</t>
  </si>
  <si>
    <t>∆P/m</t>
  </si>
  <si>
    <t>length</t>
  </si>
  <si>
    <r>
      <rPr>
        <b/>
        <sz val="11"/>
        <color theme="1"/>
        <rFont val="Symbol"/>
        <family val="1"/>
        <charset val="2"/>
      </rPr>
      <t>D</t>
    </r>
    <r>
      <rPr>
        <b/>
        <sz val="11"/>
        <color theme="1"/>
        <rFont val="Calibri"/>
        <family val="2"/>
      </rPr>
      <t>p</t>
    </r>
  </si>
  <si>
    <t>external</t>
  </si>
  <si>
    <t>internal</t>
  </si>
  <si>
    <t>[m3/s]</t>
  </si>
  <si>
    <t>[kg/m3]</t>
  </si>
  <si>
    <t>[Pa]</t>
  </si>
  <si>
    <t>[mm]</t>
  </si>
  <si>
    <t>[pcs]</t>
  </si>
  <si>
    <t>[m]</t>
  </si>
  <si>
    <t>[m2]</t>
  </si>
  <si>
    <t>[m3]</t>
  </si>
  <si>
    <t>Intake -&gt; Engine -&gt; GVU</t>
  </si>
  <si>
    <t>Outer pipe diameter [mm</t>
  </si>
  <si>
    <t xml:space="preserve"> </t>
  </si>
  <si>
    <t>assumed:</t>
  </si>
  <si>
    <t>Gooseneck bends</t>
  </si>
  <si>
    <t>Double wall piping &amp; GVU fan capacity</t>
  </si>
  <si>
    <t>Pipe bends</t>
  </si>
  <si>
    <t>Hydraulic diameter of double wall piping:</t>
  </si>
  <si>
    <t>Double wall piping length &amp; volume</t>
  </si>
  <si>
    <t>Engine db wall pipe system</t>
  </si>
  <si>
    <t>Engine
-&gt; GVU</t>
  </si>
  <si>
    <t>Gas connection -&gt; GVUs (common)</t>
  </si>
  <si>
    <t>Double wall piping bends</t>
  </si>
  <si>
    <t>GVU inlet</t>
  </si>
  <si>
    <t>Piping friction loss</t>
  </si>
  <si>
    <t>subtotal</t>
  </si>
  <si>
    <t>= dP-1</t>
  </si>
  <si>
    <t>Section area</t>
  </si>
  <si>
    <t>Cap.</t>
  </si>
  <si>
    <t>Volume</t>
  </si>
  <si>
    <t>L(N)</t>
  </si>
  <si>
    <t>Piping sections [mm]:</t>
  </si>
  <si>
    <t>item/sum:</t>
  </si>
  <si>
    <t>Gas connection -&gt; GVU</t>
  </si>
  <si>
    <t>Inside Module</t>
  </si>
  <si>
    <t>Intake gooseneck</t>
  </si>
  <si>
    <t>Gooseneck bend</t>
  </si>
  <si>
    <t>Intake pipe -&gt; db wall pipe</t>
  </si>
  <si>
    <t>Regulation valve</t>
  </si>
  <si>
    <t>= dP-2</t>
  </si>
  <si>
    <t>GVU - Exhaust</t>
  </si>
  <si>
    <t>Outlet gooseneck</t>
  </si>
  <si>
    <t>part of the piping, which is common for GVU I &amp; II
airflow is 30 + 70 m3/h</t>
  </si>
  <si>
    <t>GVU outlet</t>
  </si>
  <si>
    <t>Fan connection</t>
  </si>
  <si>
    <t>= dP-3</t>
  </si>
  <si>
    <t>Total exhaust. pressure drop</t>
  </si>
  <si>
    <t xml:space="preserve">Fan  </t>
  </si>
  <si>
    <t>say..</t>
  </si>
  <si>
    <t>Itake to engine</t>
  </si>
  <si>
    <t>[bar]</t>
  </si>
  <si>
    <t>[atm]</t>
  </si>
  <si>
    <t>[mm H2O]</t>
  </si>
  <si>
    <t>[mm Hg]</t>
  </si>
  <si>
    <t>[m H2O]</t>
  </si>
  <si>
    <t>[psi]</t>
  </si>
  <si>
    <t>[kPa]</t>
  </si>
  <si>
    <t>[MPa]</t>
  </si>
  <si>
    <r>
      <t xml:space="preserve">- </t>
    </r>
    <r>
      <rPr>
        <i/>
        <sz val="11"/>
        <color theme="1"/>
        <rFont val="Calibri"/>
        <family val="2"/>
        <charset val="238"/>
        <scheme val="minor"/>
      </rPr>
      <t>c</t>
    </r>
    <r>
      <rPr>
        <i/>
        <vertAlign val="subscript"/>
        <sz val="11"/>
        <color theme="1"/>
        <rFont val="Calibri"/>
        <family val="2"/>
        <charset val="238"/>
        <scheme val="minor"/>
      </rPr>
      <t>p</t>
    </r>
    <r>
      <rPr>
        <sz val="11"/>
        <color theme="1"/>
        <rFont val="Calibri"/>
        <family val="2"/>
        <charset val="238"/>
        <scheme val="minor"/>
      </rPr>
      <t xml:space="preserve"> -</t>
    </r>
  </si>
  <si>
    <r>
      <t xml:space="preserve">- </t>
    </r>
    <r>
      <rPr>
        <i/>
        <sz val="11"/>
        <color theme="1"/>
        <rFont val="Calibri"/>
        <family val="2"/>
        <charset val="238"/>
        <scheme val="minor"/>
      </rPr>
      <t>c</t>
    </r>
    <r>
      <rPr>
        <i/>
        <vertAlign val="subscript"/>
        <sz val="11"/>
        <color theme="1"/>
        <rFont val="Calibri"/>
        <family val="2"/>
        <charset val="238"/>
        <scheme val="minor"/>
      </rPr>
      <t>v</t>
    </r>
    <r>
      <rPr>
        <sz val="11"/>
        <color theme="1"/>
        <rFont val="Calibri"/>
        <family val="2"/>
        <charset val="238"/>
        <scheme val="minor"/>
      </rPr>
      <t xml:space="preserve"> -</t>
    </r>
  </si>
  <si>
    <r>
      <t xml:space="preserve">- </t>
    </r>
    <r>
      <rPr>
        <i/>
        <sz val="11"/>
        <color theme="1"/>
        <rFont val="Calibri"/>
        <family val="2"/>
        <charset val="238"/>
        <scheme val="minor"/>
      </rPr>
      <t>k</t>
    </r>
    <r>
      <rPr>
        <sz val="11"/>
        <color theme="1"/>
        <rFont val="Calibri"/>
        <family val="2"/>
        <charset val="238"/>
        <scheme val="minor"/>
      </rPr>
      <t xml:space="preserve"> -</t>
    </r>
  </si>
  <si>
    <r>
      <t xml:space="preserve">- </t>
    </r>
    <r>
      <rPr>
        <i/>
        <sz val="11"/>
        <color theme="1"/>
        <rFont val="Calibri"/>
        <family val="2"/>
        <charset val="238"/>
        <scheme val="minor"/>
      </rPr>
      <t>μ</t>
    </r>
    <r>
      <rPr>
        <sz val="11"/>
        <color theme="1"/>
        <rFont val="Calibri"/>
        <family val="2"/>
        <charset val="238"/>
        <scheme val="minor"/>
      </rPr>
      <t xml:space="preserve"> -</t>
    </r>
  </si>
  <si>
    <r>
      <t xml:space="preserve">- </t>
    </r>
    <r>
      <rPr>
        <i/>
        <sz val="11"/>
        <color theme="1"/>
        <rFont val="Calibri"/>
        <family val="2"/>
        <charset val="238"/>
        <scheme val="minor"/>
      </rPr>
      <t>ν</t>
    </r>
    <r>
      <rPr>
        <sz val="11"/>
        <color theme="1"/>
        <rFont val="Calibri"/>
        <family val="2"/>
        <charset val="238"/>
        <scheme val="minor"/>
      </rPr>
      <t xml:space="preserve"> -</t>
    </r>
  </si>
  <si>
    <r>
      <t xml:space="preserve">- </t>
    </r>
    <r>
      <rPr>
        <i/>
        <sz val="11"/>
        <color theme="1"/>
        <rFont val="Calibri"/>
        <family val="2"/>
        <charset val="238"/>
        <scheme val="minor"/>
      </rPr>
      <t>ρ</t>
    </r>
    <r>
      <rPr>
        <sz val="11"/>
        <color theme="1"/>
        <rFont val="Calibri"/>
        <family val="2"/>
        <charset val="238"/>
        <scheme val="minor"/>
      </rPr>
      <t xml:space="preserve"> -</t>
    </r>
  </si>
  <si>
    <r>
      <t>(</t>
    </r>
    <r>
      <rPr>
        <i/>
        <sz val="11"/>
        <color theme="1"/>
        <rFont val="Calibri"/>
        <family val="2"/>
        <charset val="238"/>
        <scheme val="minor"/>
      </rPr>
      <t>K</t>
    </r>
    <r>
      <rPr>
        <sz val="11"/>
        <color theme="1"/>
        <rFont val="Calibri"/>
        <family val="2"/>
        <charset val="238"/>
        <scheme val="minor"/>
      </rPr>
      <t>)</t>
    </r>
  </si>
  <si>
    <r>
      <t>(</t>
    </r>
    <r>
      <rPr>
        <i/>
        <sz val="11"/>
        <color theme="1"/>
        <rFont val="Calibri"/>
        <family val="2"/>
        <charset val="238"/>
        <scheme val="minor"/>
      </rPr>
      <t>c</t>
    </r>
    <r>
      <rPr>
        <i/>
        <vertAlign val="subscript"/>
        <sz val="11"/>
        <color theme="1"/>
        <rFont val="Calibri"/>
        <family val="2"/>
        <charset val="238"/>
        <scheme val="minor"/>
      </rPr>
      <t>p</t>
    </r>
    <r>
      <rPr>
        <i/>
        <sz val="11"/>
        <color theme="1"/>
        <rFont val="Calibri"/>
        <family val="2"/>
        <charset val="238"/>
        <scheme val="minor"/>
      </rPr>
      <t>/c</t>
    </r>
    <r>
      <rPr>
        <i/>
        <vertAlign val="subscript"/>
        <sz val="11"/>
        <color theme="1"/>
        <rFont val="Calibri"/>
        <family val="2"/>
        <charset val="238"/>
        <scheme val="minor"/>
      </rPr>
      <t>v</t>
    </r>
    <r>
      <rPr>
        <i/>
        <sz val="11"/>
        <color theme="1"/>
        <rFont val="Calibri"/>
        <family val="2"/>
        <charset val="238"/>
        <scheme val="minor"/>
      </rPr>
      <t>)</t>
    </r>
  </si>
  <si>
    <r>
      <t>(10</t>
    </r>
    <r>
      <rPr>
        <i/>
        <vertAlign val="superscript"/>
        <sz val="11"/>
        <color theme="1"/>
        <rFont val="Calibri"/>
        <family val="2"/>
        <charset val="238"/>
        <scheme val="minor"/>
      </rPr>
      <t>-5</t>
    </r>
    <r>
      <rPr>
        <i/>
        <sz val="11"/>
        <color theme="1"/>
        <rFont val="Calibri"/>
        <family val="2"/>
        <charset val="238"/>
        <scheme val="minor"/>
      </rPr>
      <t xml:space="preserve"> kg/m s)</t>
    </r>
  </si>
  <si>
    <r>
      <t>(10</t>
    </r>
    <r>
      <rPr>
        <i/>
        <vertAlign val="superscript"/>
        <sz val="11"/>
        <color theme="1"/>
        <rFont val="Calibri"/>
        <family val="2"/>
        <charset val="238"/>
        <scheme val="minor"/>
      </rPr>
      <t>-5</t>
    </r>
    <r>
      <rPr>
        <i/>
        <sz val="11"/>
        <color theme="1"/>
        <rFont val="Calibri"/>
        <family val="2"/>
        <charset val="238"/>
        <scheme val="minor"/>
      </rPr>
      <t xml:space="preserve"> kW/m K)</t>
    </r>
  </si>
  <si>
    <r>
      <t>10</t>
    </r>
    <r>
      <rPr>
        <i/>
        <vertAlign val="superscript"/>
        <sz val="11"/>
        <color theme="1"/>
        <rFont val="Calibri"/>
        <family val="2"/>
        <charset val="238"/>
        <scheme val="minor"/>
      </rPr>
      <t xml:space="preserve">-5 </t>
    </r>
    <r>
      <rPr>
        <i/>
        <sz val="11"/>
        <color theme="1"/>
        <rFont val="Calibri"/>
        <family val="2"/>
        <charset val="238"/>
        <scheme val="minor"/>
      </rPr>
      <t>(m2/s)</t>
    </r>
  </si>
  <si>
    <r>
      <t>(kg/m</t>
    </r>
    <r>
      <rPr>
        <i/>
        <vertAlign val="superscript"/>
        <sz val="11"/>
        <color theme="1"/>
        <rFont val="Calibri"/>
        <family val="2"/>
        <charset val="238"/>
        <scheme val="minor"/>
      </rPr>
      <t>3</t>
    </r>
    <r>
      <rPr>
        <i/>
        <sz val="11"/>
        <color theme="1"/>
        <rFont val="Calibri"/>
        <family val="2"/>
        <charset val="238"/>
        <scheme val="minor"/>
      </rPr>
      <t>)</t>
    </r>
  </si>
  <si>
    <r>
      <t>(10</t>
    </r>
    <r>
      <rPr>
        <i/>
        <vertAlign val="superscript"/>
        <sz val="11"/>
        <color theme="1"/>
        <rFont val="Calibri"/>
        <family val="2"/>
        <charset val="238"/>
        <scheme val="minor"/>
      </rPr>
      <t>-6</t>
    </r>
    <r>
      <rPr>
        <i/>
        <sz val="11"/>
        <color theme="1"/>
        <rFont val="Calibri"/>
        <family val="2"/>
        <charset val="238"/>
        <scheme val="minor"/>
      </rPr>
      <t xml:space="preserve"> m</t>
    </r>
    <r>
      <rPr>
        <i/>
        <vertAlign val="superscript"/>
        <sz val="11"/>
        <color theme="1"/>
        <rFont val="Calibri"/>
        <family val="2"/>
        <charset val="238"/>
        <scheme val="minor"/>
      </rPr>
      <t>2</t>
    </r>
    <r>
      <rPr>
        <i/>
        <sz val="11"/>
        <color theme="1"/>
        <rFont val="Calibri"/>
        <family val="2"/>
        <charset val="238"/>
        <scheme val="minor"/>
      </rPr>
      <t>/s)</t>
    </r>
  </si>
  <si>
    <t>Expansion coeff.</t>
  </si>
  <si>
    <t>b</t>
  </si>
  <si>
    <t>(1/K)</t>
  </si>
  <si>
    <r>
      <t>(°</t>
    </r>
    <r>
      <rPr>
        <i/>
        <sz val="11"/>
        <color theme="1"/>
        <rFont val="Calibri"/>
        <family val="2"/>
        <charset val="238"/>
        <scheme val="minor"/>
      </rPr>
      <t>C</t>
    </r>
    <r>
      <rPr>
        <sz val="11"/>
        <color theme="1"/>
        <rFont val="Calibri"/>
        <family val="2"/>
        <charset val="238"/>
        <scheme val="minor"/>
      </rPr>
      <t>)</t>
    </r>
  </si>
  <si>
    <t>Nyborg</t>
  </si>
  <si>
    <t>MPV-A</t>
  </si>
  <si>
    <t>Make</t>
  </si>
  <si>
    <t>Type</t>
  </si>
  <si>
    <t>RPM</t>
  </si>
  <si>
    <t>1450(50Hz)</t>
  </si>
  <si>
    <t>1700(60Hz)</t>
  </si>
  <si>
    <t>2900(50Hz)</t>
  </si>
  <si>
    <t>3500(60Hz)</t>
  </si>
  <si>
    <t>250 (150 Pa / 300 Pa)</t>
  </si>
  <si>
    <t>400 (150 Pa / 300 Pa)</t>
  </si>
  <si>
    <t>315 (150 Pa / 400 Pa)</t>
  </si>
  <si>
    <t>355 (150 Pa / 400 Pa)</t>
  </si>
  <si>
    <t>400 (200 Pa / 500 Pa)</t>
  </si>
  <si>
    <t>A [m2]</t>
  </si>
  <si>
    <t>t [mm]</t>
  </si>
  <si>
    <t>from</t>
  </si>
  <si>
    <t>to</t>
  </si>
  <si>
    <t>actual</t>
  </si>
  <si>
    <t>DN</t>
  </si>
  <si>
    <t>WxH</t>
  </si>
  <si>
    <t>duct</t>
  </si>
  <si>
    <t>inf</t>
  </si>
  <si>
    <t>ROUTING</t>
  </si>
  <si>
    <t>PENETRATION</t>
  </si>
  <si>
    <t>W [mm]</t>
  </si>
  <si>
    <t>B [mm]</t>
  </si>
  <si>
    <t>H [mm]</t>
  </si>
  <si>
    <t>V [m3]</t>
  </si>
  <si>
    <t>Heat gain:</t>
  </si>
  <si>
    <r>
      <rPr>
        <sz val="10"/>
        <rFont val="Arial"/>
        <family val="2"/>
        <charset val="238"/>
      </rPr>
      <t>Δ</t>
    </r>
    <r>
      <rPr>
        <sz val="8"/>
        <rFont val="Arial CE"/>
        <charset val="238"/>
      </rPr>
      <t>T</t>
    </r>
    <r>
      <rPr>
        <sz val="11"/>
        <color theme="1"/>
        <rFont val="Calibri"/>
        <family val="2"/>
        <scheme val="minor"/>
      </rPr>
      <t xml:space="preserve"> hot:</t>
    </r>
  </si>
  <si>
    <t>[K]</t>
  </si>
  <si>
    <r>
      <t>T</t>
    </r>
    <r>
      <rPr>
        <vertAlign val="subscript"/>
        <sz val="10"/>
        <rFont val="Arial CE"/>
        <charset val="238"/>
      </rPr>
      <t>max</t>
    </r>
    <r>
      <rPr>
        <sz val="11"/>
        <color theme="1"/>
        <rFont val="Calibri"/>
        <family val="2"/>
        <scheme val="minor"/>
      </rPr>
      <t xml:space="preserve"> out</t>
    </r>
  </si>
  <si>
    <r>
      <rPr>
        <sz val="10"/>
        <rFont val="Arial"/>
        <family val="2"/>
        <charset val="238"/>
      </rPr>
      <t>[°</t>
    </r>
    <r>
      <rPr>
        <sz val="11"/>
        <color theme="1"/>
        <rFont val="Calibri"/>
        <family val="2"/>
        <scheme val="minor"/>
      </rPr>
      <t>C]</t>
    </r>
  </si>
  <si>
    <t>Cooling units</t>
  </si>
  <si>
    <t>Air changes</t>
  </si>
  <si>
    <t>Air flow</t>
  </si>
  <si>
    <t>Air cap:</t>
  </si>
  <si>
    <r>
      <rPr>
        <sz val="10"/>
        <rFont val="Arial"/>
        <family val="2"/>
        <charset val="238"/>
      </rPr>
      <t>Δ</t>
    </r>
    <r>
      <rPr>
        <sz val="8"/>
        <rFont val="Arial CE"/>
        <charset val="238"/>
      </rPr>
      <t>T</t>
    </r>
    <r>
      <rPr>
        <sz val="11"/>
        <color theme="1"/>
        <rFont val="Calibri"/>
        <family val="2"/>
        <scheme val="minor"/>
      </rPr>
      <t xml:space="preserve"> cold:</t>
    </r>
  </si>
  <si>
    <r>
      <t>T</t>
    </r>
    <r>
      <rPr>
        <vertAlign val="subscript"/>
        <sz val="10"/>
        <rFont val="Arial CE"/>
        <charset val="238"/>
      </rPr>
      <t>max</t>
    </r>
    <r>
      <rPr>
        <sz val="11"/>
        <color theme="1"/>
        <rFont val="Calibri"/>
        <family val="2"/>
        <scheme val="minor"/>
      </rPr>
      <t xml:space="preserve"> ins</t>
    </r>
  </si>
  <si>
    <t>Q-ty</t>
  </si>
  <si>
    <t>Capacity</t>
  </si>
  <si>
    <t>[1/hour]</t>
  </si>
  <si>
    <t>Q' hot</t>
  </si>
  <si>
    <r>
      <t>T</t>
    </r>
    <r>
      <rPr>
        <vertAlign val="subscript"/>
        <sz val="10"/>
        <rFont val="Arial CE"/>
        <charset val="238"/>
      </rPr>
      <t>min</t>
    </r>
    <r>
      <rPr>
        <sz val="11"/>
        <color theme="1"/>
        <rFont val="Calibri"/>
        <family val="2"/>
        <scheme val="minor"/>
      </rPr>
      <t xml:space="preserve"> out</t>
    </r>
  </si>
  <si>
    <r>
      <rPr>
        <sz val="10"/>
        <rFont val="Arial"/>
        <family val="2"/>
        <charset val="238"/>
      </rPr>
      <t>ΔH'</t>
    </r>
    <r>
      <rPr>
        <sz val="11"/>
        <color theme="1"/>
        <rFont val="Calibri"/>
        <family val="2"/>
        <scheme val="minor"/>
      </rPr>
      <t xml:space="preserve"> cold:</t>
    </r>
  </si>
  <si>
    <r>
      <t>T</t>
    </r>
    <r>
      <rPr>
        <vertAlign val="subscript"/>
        <sz val="10"/>
        <rFont val="Arial CE"/>
        <charset val="238"/>
      </rPr>
      <t>min</t>
    </r>
    <r>
      <rPr>
        <sz val="11"/>
        <color theme="1"/>
        <rFont val="Calibri"/>
        <family val="2"/>
        <scheme val="minor"/>
      </rPr>
      <t xml:space="preserve"> ins</t>
    </r>
  </si>
  <si>
    <t>Heat evac.</t>
  </si>
  <si>
    <t>Overload</t>
  </si>
  <si>
    <t>Reduction</t>
  </si>
  <si>
    <r>
      <t>T</t>
    </r>
    <r>
      <rPr>
        <vertAlign val="subscript"/>
        <sz val="11"/>
        <color theme="1"/>
        <rFont val="Calibri"/>
        <family val="2"/>
        <charset val="238"/>
        <scheme val="minor"/>
      </rPr>
      <t>max</t>
    </r>
    <r>
      <rPr>
        <sz val="11"/>
        <color theme="1"/>
        <rFont val="Calibri"/>
        <family val="2"/>
        <scheme val="minor"/>
      </rPr>
      <t xml:space="preserve"> ins</t>
    </r>
  </si>
  <si>
    <t>Time</t>
  </si>
  <si>
    <t>[s]</t>
  </si>
  <si>
    <t>[min]</t>
  </si>
  <si>
    <t>67 N</t>
  </si>
  <si>
    <t xml:space="preserve">Resolution MSC.99(73) – Adoption of Amendments to the International Convention for the Safety of Life at Sea, 1974, as Amended – (Adopted on 5 December 2000) - Annex – Amendments to the International Convention for the Safety of Life at Sea, 1974, as Amended - Chapter II-2 – Construction – Fire Protection, Fire Detection and Fire Extinction - Part D – Escape - Regulation 13 – Means of escape </t>
  </si>
  <si>
    <t>Cargo ship</t>
  </si>
  <si>
    <t>All about emergency escapes:</t>
  </si>
  <si>
    <t>no requirement</t>
  </si>
  <si>
    <t>GHR</t>
  </si>
  <si>
    <t>Pump Room</t>
  </si>
  <si>
    <t>Air Lock</t>
  </si>
  <si>
    <t>Drives Room</t>
  </si>
  <si>
    <t>intake drop</t>
  </si>
  <si>
    <t>outlet drop</t>
  </si>
  <si>
    <t>Passenger ship (locker) L =</t>
  </si>
  <si>
    <t>F + L =</t>
  </si>
  <si>
    <t>flow</t>
  </si>
  <si>
    <t>pressure</t>
  </si>
  <si>
    <t>Watt</t>
  </si>
  <si>
    <t>1 horse power=</t>
  </si>
  <si>
    <t>J/K/m^3</t>
  </si>
  <si>
    <t>Entropy Change Constant=</t>
  </si>
  <si>
    <t>Constant for diatomic gas compression adiabatic temperature rise</t>
  </si>
  <si>
    <t>Gamma=</t>
  </si>
  <si>
    <t>THERMODYNAMIC CONSTANTS</t>
  </si>
  <si>
    <t>Amps</t>
  </si>
  <si>
    <t>phase current=</t>
  </si>
  <si>
    <t>Volts</t>
  </si>
  <si>
    <t>Inter-phase voltage=</t>
  </si>
  <si>
    <t>%</t>
  </si>
  <si>
    <t>Motor Efficiency=</t>
  </si>
  <si>
    <t>3-phase electrical Motor Requirements</t>
  </si>
  <si>
    <t>Current=</t>
  </si>
  <si>
    <t>Voltage=</t>
  </si>
  <si>
    <t>Single Phase Electrical Requirements</t>
  </si>
  <si>
    <t>horsepower</t>
  </si>
  <si>
    <t>Drive Motor Power=</t>
  </si>
  <si>
    <t>Compressor Entropy Efficiency=</t>
  </si>
  <si>
    <t>degrees C</t>
  </si>
  <si>
    <t>Outlet Adiabatic temp=</t>
  </si>
  <si>
    <t>Inlet Temperature=</t>
  </si>
  <si>
    <t>bars</t>
  </si>
  <si>
    <t>Final fill pressure=</t>
  </si>
  <si>
    <t>Inlet Pressure=</t>
  </si>
  <si>
    <t>L/min</t>
  </si>
  <si>
    <t>Pumping rate=</t>
  </si>
  <si>
    <t>Change only the yellow coloured cells</t>
  </si>
  <si>
    <t>Air Compressor Power requirements Calculator v.00</t>
  </si>
  <si>
    <t xml:space="preserve">Author:- Steve Burton C.Eng </t>
  </si>
  <si>
    <t>www.scubaengineer.com</t>
  </si>
  <si>
    <t>NIST Chemistry WebBook. http://webbook.nist.gov/cgi/fluid.cgi?ID=C1333740&amp;Action=Page</t>
  </si>
  <si>
    <t>Source:</t>
  </si>
  <si>
    <r>
      <t>Temperature (</t>
    </r>
    <r>
      <rPr>
        <b/>
        <vertAlign val="superscript"/>
        <sz val="10"/>
        <rFont val="Arial"/>
        <family val="2"/>
      </rPr>
      <t>o</t>
    </r>
    <r>
      <rPr>
        <b/>
        <sz val="10"/>
        <rFont val="Arial"/>
        <family val="2"/>
      </rPr>
      <t>F)</t>
    </r>
  </si>
  <si>
    <t>Pressure (psia)</t>
  </si>
  <si>
    <r>
      <t>Hydrogen Density (lb/ft</t>
    </r>
    <r>
      <rPr>
        <b/>
        <i/>
        <vertAlign val="superscript"/>
        <sz val="12"/>
        <rFont val="Arial"/>
        <family val="2"/>
      </rPr>
      <t>3</t>
    </r>
    <r>
      <rPr>
        <b/>
        <i/>
        <sz val="12"/>
        <rFont val="Arial"/>
        <family val="2"/>
      </rPr>
      <t>) at Different Temperatures (</t>
    </r>
    <r>
      <rPr>
        <b/>
        <i/>
        <vertAlign val="superscript"/>
        <sz val="12"/>
        <rFont val="Arial"/>
        <family val="2"/>
      </rPr>
      <t>o</t>
    </r>
    <r>
      <rPr>
        <b/>
        <i/>
        <sz val="12"/>
        <rFont val="Arial"/>
        <family val="2"/>
      </rPr>
      <t>F) and Pressures (psia)</t>
    </r>
  </si>
  <si>
    <r>
      <t>Hydrogen Analysis Resource Center:</t>
    </r>
    <r>
      <rPr>
        <b/>
        <i/>
        <sz val="12"/>
        <rFont val="Arial"/>
        <family val="2"/>
      </rPr>
      <t/>
    </r>
  </si>
  <si>
    <t>Relative humidity (%)</t>
  </si>
  <si>
    <t>Enthalpy (kJ/ kg dry air)</t>
  </si>
  <si>
    <t>Specific volume (m^3/kg dry air)</t>
  </si>
  <si>
    <t>Dew point temperature [C]</t>
  </si>
  <si>
    <t>Wet bulb temperature [C]</t>
  </si>
  <si>
    <t>W (kg H2O/kg dry air)</t>
  </si>
  <si>
    <t>Total Pressure (Pa)</t>
  </si>
  <si>
    <t>Dry bulb temperature [C]</t>
  </si>
  <si>
    <t>Given: Dry bulb temp &amp; humidity ratio</t>
  </si>
  <si>
    <t>Given: Dry bulb temp &amp; relative humidity</t>
  </si>
  <si>
    <t>Given: Dry bulb temp &amp; Wet bulb temp</t>
  </si>
  <si>
    <t>Pa</t>
  </si>
  <si>
    <t xml:space="preserve">Patm = </t>
  </si>
  <si>
    <t>kPa</t>
  </si>
  <si>
    <t>ducts not routed through, unless:</t>
  </si>
  <si>
    <t>when penetrating A class division:</t>
  </si>
  <si>
    <t>Jeżeli mam fire damper na linii przed daną peentracją, przejmuję się tlyko penetracją. Bez fire dampera trzeba patrzeć także na routing przez high fire risk space.</t>
  </si>
  <si>
    <t>L [mm]</t>
  </si>
  <si>
    <t>PS rail - outboard</t>
  </si>
  <si>
    <t>PS rail - inboard</t>
  </si>
  <si>
    <t>Openings:</t>
  </si>
  <si>
    <t>area [m2]</t>
  </si>
  <si>
    <t>pcs [-]</t>
  </si>
  <si>
    <t>sum [m2]</t>
  </si>
  <si>
    <t>oposite [%]</t>
  </si>
  <si>
    <t>open [%]</t>
  </si>
  <si>
    <t>AFT</t>
  </si>
  <si>
    <t>MID</t>
  </si>
  <si>
    <t>missing [m2]:</t>
  </si>
  <si>
    <t>FORE</t>
  </si>
  <si>
    <t>B  [mm]</t>
  </si>
  <si>
    <t>% vertical</t>
  </si>
  <si>
    <t xml:space="preserve">    diff:</t>
  </si>
  <si>
    <t>in room</t>
  </si>
  <si>
    <t>Fan:</t>
  </si>
  <si>
    <t>cfm</t>
  </si>
  <si>
    <t>m3/h</t>
  </si>
  <si>
    <r>
      <t xml:space="preserve">Pressure Drop </t>
    </r>
    <r>
      <rPr>
        <b/>
        <i/>
        <sz val="11"/>
        <color theme="1"/>
        <rFont val="Arial"/>
        <family val="2"/>
        <charset val="238"/>
      </rPr>
      <t>(Pa)</t>
    </r>
  </si>
  <si>
    <t>Component Type</t>
  </si>
  <si>
    <r>
      <t xml:space="preserve">Air Velocity </t>
    </r>
    <r>
      <rPr>
        <b/>
        <i/>
        <sz val="11"/>
        <color theme="1"/>
        <rFont val="Arial"/>
        <family val="2"/>
        <charset val="238"/>
      </rPr>
      <t>(m/s)</t>
    </r>
  </si>
  <si>
    <t>2.0</t>
  </si>
  <si>
    <t>2.75</t>
  </si>
  <si>
    <t>3.0</t>
  </si>
  <si>
    <t>Intake damper</t>
  </si>
  <si>
    <t>Mixing chamber</t>
  </si>
  <si>
    <t>straight</t>
  </si>
  <si>
    <r>
      <t>90</t>
    </r>
    <r>
      <rPr>
        <vertAlign val="superscript"/>
        <sz val="11"/>
        <color theme="1"/>
        <rFont val="Arial"/>
        <family val="2"/>
        <charset val="238"/>
      </rPr>
      <t>o</t>
    </r>
  </si>
  <si>
    <t>Filter</t>
  </si>
  <si>
    <t>short EU2</t>
  </si>
  <si>
    <t>short EU3</t>
  </si>
  <si>
    <t>long EU3</t>
  </si>
  <si>
    <t>long EU5</t>
  </si>
  <si>
    <t>long EU7</t>
  </si>
  <si>
    <t>long EU9</t>
  </si>
  <si>
    <t>Heater</t>
  </si>
  <si>
    <t>water, size 1</t>
  </si>
  <si>
    <t>water, size 2</t>
  </si>
  <si>
    <t>water, size 3</t>
  </si>
  <si>
    <t>electrical, size 1</t>
  </si>
  <si>
    <t>electrical, size 2</t>
  </si>
  <si>
    <t>electrical, size 3</t>
  </si>
  <si>
    <t>Cooler</t>
  </si>
  <si>
    <t>size 1</t>
  </si>
  <si>
    <t>size 2</t>
  </si>
  <si>
    <t>size 3</t>
  </si>
  <si>
    <t>drop separator</t>
  </si>
  <si>
    <t>Humidifier</t>
  </si>
  <si>
    <t>Noise damper</t>
  </si>
  <si>
    <t>750 mm</t>
  </si>
  <si>
    <t>1425 mm</t>
  </si>
  <si>
    <t>Rotating heat exchanger</t>
  </si>
  <si>
    <t>big rotor</t>
  </si>
  <si>
    <t>little rotor</t>
  </si>
  <si>
    <t>Air-fluid-air exchanger</t>
  </si>
  <si>
    <t>lamella 2 mm, size 1</t>
  </si>
  <si>
    <t>lamella 2 mm, size 2</t>
  </si>
  <si>
    <t>lamella 2 mm, size 3</t>
  </si>
  <si>
    <t>lamella 4 mm, size 1</t>
  </si>
  <si>
    <t>lamella 4 mm, size 2</t>
  </si>
  <si>
    <t>lamella 4 mm, size 3</t>
  </si>
  <si>
    <t>Plate exchanger</t>
  </si>
  <si>
    <t>with drop separator</t>
  </si>
  <si>
    <t>Steelgrade nr.</t>
  </si>
  <si>
    <t>Type of Steel DIN</t>
  </si>
  <si>
    <t>DIN Nr.</t>
  </si>
  <si>
    <t>Type of Steel EN</t>
  </si>
  <si>
    <t>EN - Norm</t>
  </si>
  <si>
    <t>Russia</t>
  </si>
  <si>
    <t>steelgrade GOST</t>
  </si>
  <si>
    <t>GOST nr</t>
  </si>
  <si>
    <t>USA</t>
  </si>
  <si>
    <t>ASTM, AISI</t>
  </si>
  <si>
    <t>C</t>
  </si>
  <si>
    <t>Si</t>
  </si>
  <si>
    <t>Mn</t>
  </si>
  <si>
    <t>S</t>
  </si>
  <si>
    <t>Cr</t>
  </si>
  <si>
    <t>Ni</t>
  </si>
  <si>
    <t>Mo</t>
  </si>
  <si>
    <t>Al</t>
  </si>
  <si>
    <t>Cu</t>
  </si>
  <si>
    <t>Material, Usage, Comments, Links</t>
  </si>
  <si>
    <t>(sorry for the german text)</t>
  </si>
  <si>
    <t>1.0035</t>
  </si>
  <si>
    <t>St 33</t>
  </si>
  <si>
    <t>S185</t>
  </si>
  <si>
    <t>St0</t>
  </si>
  <si>
    <t>380-94</t>
  </si>
  <si>
    <t>15HS/HR</t>
  </si>
  <si>
    <t>A33</t>
  </si>
  <si>
    <t>≤ 0.23</t>
  </si>
  <si>
    <t>≤ 0.07</t>
  </si>
  <si>
    <t>≤ 0.06</t>
  </si>
  <si>
    <t>construction steel; structural steelwork</t>
  </si>
  <si>
    <t>1.0036</t>
  </si>
  <si>
    <t>USt 37-2</t>
  </si>
  <si>
    <t>S235JRG1</t>
  </si>
  <si>
    <t>St1kp, St3kp</t>
  </si>
  <si>
    <t>K 02502</t>
  </si>
  <si>
    <t>0.06...0.12</t>
  </si>
  <si>
    <t>0.25...0.5</t>
  </si>
  <si>
    <t>0.04</t>
  </si>
  <si>
    <t>0.3</t>
  </si>
  <si>
    <t>1.0037</t>
  </si>
  <si>
    <t>St 37-2</t>
  </si>
  <si>
    <t>S235JR</t>
  </si>
  <si>
    <t>10kp</t>
  </si>
  <si>
    <t>10705-80</t>
  </si>
  <si>
    <t>A29,</t>
  </si>
  <si>
    <t>A108,</t>
  </si>
  <si>
    <t>A252(1),</t>
  </si>
  <si>
    <t>A283,</t>
  </si>
  <si>
    <t>A331,</t>
  </si>
  <si>
    <t>A510,</t>
  </si>
  <si>
    <t>A512,</t>
  </si>
  <si>
    <t>A513,</t>
  </si>
  <si>
    <t>A515,</t>
  </si>
  <si>
    <t>A519,</t>
  </si>
  <si>
    <t>A568,</t>
  </si>
  <si>
    <t>A576,</t>
  </si>
  <si>
    <t>A635,</t>
  </si>
  <si>
    <t>A659,</t>
  </si>
  <si>
    <t>A689,</t>
  </si>
  <si>
    <t>A711,</t>
  </si>
  <si>
    <t>A787,</t>
  </si>
  <si>
    <t>A794,</t>
  </si>
  <si>
    <t>A830,</t>
  </si>
  <si>
    <t>A853</t>
  </si>
  <si>
    <t>0.12...0.17</t>
  </si>
  <si>
    <t>1.60</t>
  </si>
  <si>
    <t>0.050</t>
  </si>
  <si>
    <t>0.30</t>
  </si>
  <si>
    <t>0.080</t>
  </si>
  <si>
    <t>≤ 0.40</t>
  </si>
  <si>
    <t>construction steel</t>
  </si>
  <si>
    <t>www.metallograf.de</t>
  </si>
  <si>
    <t>1.0038</t>
  </si>
  <si>
    <t>RSt 37-2</t>
  </si>
  <si>
    <t>S235JRG2</t>
  </si>
  <si>
    <t>St2ps, St3ps,St3sp</t>
  </si>
  <si>
    <t>A 252,</t>
  </si>
  <si>
    <t>A500,</t>
  </si>
  <si>
    <t>A501</t>
  </si>
  <si>
    <t>K02502, K03000</t>
  </si>
  <si>
    <t>0.09...0.15</t>
  </si>
  <si>
    <t>normalisiert; structural steelwork</t>
  </si>
  <si>
    <t>1.0044</t>
  </si>
  <si>
    <t>St 44-2</t>
  </si>
  <si>
    <t>S275JR</t>
  </si>
  <si>
    <t>St4sp, St4ps</t>
  </si>
  <si>
    <t>G10200</t>
  </si>
  <si>
    <t>A29(1020)</t>
  </si>
  <si>
    <t>0.18...0.27</t>
  </si>
  <si>
    <t>0.15...0.3</t>
  </si>
  <si>
    <t>0.4...0.7</t>
  </si>
  <si>
    <t>normalisiert; non-alloyed construction steel, structural steelwork</t>
  </si>
  <si>
    <t>1.0050</t>
  </si>
  <si>
    <t>St 50-2</t>
  </si>
  <si>
    <t>E295</t>
  </si>
  <si>
    <t>35, St5ps, St5sp</t>
  </si>
  <si>
    <t>1050-74</t>
  </si>
  <si>
    <t>A 50-2</t>
  </si>
  <si>
    <t>non-alloyed construction steel, quality steel; thin sheet</t>
  </si>
  <si>
    <t>1.0060</t>
  </si>
  <si>
    <t>St 60-2</t>
  </si>
  <si>
    <t>E335</t>
  </si>
  <si>
    <t>45, St6ps, St6sp</t>
  </si>
  <si>
    <t>1050-74+</t>
  </si>
  <si>
    <t>E 335,</t>
  </si>
  <si>
    <t>En 55C / E 335;</t>
  </si>
  <si>
    <t>A 60-2</t>
  </si>
  <si>
    <t>1.0070</t>
  </si>
  <si>
    <t>St 70-2</t>
  </si>
  <si>
    <t>E360</t>
  </si>
  <si>
    <t>E 360 / E 360</t>
  </si>
  <si>
    <t>A 70-2</t>
  </si>
  <si>
    <t>1.0114</t>
  </si>
  <si>
    <t>St 37-3 U</t>
  </si>
  <si>
    <t>S235J0</t>
  </si>
  <si>
    <t>En 40C, / E 24-3</t>
  </si>
  <si>
    <t>non-alloyed construction steel; structural steelwork; Flacherzeugniss, Langerzeugniss, Stabstahl</t>
  </si>
  <si>
    <t>1.0115</t>
  </si>
  <si>
    <t>K,Q,Z St 37-3 U</t>
  </si>
  <si>
    <t>S235J0C</t>
  </si>
  <si>
    <t>non-alloyed construction steel</t>
  </si>
  <si>
    <t>1.0116</t>
  </si>
  <si>
    <t>St 37-3 N</t>
  </si>
  <si>
    <t>S235J2G-3</t>
  </si>
  <si>
    <t>St3sp</t>
  </si>
  <si>
    <t>A 515(55),</t>
  </si>
  <si>
    <t>A573(70)(485),</t>
  </si>
  <si>
    <t>A 618 (Ib)</t>
  </si>
  <si>
    <t>0.17</t>
  </si>
  <si>
    <t>0.035</t>
  </si>
  <si>
    <t>non-alloyed quality steel</t>
  </si>
  <si>
    <t>1.0118</t>
  </si>
  <si>
    <t>K,Q,Z St 37-3 N</t>
  </si>
  <si>
    <t>S235J2G3C</t>
  </si>
  <si>
    <t>1.0120</t>
  </si>
  <si>
    <t>K,Q,Z St 37-2</t>
  </si>
  <si>
    <t>S235JRC</t>
  </si>
  <si>
    <t>0.12 ... 0.17</t>
  </si>
  <si>
    <t>0.50</t>
  </si>
  <si>
    <t>1.6</t>
  </si>
  <si>
    <t>≤ 0.4</t>
  </si>
  <si>
    <t>1.0121</t>
  </si>
  <si>
    <t>UQSt 37-2 (Q,Z)</t>
  </si>
  <si>
    <t>S235JRG1C</t>
  </si>
  <si>
    <t>non-alloyed quality steel; steel structure</t>
  </si>
  <si>
    <t>1.0122</t>
  </si>
  <si>
    <t>RQSt 37-2 (Q,Z)</t>
  </si>
  <si>
    <t>S235JRG2C</t>
  </si>
  <si>
    <t>1.0128</t>
  </si>
  <si>
    <t>K,Q,Z St 44-2</t>
  </si>
  <si>
    <t>S275JRC</t>
  </si>
  <si>
    <t>CSt4sp, St4ps, St4sp</t>
  </si>
  <si>
    <t>K03000,</t>
  </si>
  <si>
    <t>A29</t>
  </si>
  <si>
    <t>non-alloyed construction steel; structural steelwork</t>
  </si>
  <si>
    <t>1.0138</t>
  </si>
  <si>
    <t>RoSt 44-3</t>
  </si>
  <si>
    <t>S275J2H</t>
  </si>
  <si>
    <t>10210-1</t>
  </si>
  <si>
    <t>non-alloyed quality steel; hollow profile</t>
  </si>
  <si>
    <t>1.0140</t>
  </si>
  <si>
    <t>K,Q,Z St 44-3 U</t>
  </si>
  <si>
    <t>S275JOC</t>
  </si>
  <si>
    <t>En 43 C / E 28-3</t>
  </si>
  <si>
    <t>non-alloyed quality steel; structural steelwork</t>
  </si>
  <si>
    <t>1.0141</t>
  </si>
  <si>
    <t>K,Q,Z St 44-3 N</t>
  </si>
  <si>
    <t>S275J2G3C</t>
  </si>
  <si>
    <t>non-alloyed steel für Verwendung im Bauwesen</t>
  </si>
  <si>
    <t>1.0143</t>
  </si>
  <si>
    <t>St 44-3 U</t>
  </si>
  <si>
    <t>S275JO</t>
  </si>
  <si>
    <t>09G2, St4W</t>
  </si>
  <si>
    <t>19282-73</t>
  </si>
  <si>
    <t>1.0144</t>
  </si>
  <si>
    <t>St 33-3 N</t>
  </si>
  <si>
    <t>S275J2G3</t>
  </si>
  <si>
    <t>A 500(A,B,D),</t>
  </si>
  <si>
    <t>A 501,</t>
  </si>
  <si>
    <t>A618(Ib)</t>
  </si>
  <si>
    <t>non-alloyed quality steel;</t>
  </si>
  <si>
    <t>1.0149</t>
  </si>
  <si>
    <t>RoSt 44-2</t>
  </si>
  <si>
    <t>S275JOH</t>
  </si>
  <si>
    <t>A 501</t>
  </si>
  <si>
    <t>1.0166</t>
  </si>
  <si>
    <t>St 37-3 Cu 3</t>
  </si>
  <si>
    <t>S235J2G3Cu</t>
  </si>
  <si>
    <t>1.0167</t>
  </si>
  <si>
    <t>RSt 37-2 Cu 3</t>
  </si>
  <si>
    <t>S235JRG2Cu</t>
  </si>
  <si>
    <t>1.0242</t>
  </si>
  <si>
    <t>StE 250-2 Z</t>
  </si>
  <si>
    <t>S25OGD</t>
  </si>
  <si>
    <t>continously hot-dip galvanized plate und Band aus construction steel</t>
  </si>
  <si>
    <t>1.0244</t>
  </si>
  <si>
    <t>StE 280-2 Z</t>
  </si>
  <si>
    <t>S28OGD</t>
  </si>
  <si>
    <t>1.0250</t>
  </si>
  <si>
    <t>StE 320-3 Z</t>
  </si>
  <si>
    <t>S32OGD</t>
  </si>
  <si>
    <t>1.0310</t>
  </si>
  <si>
    <t>D 10-2</t>
  </si>
  <si>
    <t>C10D</t>
  </si>
  <si>
    <t>10016-2</t>
  </si>
  <si>
    <t>non-alloyed quality steel; wire rod</t>
  </si>
  <si>
    <t>1.0312</t>
  </si>
  <si>
    <t>St 15</t>
  </si>
  <si>
    <t>DC05</t>
  </si>
  <si>
    <t>1.0313</t>
  </si>
  <si>
    <t>D 8-2</t>
  </si>
  <si>
    <t>C7D</t>
  </si>
  <si>
    <t>1.0319</t>
  </si>
  <si>
    <t>RRStE 210.7</t>
  </si>
  <si>
    <t>L210GA</t>
  </si>
  <si>
    <t>10207-1</t>
  </si>
  <si>
    <t>0.21</t>
  </si>
  <si>
    <t>0.40</t>
  </si>
  <si>
    <t>0.90</t>
  </si>
  <si>
    <t>0.030</t>
  </si>
  <si>
    <t>non-alloyed quality steel; pipeline</t>
  </si>
  <si>
    <t>1.0330</t>
  </si>
  <si>
    <t>St 2, St 12</t>
  </si>
  <si>
    <t>1624, 1623/01</t>
  </si>
  <si>
    <t>DC01</t>
  </si>
  <si>
    <t>ASTM:</t>
  </si>
  <si>
    <t>A125,</t>
  </si>
  <si>
    <t>A853,</t>
  </si>
  <si>
    <t>A1018 ;</t>
  </si>
  <si>
    <t>UNS:</t>
  </si>
  <si>
    <t>G10080;</t>
  </si>
  <si>
    <t>AISI:</t>
  </si>
  <si>
    <t>non-alloyed quality steel, weicher steel zum Kaltumformen; cold-rolled Flacherzeugnisse (thin sheete)</t>
  </si>
  <si>
    <t>1.0332</t>
  </si>
  <si>
    <t>StW 22</t>
  </si>
  <si>
    <t>DD11</t>
  </si>
  <si>
    <t>15kp</t>
  </si>
  <si>
    <t>1050-88</t>
  </si>
  <si>
    <t>0.12...0.19</t>
  </si>
  <si>
    <t>0.35...0.65</t>
  </si>
  <si>
    <t>non-alloyed quality steel; hot-rolled, weiche Güte, Lagergüte</t>
  </si>
  <si>
    <t>1.0335</t>
  </si>
  <si>
    <t>StW 24</t>
  </si>
  <si>
    <t>DD13</t>
  </si>
  <si>
    <t>08kp</t>
  </si>
  <si>
    <t>0.05...0.12</t>
  </si>
  <si>
    <t>0.03</t>
  </si>
  <si>
    <t>0.1</t>
  </si>
  <si>
    <t>non-alloyed quality steel; hot-rolled, weiche Güte</t>
  </si>
  <si>
    <t>1.0338</t>
  </si>
  <si>
    <t>St 4, St 14</t>
  </si>
  <si>
    <t>DC04</t>
  </si>
  <si>
    <t>08JuA / 08Ju-SW / 08Ju-OSW</t>
  </si>
  <si>
    <t>9045-80 / 4041-71</t>
  </si>
  <si>
    <t>construction steel; cold-rolled</t>
  </si>
  <si>
    <t>1.0345</t>
  </si>
  <si>
    <t>H I</t>
  </si>
  <si>
    <t>P235GH</t>
  </si>
  <si>
    <t>10028-2</t>
  </si>
  <si>
    <t>15K</t>
  </si>
  <si>
    <t>5520-79</t>
  </si>
  <si>
    <t>A 37 CP,</t>
  </si>
  <si>
    <t>A285 (A),</t>
  </si>
  <si>
    <t>A285 (B),</t>
  </si>
  <si>
    <t>A414 (B),</t>
  </si>
  <si>
    <t>A515(55),</t>
  </si>
  <si>
    <t>A662 (B),</t>
  </si>
  <si>
    <t>A618 (lb)</t>
  </si>
  <si>
    <t>high-temperature steel; Kesselbaustahl</t>
  </si>
  <si>
    <t>1.0347</t>
  </si>
  <si>
    <t>RRSt 3, RRSt 13</t>
  </si>
  <si>
    <t>DCO3</t>
  </si>
  <si>
    <t>08Ju</t>
  </si>
  <si>
    <t>CS 3,</t>
  </si>
  <si>
    <t>CR 3,</t>
  </si>
  <si>
    <t>CR 2 / E</t>
  </si>
  <si>
    <t>&lt; 0,12</t>
  </si>
  <si>
    <t>non-alloyed quality steel; Kaltband; vehicle manufacturing, Karosserie</t>
  </si>
  <si>
    <t>1.0392</t>
  </si>
  <si>
    <t>EK 4</t>
  </si>
  <si>
    <t>123/03</t>
  </si>
  <si>
    <t>DCO4EK</t>
  </si>
  <si>
    <t>A424 (IIB)</t>
  </si>
  <si>
    <t>K00801</t>
  </si>
  <si>
    <t>weicher, non-alloyed steel zum emaillieren</t>
  </si>
  <si>
    <t>1.0402</t>
  </si>
  <si>
    <t>C 22</t>
  </si>
  <si>
    <t>C22</t>
  </si>
  <si>
    <t>10083-2</t>
  </si>
  <si>
    <t>A29(M1025),</t>
  </si>
  <si>
    <t>A29(1025),</t>
  </si>
  <si>
    <t>A108(1025),</t>
  </si>
  <si>
    <t>A331(M1025),</t>
  </si>
  <si>
    <t>A331(1025),</t>
  </si>
  <si>
    <t>A510(1025),</t>
  </si>
  <si>
    <t>A512(1025),</t>
  </si>
  <si>
    <t>A513(1025),</t>
  </si>
  <si>
    <t>A519(1025)</t>
  </si>
  <si>
    <t>0.17...0.24</t>
  </si>
  <si>
    <t>0.17...0.37</t>
  </si>
  <si>
    <t>≤ 0.3</t>
  </si>
  <si>
    <t>non-alloyed quality steel, quenched and tempered steel, schmiedbar</t>
  </si>
  <si>
    <t>1.0406</t>
  </si>
  <si>
    <t>C 25</t>
  </si>
  <si>
    <t>C25</t>
  </si>
  <si>
    <t>A519(1025),</t>
  </si>
  <si>
    <t>A266</t>
  </si>
  <si>
    <t>tempered steel; non-alloyed quality steel, quenched and tempered steel;</t>
  </si>
  <si>
    <t>1.0413</t>
  </si>
  <si>
    <t>D 15-2</t>
  </si>
  <si>
    <t>C15D</t>
  </si>
  <si>
    <t>CSt 3-b 2</t>
  </si>
  <si>
    <t>924-81</t>
  </si>
  <si>
    <t>A29(1015),</t>
  </si>
  <si>
    <t>A108(1015),</t>
  </si>
  <si>
    <t>A331(1015),</t>
  </si>
  <si>
    <t>A510(1015),</t>
  </si>
  <si>
    <t>A512(1015),</t>
  </si>
  <si>
    <t>A513(1015),</t>
  </si>
  <si>
    <t>A519(1015),</t>
  </si>
  <si>
    <t>A568(1015),</t>
  </si>
  <si>
    <t>A576(1015)</t>
  </si>
  <si>
    <t>1.0414</t>
  </si>
  <si>
    <t>D 20-2</t>
  </si>
  <si>
    <t>C20D</t>
  </si>
  <si>
    <t>A29(1020),</t>
  </si>
  <si>
    <t>A108(1020),</t>
  </si>
  <si>
    <t>A331(1020),</t>
  </si>
  <si>
    <t>A510(1020),</t>
  </si>
  <si>
    <t>A512(1020),</t>
  </si>
  <si>
    <t>A513(1020),</t>
  </si>
  <si>
    <t>A519(1020),</t>
  </si>
  <si>
    <t>A568(1020),</t>
  </si>
  <si>
    <t>A576(1020)</t>
  </si>
  <si>
    <t>1.0415</t>
  </si>
  <si>
    <t>D 25-2</t>
  </si>
  <si>
    <t>C26D</t>
  </si>
  <si>
    <t>A568(1025),</t>
  </si>
  <si>
    <t>A576(1025)</t>
  </si>
  <si>
    <t>1.0425</t>
  </si>
  <si>
    <t>H II</t>
  </si>
  <si>
    <t>P265GH</t>
  </si>
  <si>
    <t>20K</t>
  </si>
  <si>
    <t>A285 Gr.C,</t>
  </si>
  <si>
    <t>A515 gr. 60</t>
  </si>
  <si>
    <t>high-temperature steel; pressure vessel, steam boiler</t>
  </si>
  <si>
    <t>1.0429</t>
  </si>
  <si>
    <t>StE 290.7 TM</t>
  </si>
  <si>
    <t>L290MB</t>
  </si>
  <si>
    <t>10208-2</t>
  </si>
  <si>
    <t>A 49-400</t>
  </si>
  <si>
    <t>1.0432</t>
  </si>
  <si>
    <t>C21</t>
  </si>
  <si>
    <t>ASTM: A105</t>
  </si>
  <si>
    <t>0.18 ... 0.22</t>
  </si>
  <si>
    <t>0.15 ... 0.30</t>
  </si>
  <si>
    <t>0.90 ... 1.05</t>
  </si>
  <si>
    <t>0.010</t>
  </si>
  <si>
    <t>0.120</t>
  </si>
  <si>
    <t>0.01</t>
  </si>
  <si>
    <t>Nb: 0.02;</t>
  </si>
  <si>
    <t>non-alloyed quality steel; flange, ball valve; Offshore-industry</t>
  </si>
  <si>
    <t>1.0438</t>
  </si>
  <si>
    <t>BSt 500 S</t>
  </si>
  <si>
    <t>488-1</t>
  </si>
  <si>
    <t>B500N</t>
  </si>
  <si>
    <t>0.22 ... 0-24</t>
  </si>
  <si>
    <t>non-alloyed quality steel, gerippter concrete steel;</t>
  </si>
  <si>
    <t>weldable</t>
  </si>
  <si>
    <t>www.kummetat.de</t>
  </si>
  <si>
    <t>1.0445</t>
  </si>
  <si>
    <t>H IV</t>
  </si>
  <si>
    <t>P295NH</t>
  </si>
  <si>
    <t>0.26</t>
  </si>
  <si>
    <t>0.60</t>
  </si>
  <si>
    <t>Nb: ≤ 0.04;</t>
  </si>
  <si>
    <t>Kesselblech;</t>
  </si>
  <si>
    <t>1.0457</t>
  </si>
  <si>
    <t>StE 240.7</t>
  </si>
  <si>
    <t>L240NB</t>
  </si>
  <si>
    <t>0.16</t>
  </si>
  <si>
    <t>1.10</t>
  </si>
  <si>
    <t>0.020</t>
  </si>
  <si>
    <t>0.015 ... 0.060</t>
  </si>
  <si>
    <t>pipeline für brennbare Medien, Anforderungsklasse B</t>
  </si>
  <si>
    <t>1.0459</t>
  </si>
  <si>
    <t>RRStE 24O.7</t>
  </si>
  <si>
    <t>L24OGA</t>
  </si>
  <si>
    <t>10208-1</t>
  </si>
  <si>
    <t>ASTM: A 53 M Grade B (Type E)</t>
  </si>
  <si>
    <t>1.20</t>
  </si>
  <si>
    <t>pipeline für brennbare Medien, Anforderungsklasse A</t>
  </si>
  <si>
    <t>1.0473</t>
  </si>
  <si>
    <t>19 Mn 6</t>
  </si>
  <si>
    <t>P355GH</t>
  </si>
  <si>
    <t>ASTM: A 299 M Grade A + B.</t>
  </si>
  <si>
    <t>A455,</t>
  </si>
  <si>
    <t>A516 (70)(485),</t>
  </si>
  <si>
    <t>A537</t>
  </si>
  <si>
    <t>high-temperature steel;</t>
  </si>
  <si>
    <t>thick plate, Kesselbleche/pressure vessel</t>
  </si>
  <si>
    <t>1.0481</t>
  </si>
  <si>
    <t>17 Mn 4</t>
  </si>
  <si>
    <t>P295GH</t>
  </si>
  <si>
    <t>16 G S</t>
  </si>
  <si>
    <t>A 106;;</t>
  </si>
  <si>
    <t>AISI: 1022</t>
  </si>
  <si>
    <t>0.08 ... 0.20</t>
  </si>
  <si>
    <t>0.90 ... 1.50</t>
  </si>
  <si>
    <t>0.08</t>
  </si>
  <si>
    <t>≤ 0.020</t>
  </si>
  <si>
    <t>≤ 0.30</t>
  </si>
  <si>
    <t>high-temperature steel für pipeline, pressure vessel, steam boiler</t>
  </si>
  <si>
    <t>1.0484</t>
  </si>
  <si>
    <t>StE 290.7</t>
  </si>
  <si>
    <t>L290NB</t>
  </si>
  <si>
    <t>ASTM: API 5L-X42</t>
  </si>
  <si>
    <t>Ti: ≤ 0.04; Nb: ≤ 0.05;</t>
  </si>
  <si>
    <t>pipeline</t>
  </si>
  <si>
    <t>1.0486</t>
  </si>
  <si>
    <t>StE 285</t>
  </si>
  <si>
    <t>P275N</t>
  </si>
  <si>
    <t>10028-3</t>
  </si>
  <si>
    <t>A 662 M Grade A + B,</t>
  </si>
  <si>
    <t>A106-B,</t>
  </si>
  <si>
    <t>A234-WPB,</t>
  </si>
  <si>
    <t>A333-6,</t>
  </si>
  <si>
    <t>A334-6,</t>
  </si>
  <si>
    <t>A369-FPB,</t>
  </si>
  <si>
    <t>A420-WPL6,</t>
  </si>
  <si>
    <t>A516-60-415,</t>
  </si>
  <si>
    <t>A592-50,</t>
  </si>
  <si>
    <t>55-345,</t>
  </si>
  <si>
    <t>A556-C2,</t>
  </si>
  <si>
    <t>A633-A</t>
  </si>
  <si>
    <t>0.18</t>
  </si>
  <si>
    <t>0.50 ... 1.40</t>
  </si>
  <si>
    <t>Ti: ≤ 0.03, Nb: ≤ 0.05;</t>
  </si>
  <si>
    <t>non-alloyed quality steel, fine grained steel;</t>
  </si>
  <si>
    <t>1.0487</t>
  </si>
  <si>
    <t>WStE 285</t>
  </si>
  <si>
    <t>P275NH</t>
  </si>
  <si>
    <t>Y 42,</t>
  </si>
  <si>
    <t>A516(60)(415),</t>
  </si>
  <si>
    <t>A529(50,55)(345,380),</t>
  </si>
  <si>
    <t>A633(A),</t>
  </si>
  <si>
    <t>A662(A)</t>
  </si>
  <si>
    <t>weldable, high-temperature; pressure vessel, Niethülse</t>
  </si>
  <si>
    <t>1.0488</t>
  </si>
  <si>
    <t>TStE 285</t>
  </si>
  <si>
    <t>P275NL1</t>
  </si>
  <si>
    <t>A 516 M Grade 55 (380),</t>
  </si>
  <si>
    <t>A662(A),(B)</t>
  </si>
  <si>
    <t>0.50 ... 1.50</t>
  </si>
  <si>
    <t>Ti: ≤ 0.03, Nb: ≤ 0.05, N: ≤ 0.020;</t>
  </si>
  <si>
    <t>weldable, kaltzäh; thick plate, pressure vessel</t>
  </si>
  <si>
    <t>1.0490</t>
  </si>
  <si>
    <t>S275N</t>
  </si>
  <si>
    <t>10113-3</t>
  </si>
  <si>
    <t>ASTM: A 572 M Grade 42 (290)</t>
  </si>
  <si>
    <t>0.02</t>
  </si>
  <si>
    <t>≤ 0.55</t>
  </si>
  <si>
    <t>N: ≤ 0.015;</t>
  </si>
  <si>
    <t>steel structure</t>
  </si>
  <si>
    <t>1.0491</t>
  </si>
  <si>
    <t>S275NL</t>
  </si>
  <si>
    <t>10113-2</t>
  </si>
  <si>
    <t>A 633 M Grade A,</t>
  </si>
  <si>
    <t>A 572 (42(290) Typ1,2,3,4),</t>
  </si>
  <si>
    <t>A572(60(415) Typ1,2,3,4),</t>
  </si>
  <si>
    <t>A572(65(450)Typ2,3,4),</t>
  </si>
  <si>
    <t>A572(65(459)Typ1)</t>
  </si>
  <si>
    <t>1.0493</t>
  </si>
  <si>
    <t>S275NH</t>
  </si>
  <si>
    <t>ASTM: A</t>
  </si>
  <si>
    <t>0.20</t>
  </si>
  <si>
    <t>0.10</t>
  </si>
  <si>
    <t>≤ 0.35</t>
  </si>
  <si>
    <t>Ti: ≤ 0.03, Nb: ≤ 0.03, N: ≤ 0.015;</t>
  </si>
  <si>
    <t>hollow profile</t>
  </si>
  <si>
    <t>1.0497</t>
  </si>
  <si>
    <t>S275NLH</t>
  </si>
  <si>
    <t>ASTM: A 709</t>
  </si>
  <si>
    <t>Ti: ≤ 0.03, Nb: ≤ 0.05, N: ≤ 0.015;</t>
  </si>
  <si>
    <t>1.0501</t>
  </si>
  <si>
    <t>C 35</t>
  </si>
  <si>
    <t>C35</t>
  </si>
  <si>
    <t>1050Ð88</t>
  </si>
  <si>
    <t>A 830 M,</t>
  </si>
  <si>
    <t>A311,</t>
  </si>
  <si>
    <t>A57,</t>
  </si>
  <si>
    <t>A682,</t>
  </si>
  <si>
    <t>A827;</t>
  </si>
  <si>
    <t>G10350;</t>
  </si>
  <si>
    <t>AISI</t>
  </si>
  <si>
    <t>0.32 ... 0.39</t>
  </si>
  <si>
    <t>0.50 ... 0.80</t>
  </si>
  <si>
    <t>0.045</t>
  </si>
  <si>
    <t>non-alloyed quality steel, quenched and tempered steel;</t>
  </si>
  <si>
    <t>oberflächenhärtbar;</t>
  </si>
  <si>
    <t>bolts, nuts</t>
  </si>
  <si>
    <t>1.0503</t>
  </si>
  <si>
    <t>C 45</t>
  </si>
  <si>
    <t>C45</t>
  </si>
  <si>
    <t>A183,</t>
  </si>
  <si>
    <t>A521,</t>
  </si>
  <si>
    <t>A684,</t>
  </si>
  <si>
    <t>G10450;</t>
  </si>
  <si>
    <t>0.42 ... 0.50</t>
  </si>
  <si>
    <t>0.17 ... 0.37</t>
  </si>
  <si>
    <t>0.040</t>
  </si>
  <si>
    <t>Band, plate, steel wire, Freiformschmiedestück, Gesenkschmiedestück, Halbzeug, Präzisionsguss, Profil, coil, Rohblock, tube, Stabstahl, Stahlformguss</t>
  </si>
  <si>
    <t>1.0511</t>
  </si>
  <si>
    <t>C 40</t>
  </si>
  <si>
    <t>C40</t>
  </si>
  <si>
    <t>A 827 M-93a,</t>
  </si>
  <si>
    <t>A827,</t>
  </si>
  <si>
    <t>A830*,</t>
  </si>
  <si>
    <t>A836;</t>
  </si>
  <si>
    <t>G10400;</t>
  </si>
  <si>
    <t>0.37 ... 0.44</t>
  </si>
  <si>
    <t>geeignet für größere Schmiedestücke</t>
  </si>
  <si>
    <t>1.0516</t>
  </si>
  <si>
    <t>D 35-2</t>
  </si>
  <si>
    <t>C38D</t>
  </si>
  <si>
    <t>0.33 ... 0.38</t>
  </si>
  <si>
    <t>0.10 ... 0.30</t>
  </si>
  <si>
    <t>0.30 ... 0.60</t>
  </si>
  <si>
    <t>wire rod</t>
  </si>
  <si>
    <t>1.0517</t>
  </si>
  <si>
    <t>D 45-2</t>
  </si>
  <si>
    <t>C48D</t>
  </si>
  <si>
    <t>0.43 ... 0.48</t>
  </si>
  <si>
    <t>0.30 ... 0.70</t>
  </si>
  <si>
    <t>1.0518</t>
  </si>
  <si>
    <t>D 55-2</t>
  </si>
  <si>
    <t>C56D</t>
  </si>
  <si>
    <t>0.53 ... 0.58</t>
  </si>
  <si>
    <t>1.0528</t>
  </si>
  <si>
    <t>C 30</t>
  </si>
  <si>
    <t>C30</t>
  </si>
  <si>
    <t>A866;</t>
  </si>
  <si>
    <t>G10300;</t>
  </si>
  <si>
    <t>SAE:</t>
  </si>
  <si>
    <t>vehicle manufacturing</t>
  </si>
  <si>
    <t>1.0529</t>
  </si>
  <si>
    <t>StE 350 Z</t>
  </si>
  <si>
    <t>S350GD</t>
  </si>
  <si>
    <t>1.70</t>
  </si>
  <si>
    <t>continously hot-dip galvanized plate und Band;</t>
  </si>
  <si>
    <t>Bauindustrie</t>
  </si>
  <si>
    <t>1.0530</t>
  </si>
  <si>
    <t>D 30-2</t>
  </si>
  <si>
    <t>C32D</t>
  </si>
  <si>
    <t>A573 (70)(485)</t>
  </si>
  <si>
    <t>0.28 ... 0.33</t>
  </si>
  <si>
    <t>non-alloyed quality steel, construction steel;</t>
  </si>
  <si>
    <t>1.0533</t>
  </si>
  <si>
    <t>ZSt 50-2</t>
  </si>
  <si>
    <t>1652-2</t>
  </si>
  <si>
    <t>E295GC</t>
  </si>
  <si>
    <t>steel structure; mittlere Beanspruchung, good weldable;</t>
  </si>
  <si>
    <t>Achsen, Wellen, Bolzen</t>
  </si>
  <si>
    <t>1.0535</t>
  </si>
  <si>
    <t>C 55</t>
  </si>
  <si>
    <t>C55</t>
  </si>
  <si>
    <t>S 55 C;</t>
  </si>
  <si>
    <t>A830M,</t>
  </si>
  <si>
    <t>A29 (1055),</t>
  </si>
  <si>
    <t>A713;</t>
  </si>
  <si>
    <t>G10550;</t>
  </si>
  <si>
    <t>SAE: 1055</t>
  </si>
  <si>
    <t>0.52 ... 0.6</t>
  </si>
  <si>
    <t>0.15 ... 0.35</t>
  </si>
  <si>
    <t>0.60 ... 0.90</t>
  </si>
  <si>
    <t>non-alloyed Qualitätstahl, quenched and tempered steel;</t>
  </si>
  <si>
    <t>vehicle manufacturing;</t>
  </si>
  <si>
    <t>1.0539</t>
  </si>
  <si>
    <t>StE 355</t>
  </si>
  <si>
    <t>S355NH</t>
  </si>
  <si>
    <t>A572 (50)(345)Ty. 3),</t>
  </si>
  <si>
    <t>A714 (III)</t>
  </si>
  <si>
    <t>0.90 ... 1.65</t>
  </si>
  <si>
    <t>0.12</t>
  </si>
  <si>
    <t>0.35</t>
  </si>
  <si>
    <t>fine grained steel, non-alloyed quality steel;</t>
  </si>
  <si>
    <t>hollow profile, tube</t>
  </si>
  <si>
    <t>1.0540</t>
  </si>
  <si>
    <t>C 50</t>
  </si>
  <si>
    <t>C50</t>
  </si>
  <si>
    <t>,A331,</t>
  </si>
  <si>
    <t>A830,(1049),</t>
  </si>
  <si>
    <t>A331,A510,</t>
  </si>
  <si>
    <t>A866,(1050);</t>
  </si>
  <si>
    <t>G10500;</t>
  </si>
  <si>
    <t>1.0541</t>
  </si>
  <si>
    <t>D 40-2</t>
  </si>
  <si>
    <t>C42D</t>
  </si>
  <si>
    <t>0.42</t>
  </si>
  <si>
    <t>0.11</t>
  </si>
  <si>
    <t>0.64</t>
  </si>
  <si>
    <t>0.031</t>
  </si>
  <si>
    <t>0.029</t>
  </si>
  <si>
    <t>0.063</t>
  </si>
  <si>
    <t>0.006</t>
  </si>
  <si>
    <t>1.0543</t>
  </si>
  <si>
    <t>ZSt 60-2</t>
  </si>
  <si>
    <t>E355GC</t>
  </si>
  <si>
    <t>1.0545</t>
  </si>
  <si>
    <t>S355N</t>
  </si>
  <si>
    <t>A 572 M Grade 50 (345),</t>
  </si>
  <si>
    <t>A714 (III),</t>
  </si>
  <si>
    <t>A 618</t>
  </si>
  <si>
    <t>0.55</t>
  </si>
  <si>
    <t>1.0546</t>
  </si>
  <si>
    <t>TStE 355</t>
  </si>
  <si>
    <t>S355NL</t>
  </si>
  <si>
    <t>A 633 M Grade C, D</t>
  </si>
  <si>
    <t>1.0549</t>
  </si>
  <si>
    <t>TStE 355 N</t>
  </si>
  <si>
    <t>S355NLH</t>
  </si>
  <si>
    <t>A 724(C),</t>
  </si>
  <si>
    <t>A 633</t>
  </si>
  <si>
    <t>warmgefertigtes hollow profile für den structural steelwork, kaltgefertigtes geschweißtes hollow profile für den structural steelwork</t>
  </si>
  <si>
    <t>1.0553</t>
  </si>
  <si>
    <t>St 52-3U</t>
  </si>
  <si>
    <t>S355JO</t>
  </si>
  <si>
    <t>structural steelwork</t>
  </si>
  <si>
    <t>1.0554</t>
  </si>
  <si>
    <t>K,Q,Z St 52-3 U</t>
  </si>
  <si>
    <t>S355JOC</t>
  </si>
  <si>
    <t>kaltziehbar;</t>
  </si>
  <si>
    <t>1.0562</t>
  </si>
  <si>
    <t>P355N</t>
  </si>
  <si>
    <t>A 612 M,</t>
  </si>
  <si>
    <t>A 662 M Grade C,</t>
  </si>
  <si>
    <t>A 737 M Grade B,</t>
  </si>
  <si>
    <t>A 455 M,</t>
  </si>
  <si>
    <t>A299,</t>
  </si>
  <si>
    <t>A 350 (LF1),</t>
  </si>
  <si>
    <t>A516,</t>
  </si>
  <si>
    <t>A618 (II),</t>
  </si>
  <si>
    <t>A633 (C,D),</t>
  </si>
  <si>
    <t>A678(A),</t>
  </si>
  <si>
    <t>A714 (II),</t>
  </si>
  <si>
    <t>A724 (C)</t>
  </si>
  <si>
    <t>0.90 ... 1.70</t>
  </si>
  <si>
    <t>Ti: ≤ 0.04, Nb: ≤ 0.05, N: ≤ 0.020;</t>
  </si>
  <si>
    <t>pressure vessel;</t>
  </si>
  <si>
    <t>1.0565</t>
  </si>
  <si>
    <t>WStE 355</t>
  </si>
  <si>
    <t>P355NH</t>
  </si>
  <si>
    <t>A 516</t>
  </si>
  <si>
    <t>high-temperature; pressure vessel</t>
  </si>
  <si>
    <t>1.0566</t>
  </si>
  <si>
    <t>P355NL1</t>
  </si>
  <si>
    <t>A 36-207</t>
  </si>
  <si>
    <t>A 510 AP/FP</t>
  </si>
  <si>
    <t>A299</t>
  </si>
  <si>
    <t>A516(70)(485)</t>
  </si>
  <si>
    <t>A573(70)(485)</t>
  </si>
  <si>
    <t>A618(II)</t>
  </si>
  <si>
    <t>A633(D)</t>
  </si>
  <si>
    <t>A678(A)</t>
  </si>
  <si>
    <t>A707(L1)</t>
  </si>
  <si>
    <t>A707(L2)</t>
  </si>
  <si>
    <t>A714(II)</t>
  </si>
  <si>
    <t>A724©</t>
  </si>
  <si>
    <t>0.13 ... 0.17</t>
  </si>
  <si>
    <t>0.90 ... 1.35</t>
  </si>
  <si>
    <t>0.005</t>
  </si>
  <si>
    <t>0.15</t>
  </si>
  <si>
    <t>0.020 ... 0.040</t>
  </si>
  <si>
    <t>≤ 0.165</t>
  </si>
  <si>
    <t>Nb: 0.02</t>
  </si>
  <si>
    <t>As: max. 0.080</t>
  </si>
  <si>
    <t>N: max. 0.0150;</t>
  </si>
  <si>
    <t>kaltzäh;</t>
  </si>
  <si>
    <t>pressure vessel</t>
  </si>
  <si>
    <t>1.0569</t>
  </si>
  <si>
    <t>K,Q,Z St 52-3 N</t>
  </si>
  <si>
    <t>S355J2G3C</t>
  </si>
  <si>
    <t>0.22</t>
  </si>
  <si>
    <t>non-alloyed quality steel, fine-grained steel;</t>
  </si>
  <si>
    <t>high-strength, weldable;</t>
  </si>
  <si>
    <t>structural steelwork;</t>
  </si>
  <si>
    <t>1.0570</t>
  </si>
  <si>
    <t>St 52-3N</t>
  </si>
  <si>
    <t>S355J2G3</t>
  </si>
  <si>
    <t>A350(LF2)</t>
  </si>
  <si>
    <t>A 513(1024)</t>
  </si>
  <si>
    <t>A663(45-80)</t>
  </si>
  <si>
    <t>A675(45-90)</t>
  </si>
  <si>
    <t>A694(F42-F70)</t>
  </si>
  <si>
    <t>A706</t>
  </si>
  <si>
    <t>A714(III)</t>
  </si>
  <si>
    <t>0.17 ... 0.20</t>
  </si>
  <si>
    <t>0.30 ... 0.55</t>
  </si>
  <si>
    <t>1.40...1.60</t>
  </si>
  <si>
    <t>0.015</t>
  </si>
  <si>
    <t>0.50...1.00</t>
  </si>
  <si>
    <t>Nb: 0.03...0.05</t>
  </si>
  <si>
    <t>tube</t>
  </si>
  <si>
    <t>1.0576</t>
  </si>
  <si>
    <t>RoSt 52-3</t>
  </si>
  <si>
    <t>S355J2H</t>
  </si>
  <si>
    <t>A714(III),</t>
  </si>
  <si>
    <t>welded tube, hollow profile</t>
  </si>
  <si>
    <t>1.0578</t>
  </si>
  <si>
    <t>StE 360.7 TM</t>
  </si>
  <si>
    <t>L360MB</t>
  </si>
  <si>
    <t>0.45</t>
  </si>
  <si>
    <t>Ti: ≤ 0.04, Nb: ≤ 0.05; non-alloyed quality steel, fine-grained steel;</t>
  </si>
  <si>
    <t>1.0582</t>
  </si>
  <si>
    <t>StE 360.7</t>
  </si>
  <si>
    <t>L360NB</t>
  </si>
  <si>
    <t>A 49-411</t>
  </si>
  <si>
    <t>Ti: ≤ 0.04, Nb: ≤ 0.05;</t>
  </si>
  <si>
    <t>1.0585</t>
  </si>
  <si>
    <t>St 52-3 Cu 3</t>
  </si>
  <si>
    <t>S355J2G3Cu</t>
  </si>
  <si>
    <t>steel structure, Schienenfahrzeug, Abkantprofil</t>
  </si>
  <si>
    <t>1.0586</t>
  </si>
  <si>
    <t>D 50-2</t>
  </si>
  <si>
    <t>C50D</t>
  </si>
  <si>
    <t>0.48 ... 0.53</t>
  </si>
  <si>
    <t>1.0588</t>
  </si>
  <si>
    <t>D 53-2</t>
  </si>
  <si>
    <t>C52D</t>
  </si>
  <si>
    <t>1.0601</t>
  </si>
  <si>
    <t>C 60</t>
  </si>
  <si>
    <t>C60</t>
  </si>
  <si>
    <t>1050–88</t>
  </si>
  <si>
    <t>1060;</t>
  </si>
  <si>
    <t>A 62,</t>
  </si>
  <si>
    <t>A713,</t>
  </si>
  <si>
    <t>A830</t>
  </si>
  <si>
    <t>non-alloyed quality steel;, heat-treated steel;</t>
  </si>
  <si>
    <t>Welle, Spindel, Achse, Bolzen, Radreifen, Weichenzunge, Feder, gering beanspruchtes Werkzeug;</t>
  </si>
  <si>
    <t>Fahrzeugbau, Maschinenbau;</t>
  </si>
  <si>
    <t>1.0609</t>
  </si>
  <si>
    <t>D 58-2</t>
  </si>
  <si>
    <t>C58D</t>
  </si>
  <si>
    <t>non-alloyed quality steel;;</t>
  </si>
  <si>
    <t>wire rod, Biegeteile, Stahlnägel</t>
  </si>
  <si>
    <t>1.0610</t>
  </si>
  <si>
    <t>D 60-2</t>
  </si>
  <si>
    <t>C60D</t>
  </si>
  <si>
    <t>wire rod, Schießnägel</t>
  </si>
  <si>
    <t>1.0611</t>
  </si>
  <si>
    <t>D 63-2</t>
  </si>
  <si>
    <t>C62D</t>
  </si>
  <si>
    <t>non-alloyed quality steel;, heat-treated steel, Federstahl;</t>
  </si>
  <si>
    <t>1.0612</t>
  </si>
  <si>
    <t>D 65-2</t>
  </si>
  <si>
    <t>C66D</t>
  </si>
  <si>
    <t>14950-79</t>
  </si>
  <si>
    <t>1.0613</t>
  </si>
  <si>
    <t>D 68-2</t>
  </si>
  <si>
    <t>C68D</t>
  </si>
  <si>
    <t>wire rod, Biegeteile, Stahlnägel, Flachwalzprodukte</t>
  </si>
  <si>
    <t>1.0614</t>
  </si>
  <si>
    <t>D 75-2</t>
  </si>
  <si>
    <t>C76D</t>
  </si>
  <si>
    <t>14959-79</t>
  </si>
  <si>
    <t>non-alloyed quality steel;, Federstahl;</t>
  </si>
  <si>
    <t>1.0615</t>
  </si>
  <si>
    <t>D 70-2</t>
  </si>
  <si>
    <t>C70D</t>
  </si>
  <si>
    <t>1.0616</t>
  </si>
  <si>
    <t>D 85-2</t>
  </si>
  <si>
    <t>C86D</t>
  </si>
  <si>
    <t>A29-M99,</t>
  </si>
  <si>
    <t>A830;</t>
  </si>
  <si>
    <t>1086;</t>
  </si>
  <si>
    <t>G10860</t>
  </si>
  <si>
    <t>0.83 ... 0.88</t>
  </si>
  <si>
    <t>0.10 - 0.30</t>
  </si>
  <si>
    <t>0.30 - 0.70</t>
  </si>
  <si>
    <t>Durchgehärtet, gering korrosionsbeständig, magnetisch;</t>
  </si>
  <si>
    <t>wire rod, Kugellager, Haushaltsgeräte, Automobilindustrie</t>
  </si>
  <si>
    <t>1.0617</t>
  </si>
  <si>
    <t>D 73-2</t>
  </si>
  <si>
    <t>C72D</t>
  </si>
  <si>
    <t>1.0618</t>
  </si>
  <si>
    <t>D 95-2</t>
  </si>
  <si>
    <t>C92D</t>
  </si>
  <si>
    <t>A29-M99;</t>
  </si>
  <si>
    <t>G10900</t>
  </si>
  <si>
    <t>wire rod, Stahlnägel, Kugeln, Flachwalzprodukte, Textilnadeln</t>
  </si>
  <si>
    <t>1.0620</t>
  </si>
  <si>
    <t>D 78-2</t>
  </si>
  <si>
    <t>C78D</t>
  </si>
  <si>
    <t>1.0622</t>
  </si>
  <si>
    <t>D 80-2</t>
  </si>
  <si>
    <t>C80D</t>
  </si>
  <si>
    <t>G10780</t>
  </si>
  <si>
    <t>1.0626</t>
  </si>
  <si>
    <t>D 83-2</t>
  </si>
  <si>
    <t>C82D</t>
  </si>
  <si>
    <t>A576-90;</t>
  </si>
  <si>
    <t>wire rod, Stahlnägel, Kugeln, Flachwalzprodukte</t>
  </si>
  <si>
    <t>1.0628</t>
  </si>
  <si>
    <t>D 88-2</t>
  </si>
  <si>
    <t>C88D</t>
  </si>
  <si>
    <t>G10840,</t>
  </si>
  <si>
    <t>1.0633</t>
  </si>
  <si>
    <t>ZSt 7O-2</t>
  </si>
  <si>
    <t>E360GC</t>
  </si>
  <si>
    <t>Verschleißteil</t>
  </si>
  <si>
    <t>1.0971</t>
  </si>
  <si>
    <t>QStE 260 N</t>
  </si>
  <si>
    <t>S260NC</t>
  </si>
  <si>
    <t>10149-3</t>
  </si>
  <si>
    <t>ASTM A 1011 M-00 Grade 33 (230)</t>
  </si>
  <si>
    <t>1.0972</t>
  </si>
  <si>
    <t>QStE 300 TM</t>
  </si>
  <si>
    <t>S315MC</t>
  </si>
  <si>
    <t>10149-2</t>
  </si>
  <si>
    <t>ASTM A 1011; SAE J 1392;</t>
  </si>
  <si>
    <t>045 XLK</t>
  </si>
  <si>
    <t>1.30</t>
  </si>
  <si>
    <t>Ti: ≤ 0.15;</t>
  </si>
  <si>
    <t>1.0973</t>
  </si>
  <si>
    <t>QStE 300 N</t>
  </si>
  <si>
    <t>S315NC</t>
  </si>
  <si>
    <t>ASTM A 1011 M-00 Grade 50 (345)</t>
  </si>
  <si>
    <t>1.40</t>
  </si>
  <si>
    <t>1.0976</t>
  </si>
  <si>
    <t>QStE 360 TM</t>
  </si>
  <si>
    <t>S355MC</t>
  </si>
  <si>
    <t>alloyed quality steel, Stahl mit hoher Streckgrenze, Stahl zum Kaltumformen;</t>
  </si>
  <si>
    <t>Längsträger, construction steel, Rahmenkonstruktion, Kaltpressteil, Kaltprofil</t>
  </si>
  <si>
    <t>1.0977</t>
  </si>
  <si>
    <t>QStE 36O N</t>
  </si>
  <si>
    <t>S355NC</t>
  </si>
  <si>
    <t>ASTM A 1011 M-00 Grade 55 (380)</t>
  </si>
  <si>
    <t>0.09</t>
  </si>
  <si>
    <t>Ti: ≤ 0.08, Nb: ≤ 0,05;</t>
  </si>
  <si>
    <t>Längsträger, construction steel, Rahmenkonstruktion, Spezialträger, Träger im Baggerbau</t>
  </si>
  <si>
    <t>1.0980</t>
  </si>
  <si>
    <t>QStE 420 TM</t>
  </si>
  <si>
    <t>S420MC</t>
  </si>
  <si>
    <t>ASTM A 1011 GRADE 60;</t>
  </si>
  <si>
    <t>HSLAS-F Gr. 60 [410]/060 XLK</t>
  </si>
  <si>
    <t>Ti: ≤ 0.15, Nb: ≤ 0,09;</t>
  </si>
  <si>
    <t>1.0981</t>
  </si>
  <si>
    <t>QStE 42O N</t>
  </si>
  <si>
    <t>S420NC</t>
  </si>
  <si>
    <t>1.0982</t>
  </si>
  <si>
    <t>QStE 460 TM</t>
  </si>
  <si>
    <t>S460MC</t>
  </si>
  <si>
    <t>Ti: ≤ 0.15, Nb: ≤ 0,08;</t>
  </si>
  <si>
    <t>1.0984</t>
  </si>
  <si>
    <t>QStE 500 TM</t>
  </si>
  <si>
    <t>S500MC</t>
  </si>
  <si>
    <t>ASTM: GRADE 70;</t>
  </si>
  <si>
    <t>HSLAS-F Gr. 70 [480]/070 XLK;</t>
  </si>
  <si>
    <t>fine-grained steel;</t>
  </si>
  <si>
    <t>1.0986</t>
  </si>
  <si>
    <t>QStE 550 TM</t>
  </si>
  <si>
    <t>S550MC</t>
  </si>
  <si>
    <t>ASTM A 656 M Grade 80 (550);</t>
  </si>
  <si>
    <t>HSLAS-F Gr. 80 [550]/080 XLK</t>
  </si>
  <si>
    <t>1.80</t>
  </si>
  <si>
    <t>1.1104</t>
  </si>
  <si>
    <t>EstE 285</t>
  </si>
  <si>
    <t>P275NL2</t>
  </si>
  <si>
    <t>1.1106</t>
  </si>
  <si>
    <t>EstE 355</t>
  </si>
  <si>
    <t>P355NL2</t>
  </si>
  <si>
    <t>1.1149</t>
  </si>
  <si>
    <t>Cm 22</t>
  </si>
  <si>
    <t>C22R</t>
  </si>
  <si>
    <t>10083-1</t>
  </si>
  <si>
    <t>1.1121</t>
  </si>
  <si>
    <t>Ck 10</t>
  </si>
  <si>
    <t>C10E</t>
  </si>
  <si>
    <t>A 519</t>
  </si>
  <si>
    <t>0.07 ... 0.10</t>
  </si>
  <si>
    <t>0.15 ... 0.40</t>
  </si>
  <si>
    <t>0.40 ... 0.60</t>
  </si>
  <si>
    <t>non-alloyed Edelbaustahl</t>
  </si>
  <si>
    <t>1.1141</t>
  </si>
  <si>
    <t>Ck 15</t>
  </si>
  <si>
    <t>C15E</t>
  </si>
  <si>
    <t>A 35-552;</t>
  </si>
  <si>
    <t>AISI: 1016;</t>
  </si>
  <si>
    <t>SAE 1015</t>
  </si>
  <si>
    <t>1.1151</t>
  </si>
  <si>
    <t>Ck 22</t>
  </si>
  <si>
    <t>C22E</t>
  </si>
  <si>
    <t>0.18 ... 0.23</t>
  </si>
  <si>
    <t>0.020 ... 0.050</t>
  </si>
  <si>
    <t>quenched and tempered steel; Maschinenbau; schmiedbar</t>
  </si>
  <si>
    <t>1.1158</t>
  </si>
  <si>
    <t>Ck 25</t>
  </si>
  <si>
    <t>C25E</t>
  </si>
  <si>
    <t>1.1163</t>
  </si>
  <si>
    <t>Cm 25</t>
  </si>
  <si>
    <t>C25R</t>
  </si>
  <si>
    <t>1.1165</t>
  </si>
  <si>
    <t>30 Mn 5</t>
  </si>
  <si>
    <t>G28Mn6</t>
  </si>
  <si>
    <t>30 G 2</t>
  </si>
  <si>
    <t>4543.71</t>
  </si>
  <si>
    <t>UNS: G13300;</t>
  </si>
  <si>
    <t>A 108(1330H);</t>
  </si>
  <si>
    <t>A 304 (1330H);</t>
  </si>
  <si>
    <t>SAE 1330</t>
  </si>
  <si>
    <t>0.27...0.32</t>
  </si>
  <si>
    <t>1.30...1.50</t>
  </si>
  <si>
    <t>non-alloyed Stahlguss</t>
  </si>
  <si>
    <t>1.1170</t>
  </si>
  <si>
    <t>28 Mn 6</t>
  </si>
  <si>
    <t>28Mn6</t>
  </si>
  <si>
    <t>1.1178</t>
  </si>
  <si>
    <t>Ck 30</t>
  </si>
  <si>
    <t>C30E</t>
  </si>
  <si>
    <t>1.1179</t>
  </si>
  <si>
    <t>Cm 30</t>
  </si>
  <si>
    <t>C30R</t>
  </si>
  <si>
    <t>1.1180</t>
  </si>
  <si>
    <t>Cm 35</t>
  </si>
  <si>
    <t>C35R</t>
  </si>
  <si>
    <t>1.1181</t>
  </si>
  <si>
    <t>Ck 35</t>
  </si>
  <si>
    <t>C35E</t>
  </si>
  <si>
    <t>AISI: 1035</t>
  </si>
  <si>
    <t>0.33 ... 0.39</t>
  </si>
  <si>
    <t>0.100</t>
  </si>
  <si>
    <t>non-alloyed Edelbaustahl; quenched and tempered steel; high-temperature</t>
  </si>
  <si>
    <t>1.1186</t>
  </si>
  <si>
    <t>Ck 40</t>
  </si>
  <si>
    <t>C40E</t>
  </si>
  <si>
    <t>1.1189</t>
  </si>
  <si>
    <t>Cm 40</t>
  </si>
  <si>
    <t>C40R</t>
  </si>
  <si>
    <t>1.1191</t>
  </si>
  <si>
    <t>Ck 45</t>
  </si>
  <si>
    <t>C45E</t>
  </si>
  <si>
    <t>SAE 1045</t>
  </si>
  <si>
    <t>0.44 ... 0.49</t>
  </si>
  <si>
    <t>non-alloyed Edelbaustahl; quenched and tempered steel; oberflächenhärtbar</t>
  </si>
  <si>
    <t>1.1201</t>
  </si>
  <si>
    <t>Cm 45</t>
  </si>
  <si>
    <t>C45R</t>
  </si>
  <si>
    <t>1.1202</t>
  </si>
  <si>
    <t>D 53-3</t>
  </si>
  <si>
    <t>C52D2</t>
  </si>
  <si>
    <t>10016-4</t>
  </si>
  <si>
    <t>1.1203</t>
  </si>
  <si>
    <t>Ck 55</t>
  </si>
  <si>
    <t>C55E</t>
  </si>
  <si>
    <t>1.1206</t>
  </si>
  <si>
    <t>Ck 50</t>
  </si>
  <si>
    <t>C50E</t>
  </si>
  <si>
    <t>1.1209</t>
  </si>
  <si>
    <t>Cm 55</t>
  </si>
  <si>
    <t>C55R</t>
  </si>
  <si>
    <t>1.1212</t>
  </si>
  <si>
    <t>D 58-3</t>
  </si>
  <si>
    <t>C58D2</t>
  </si>
  <si>
    <t>1.1220</t>
  </si>
  <si>
    <t>D 55-3</t>
  </si>
  <si>
    <t>C56D2</t>
  </si>
  <si>
    <t>1.1221</t>
  </si>
  <si>
    <t>Ck 60</t>
  </si>
  <si>
    <t>C60E</t>
  </si>
  <si>
    <t>AISI: 1060;</t>
  </si>
  <si>
    <t>SAE 1064</t>
  </si>
  <si>
    <t>0.57 ... 0.65</t>
  </si>
  <si>
    <t>quenched and tempered steel;</t>
  </si>
  <si>
    <t>1.1222</t>
  </si>
  <si>
    <t>D63-3</t>
  </si>
  <si>
    <t>C62D2</t>
  </si>
  <si>
    <t>1.1223</t>
  </si>
  <si>
    <t>Cm 60</t>
  </si>
  <si>
    <t>C60R</t>
  </si>
  <si>
    <t>1.1228</t>
  </si>
  <si>
    <t>D 60-3</t>
  </si>
  <si>
    <t>C60D2</t>
  </si>
  <si>
    <t>1.1231</t>
  </si>
  <si>
    <t>Ck 67</t>
  </si>
  <si>
    <t>C67E</t>
  </si>
  <si>
    <t>SAE 1070</t>
  </si>
  <si>
    <t>0.65 ... 0.72</t>
  </si>
  <si>
    <t>Federstahl; verschleißfest</t>
  </si>
  <si>
    <t>1.1232</t>
  </si>
  <si>
    <t>D 68-3</t>
  </si>
  <si>
    <t>C68D2</t>
  </si>
  <si>
    <t>1.1236</t>
  </si>
  <si>
    <t>D 65-3</t>
  </si>
  <si>
    <t>C66D2</t>
  </si>
  <si>
    <t>1.1241</t>
  </si>
  <si>
    <t>Cm 50</t>
  </si>
  <si>
    <t>C50R</t>
  </si>
  <si>
    <t>1.1242</t>
  </si>
  <si>
    <t>D 73-3</t>
  </si>
  <si>
    <t>C72D2</t>
  </si>
  <si>
    <t>1.1252</t>
  </si>
  <si>
    <t>D 78-3</t>
  </si>
  <si>
    <t>C78D2</t>
  </si>
  <si>
    <t>1.1253</t>
  </si>
  <si>
    <t>D 75-3</t>
  </si>
  <si>
    <t>C76D2</t>
  </si>
  <si>
    <t>1.1255</t>
  </si>
  <si>
    <t>D 80-3</t>
  </si>
  <si>
    <t>C80D2</t>
  </si>
  <si>
    <t>1.1262</t>
  </si>
  <si>
    <t>D 83-3</t>
  </si>
  <si>
    <t>C82D2</t>
  </si>
  <si>
    <t>1.1265</t>
  </si>
  <si>
    <t>D 85-3</t>
  </si>
  <si>
    <t>C86D2</t>
  </si>
  <si>
    <t>1.1272</t>
  </si>
  <si>
    <t>D 88-3</t>
  </si>
  <si>
    <t>C88D2</t>
  </si>
  <si>
    <t>1.1282</t>
  </si>
  <si>
    <t>D 95-3</t>
  </si>
  <si>
    <t>C92D2</t>
  </si>
  <si>
    <t>1.4301</t>
  </si>
  <si>
    <t>X 5 CrNi 18 10</t>
  </si>
  <si>
    <t>V 4133, 5512-3</t>
  </si>
  <si>
    <t>X4CrNi18-10</t>
  </si>
  <si>
    <t>10088-1</t>
  </si>
  <si>
    <t>08 Ch 18 N 10</t>
  </si>
  <si>
    <t>5632-72</t>
  </si>
  <si>
    <t>S30400</t>
  </si>
  <si>
    <t>A 182,</t>
  </si>
  <si>
    <t>A 193,</t>
  </si>
  <si>
    <t>A 194,</t>
  </si>
  <si>
    <t>A 213,</t>
  </si>
  <si>
    <t>A 240,</t>
  </si>
  <si>
    <t>A 249,</t>
  </si>
  <si>
    <t>A 269,</t>
  </si>
  <si>
    <t>A 270,</t>
  </si>
  <si>
    <t>A 276,</t>
  </si>
  <si>
    <t>A 312,</t>
  </si>
  <si>
    <t>A 313,</t>
  </si>
  <si>
    <t>A 314,</t>
  </si>
  <si>
    <t>A 320,</t>
  </si>
  <si>
    <t>A 358,</t>
  </si>
  <si>
    <t>A 368,</t>
  </si>
  <si>
    <t>A 376,</t>
  </si>
  <si>
    <t>A 403,</t>
  </si>
  <si>
    <t>A 409,</t>
  </si>
  <si>
    <t>A 473,</t>
  </si>
  <si>
    <t>A 478,</t>
  </si>
  <si>
    <t>A 479,</t>
  </si>
  <si>
    <t>A 492,</t>
  </si>
  <si>
    <t>A 493,</t>
  </si>
  <si>
    <t>A 511,</t>
  </si>
  <si>
    <t>A 554,</t>
  </si>
  <si>
    <t>A 580,</t>
  </si>
  <si>
    <t>A 632,</t>
  </si>
  <si>
    <t>A 666,</t>
  </si>
  <si>
    <t>A 688,</t>
  </si>
  <si>
    <t>A 793,</t>
  </si>
  <si>
    <t>A 813,</t>
  </si>
  <si>
    <t>A 814,</t>
  </si>
  <si>
    <t>A 908,</t>
  </si>
  <si>
    <t>A 943,</t>
  </si>
  <si>
    <t>A 955,</t>
  </si>
  <si>
    <t>A 965,</t>
  </si>
  <si>
    <t>A 988</t>
  </si>
  <si>
    <t>0.07</t>
  </si>
  <si>
    <t>1.00</t>
  </si>
  <si>
    <t>2.00</t>
  </si>
  <si>
    <t>18.00 ... 19.00</t>
  </si>
  <si>
    <t>8.50 ... 10.00</t>
  </si>
  <si>
    <t>0.500</t>
  </si>
  <si>
    <t>N: ≤ 0.100;</t>
  </si>
  <si>
    <t>alloyed stainless steel;</t>
  </si>
  <si>
    <t>austenitic, säurebeständig, gute Korrosionsbeständigkeit, sehr gute weldablekeit, tiefziehbar, verschleißfest, gut polierbar</t>
  </si>
  <si>
    <t>1.4306</t>
  </si>
  <si>
    <t>X 2 CrNi 19 11</t>
  </si>
  <si>
    <t>X2CrNi19-11</t>
  </si>
  <si>
    <t>AISI: 304 L;</t>
  </si>
  <si>
    <t>S30403,</t>
  </si>
  <si>
    <t>J92500</t>
  </si>
  <si>
    <t>10.00 ... 11.00</t>
  </si>
  <si>
    <t>≤ 0.5</t>
  </si>
  <si>
    <t>Ti: ≤ 0.10, N: ≤ 0.100, B: ≤ 0.005;</t>
  </si>
  <si>
    <t>stainless steel;</t>
  </si>
  <si>
    <t>austenitic, high-temperature, kaltzäh, gute Korrosionsbeständigkeit; zum Kaltstauchen und Kaltfließpressen, sehr gut schmiedbar, very good weldable</t>
  </si>
  <si>
    <t>1.4313</t>
  </si>
  <si>
    <t>X 4 CrNi 13 4</t>
  </si>
  <si>
    <t>X3CrNiMo13-4</t>
  </si>
  <si>
    <t>182 F6NM;</t>
  </si>
  <si>
    <t>S41500,</t>
  </si>
  <si>
    <t>J91540</t>
  </si>
  <si>
    <t>0. 25 ... 0.040</t>
  </si>
  <si>
    <t>0.02 ... 0.06</t>
  </si>
  <si>
    <t>0.50 ... 1.00</t>
  </si>
  <si>
    <t>12.50 ... 13.50</t>
  </si>
  <si>
    <t>4.00 ... 4.50</t>
  </si>
  <si>
    <t>0.50 ... 0.70</t>
  </si>
  <si>
    <t>0.01 ... 0.03</t>
  </si>
  <si>
    <t>≤ 0.2</t>
  </si>
  <si>
    <t>Ti: ≤ 0.05, N: 0.02 ... 0.04, Co: ≤ 0.20;</t>
  </si>
  <si>
    <t>mittlere Korrosionsbeständigkeit, vergütbar, kaltzäh, mittlere Schmiedbarkeit, schlechte weldablekeit, mittlere Spanbarkeit</t>
  </si>
  <si>
    <t>1.4401</t>
  </si>
  <si>
    <t>X 5 CrNiMo 17 12 2</t>
  </si>
  <si>
    <t>X5CrNiMo17-12-2</t>
  </si>
  <si>
    <t>316 H</t>
  </si>
  <si>
    <t>0.04 ... 0.07</t>
  </si>
  <si>
    <t>16.50 ... 18.00</t>
  </si>
  <si>
    <t>10.50 ... 12.50</t>
  </si>
  <si>
    <t>2.00 ... 2.50</t>
  </si>
  <si>
    <t>Ti: ≤ 0.05, N: ≤ 0.100, Co: ≤ 0.20;</t>
  </si>
  <si>
    <t>austenitic, säurebeständig, kaltstauchbar, polierbar</t>
  </si>
  <si>
    <t>1.4404</t>
  </si>
  <si>
    <t>X 2 CrNiMo 17 12 2</t>
  </si>
  <si>
    <t>X2CrNiMo17-12-2</t>
  </si>
  <si>
    <t>A182 F 316;</t>
  </si>
  <si>
    <t>S31603</t>
  </si>
  <si>
    <t>11.00 ... 14.00</t>
  </si>
  <si>
    <t>chemisch beständiger, stainless steel;</t>
  </si>
  <si>
    <t>austenitic, korrosionsbeständig, high-strength, gut verformbar, good weldable</t>
  </si>
  <si>
    <t>1.4406</t>
  </si>
  <si>
    <t>X 2 CrNiMoN 17 11 2</t>
  </si>
  <si>
    <t>X2CrNiMoN17-11-2</t>
  </si>
  <si>
    <t>ASTM: A182;</t>
  </si>
  <si>
    <t>AISI: F316LN;</t>
  </si>
  <si>
    <t>UNS: S31653</t>
  </si>
  <si>
    <t>10.00 ... 12.00</t>
  </si>
  <si>
    <t>N: 0.15 ... 0.25;</t>
  </si>
  <si>
    <t>austenitic, säurebeständig</t>
  </si>
  <si>
    <t>1.4410</t>
  </si>
  <si>
    <t>X 2 CrNiMoN 25 7 4</t>
  </si>
  <si>
    <t>X2CrNiMoN25-7-4</t>
  </si>
  <si>
    <t>A 789,</t>
  </si>
  <si>
    <t>A 790,</t>
  </si>
  <si>
    <t>A 815,</t>
  </si>
  <si>
    <t>A 928,</t>
  </si>
  <si>
    <t>A 949,</t>
  </si>
  <si>
    <t>A 988;</t>
  </si>
  <si>
    <t>S32750</t>
  </si>
  <si>
    <t>0.80</t>
  </si>
  <si>
    <t>24.00 ... 26.00</t>
  </si>
  <si>
    <t>6.00 ... 8.00</t>
  </si>
  <si>
    <t>3.00 ... 5.00</t>
  </si>
  <si>
    <t>N: 0.24 ... 0.32; chemisch beständiger, stainless steel, Super-Duplex-steel; austenitic/ferritisch</t>
  </si>
  <si>
    <t>1.4418</t>
  </si>
  <si>
    <t>X 4 CrNiMo 16 5 1</t>
  </si>
  <si>
    <t>X4CrNiMo16-5-1</t>
  </si>
  <si>
    <t>A182 F51;</t>
  </si>
  <si>
    <t>S31803;</t>
  </si>
  <si>
    <t>21.00 ... 23.00</t>
  </si>
  <si>
    <t>4.50 ... 6.50</t>
  </si>
  <si>
    <t>2.50 ... 3.50</t>
  </si>
  <si>
    <t>Ti: ≤ 0.01, Nb: 0.02, N: 0.15 ... 0.20;</t>
  </si>
  <si>
    <t>chemisch beständiger, stainless steel; martensitisch, säurebeständig, vergütbar</t>
  </si>
  <si>
    <t>1.4429</t>
  </si>
  <si>
    <t>X 2 CrNiMoN 17 13 3</t>
  </si>
  <si>
    <t>X2CrNiMoN17-13-3</t>
  </si>
  <si>
    <t>AISI: 316LN;</t>
  </si>
  <si>
    <t>UNS: S31635;</t>
  </si>
  <si>
    <t>11.50 ... 13.00</t>
  </si>
  <si>
    <t>2.50 ... 3.00</t>
  </si>
  <si>
    <t>N: 0.14 ... 0.16; chemisch beständiger, stainless steel;</t>
  </si>
  <si>
    <t>1.4435</t>
  </si>
  <si>
    <t>X 2 CrNiMo 18 14 3</t>
  </si>
  <si>
    <t>X2CrNiMo18 14 3</t>
  </si>
  <si>
    <t>AISI: 316L;</t>
  </si>
  <si>
    <t>UNS: S31603</t>
  </si>
  <si>
    <t>17.00 ... 18.00</t>
  </si>
  <si>
    <t>12.50 ... 15.00</t>
  </si>
  <si>
    <t>austenitic, beständig gegen interkristalline Korrosion</t>
  </si>
  <si>
    <t>1.4462</t>
  </si>
  <si>
    <t>X 2 CrNiMoN 22 5 3</t>
  </si>
  <si>
    <t>SEW 310</t>
  </si>
  <si>
    <t>X2CrNiMoN22-5-3</t>
  </si>
  <si>
    <t>UNS: S31803</t>
  </si>
  <si>
    <t>Ti: ≤ 0.01, Nb: 0.02;</t>
  </si>
  <si>
    <t>chemisch beständiger, rost- und säurebeständiger steel, Duplex-steel; gute Beständigkeit gegen Lochfraß und allgemeine Korrosion; die Duplex-Mikrostruktur bringt hohe Festigkeiten und Beständigkeit gegen Spannungsrisskorrosion; good weldable; polierbar; der cold-rolled Band ist nicht magnetisierbar</t>
  </si>
  <si>
    <t>1.4501</t>
  </si>
  <si>
    <t>X 2 CrNiMoCuWN 25 7 4</t>
  </si>
  <si>
    <t>X2CrNiMoCuWN25-7-4</t>
  </si>
  <si>
    <t>ASTM: A 182 (F 55),</t>
  </si>
  <si>
    <t>A 240 (S 32760),</t>
  </si>
  <si>
    <t>A 276 (S 32760),</t>
  </si>
  <si>
    <t>A 314 (S 32760),</t>
  </si>
  <si>
    <t>A 473 (S 32760),</t>
  </si>
  <si>
    <t>A 479 (S 32760),</t>
  </si>
  <si>
    <t>A 789 (S 32760),</t>
  </si>
  <si>
    <t>A 790 (S 32760),</t>
  </si>
  <si>
    <t>A 815 (S 32760),</t>
  </si>
  <si>
    <t>A 928 (S 32760),</t>
  </si>
  <si>
    <t>A 988 (S 32760);</t>
  </si>
  <si>
    <t>UNS: S32760</t>
  </si>
  <si>
    <t>3.00 ... 4.00</t>
  </si>
  <si>
    <t>N: 0.20 ... 0.30, W: 0.50 ... 1.00;</t>
  </si>
  <si>
    <t>korrosionsbeständiger steel mit Sonderzusätzen, Super-Duplex-steel;</t>
  </si>
  <si>
    <t>austenitic-ferritisch, sehr gute chemische Beständigkeit auch gegenüber Erosion, Spannungsriss- und Schwingungsrisskorrosion</t>
  </si>
  <si>
    <t>1.4539</t>
  </si>
  <si>
    <t>X 1 NiCrMoCu 25 20 5</t>
  </si>
  <si>
    <t>X1NiCrMoCu25-20-5</t>
  </si>
  <si>
    <t>A 182-05: A 182 (F904L),</t>
  </si>
  <si>
    <t>A 240-05: A 240 (N 08904),</t>
  </si>
  <si>
    <t>A 249-04: A 249 (N 08904),</t>
  </si>
  <si>
    <t>A 269-04: A 269 (N 08904),</t>
  </si>
  <si>
    <t>A 312-05: A 312 (N 08904),</t>
  </si>
  <si>
    <t>A 358-05: A 358 (N 08904);</t>
  </si>
  <si>
    <t>N08904;</t>
  </si>
  <si>
    <t>0.70</t>
  </si>
  <si>
    <t>19.00 ... 21.00</t>
  </si>
  <si>
    <t>4.00 ... 5.00</t>
  </si>
  <si>
    <t>1.00 ... 2.00</t>
  </si>
  <si>
    <t>N: 0.04 ... 0.15;</t>
  </si>
  <si>
    <t>alloyed stainless steel, chemisch beständiger stainless steel mit Sonderzusätzen;</t>
  </si>
  <si>
    <t>austenitic, polierbar, besonders gut säurebeständig, hohe Lochfraß- und Spannungsrisskorrosionsbeständigkeit</t>
  </si>
  <si>
    <t>1.4541</t>
  </si>
  <si>
    <t>X 6 CrNiTi 18 10</t>
  </si>
  <si>
    <t>X6CrNiTi18-10</t>
  </si>
  <si>
    <t>08 Ch 18 N 10 T</t>
  </si>
  <si>
    <t>AISI: 321;</t>
  </si>
  <si>
    <t>ASME:</t>
  </si>
  <si>
    <t>SA 182,</t>
  </si>
  <si>
    <t>SA 193,</t>
  </si>
  <si>
    <t>SA 194,</t>
  </si>
  <si>
    <t>SA 213,</t>
  </si>
  <si>
    <t>SA 240,</t>
  </si>
  <si>
    <t>SA 249,</t>
  </si>
  <si>
    <t>SA 312,</t>
  </si>
  <si>
    <t>SA 320,</t>
  </si>
  <si>
    <t>SA 358,</t>
  </si>
  <si>
    <t>SA 376,</t>
  </si>
  <si>
    <t>SA 403,</t>
  </si>
  <si>
    <t>SA 409,</t>
  </si>
  <si>
    <t>SA 473,</t>
  </si>
  <si>
    <t>SA 479;</t>
  </si>
  <si>
    <t>UNS: S32100;</t>
  </si>
  <si>
    <t>A 774,</t>
  </si>
  <si>
    <t>A 778,</t>
  </si>
  <si>
    <t>A 965</t>
  </si>
  <si>
    <t>17.00 ... 19.00</t>
  </si>
  <si>
    <t>9.00 ... 11.00</t>
  </si>
  <si>
    <t>Ti: ≤ 0.60, N: ≤ 0.100;</t>
  </si>
  <si>
    <t>austenitic, high-strength, gut verformbar, good weldable</t>
  </si>
  <si>
    <t>1.4542</t>
  </si>
  <si>
    <t>X 5 CrNiCuNb 17 4</t>
  </si>
  <si>
    <t>X5CrNiMoCuNb-16-4</t>
  </si>
  <si>
    <t>ASTM: A564;</t>
  </si>
  <si>
    <t>UNS: S17400</t>
  </si>
  <si>
    <t>15.00 ... 17.00</t>
  </si>
  <si>
    <t>3.0 ... 5.0</t>
  </si>
  <si>
    <t>Nb: 0.25 ... 0.45;</t>
  </si>
  <si>
    <t>stainless, säurebeständiger steel;</t>
  </si>
  <si>
    <t>not weldable</t>
  </si>
  <si>
    <t>1.4547</t>
  </si>
  <si>
    <t>X 1 CrNiMoCuN 20 18 7</t>
  </si>
  <si>
    <t>X1CrNiMoCuN20-18-7</t>
  </si>
  <si>
    <t>UNS: S31254;</t>
  </si>
  <si>
    <t>A 351,</t>
  </si>
  <si>
    <t>A 743,</t>
  </si>
  <si>
    <t>A 744,</t>
  </si>
  <si>
    <t>A 781,</t>
  </si>
  <si>
    <t>SA 479,</t>
  </si>
  <si>
    <t>SA 480</t>
  </si>
  <si>
    <t>19.50 ... 20.50</t>
  </si>
  <si>
    <t>17.50 .. 18.50</t>
  </si>
  <si>
    <t>6.00 ... 6.50</t>
  </si>
  <si>
    <t>N: 0.18 .. 0.22;</t>
  </si>
  <si>
    <t>austenitic, säurebeständig, gute bis sehr gute Beständigkeit gegen Lochfraß und Spannungsrißkorrosion, gute Dehnungswerte und Schweissbarkeit</t>
  </si>
  <si>
    <t>1.4563</t>
  </si>
  <si>
    <t>X 1 NiCrMoCu 31 27 4</t>
  </si>
  <si>
    <t>X1NiCrMoCu31-27-4</t>
  </si>
  <si>
    <t>B668,</t>
  </si>
  <si>
    <t>B 709-04: B 709 (N 08028);</t>
  </si>
  <si>
    <t>UNS: N08028;</t>
  </si>
  <si>
    <t>26.00 ... 28.00</t>
  </si>
  <si>
    <t>30.00 ... 32.00</t>
  </si>
  <si>
    <t>0.80 ... 1.40</t>
  </si>
  <si>
    <t>austenitic, gute Beständigkeit gegen korrosive Medien</t>
  </si>
  <si>
    <t>1.4571</t>
  </si>
  <si>
    <t>X 6 CrNiMoTi 17 12 2</t>
  </si>
  <si>
    <t>X6CrNiMoTi17-12-2</t>
  </si>
  <si>
    <t>08 Ch 17 N 13 M 2 T</t>
  </si>
  <si>
    <t>A 479;</t>
  </si>
  <si>
    <t>AISI: 316Ti;</t>
  </si>
  <si>
    <t>UNS: S31635</t>
  </si>
  <si>
    <t>11.00 ... 13.00</t>
  </si>
  <si>
    <t>austenitic, good weldable</t>
  </si>
  <si>
    <t>1.5415</t>
  </si>
  <si>
    <t>15 Mo 3</t>
  </si>
  <si>
    <t>16Mo3</t>
  </si>
  <si>
    <t>1.5530</t>
  </si>
  <si>
    <t>21 MnB 5</t>
  </si>
  <si>
    <t>20MnB5</t>
  </si>
  <si>
    <t>10083-3</t>
  </si>
  <si>
    <t>1.5531</t>
  </si>
  <si>
    <t>30 MnB 5</t>
  </si>
  <si>
    <t>30MnB5</t>
  </si>
  <si>
    <t>1.5532</t>
  </si>
  <si>
    <t>38 MnB 5</t>
  </si>
  <si>
    <t>38MnB5</t>
  </si>
  <si>
    <t>1.5637</t>
  </si>
  <si>
    <t>10 Ni 14</t>
  </si>
  <si>
    <t>12N114</t>
  </si>
  <si>
    <t>10028-4</t>
  </si>
  <si>
    <t>1.5662</t>
  </si>
  <si>
    <t>X 8 Ni 9</t>
  </si>
  <si>
    <t>X8N19</t>
  </si>
  <si>
    <t>1.5680</t>
  </si>
  <si>
    <t>12 Ni 19</t>
  </si>
  <si>
    <t>X12Ni5</t>
  </si>
  <si>
    <t>1.7035</t>
  </si>
  <si>
    <t>41 Cr 4</t>
  </si>
  <si>
    <t>41Cr4</t>
  </si>
  <si>
    <t>1.7039</t>
  </si>
  <si>
    <t>41 CrS 4</t>
  </si>
  <si>
    <t>41CrS4</t>
  </si>
  <si>
    <t>1.7218</t>
  </si>
  <si>
    <t>25 CrMo 4</t>
  </si>
  <si>
    <t>25CrMo4</t>
  </si>
  <si>
    <t>1.7220</t>
  </si>
  <si>
    <t>34 CrMo 4</t>
  </si>
  <si>
    <t>34CrMo4</t>
  </si>
  <si>
    <t>1.7225</t>
  </si>
  <si>
    <t>42 CrMo 4</t>
  </si>
  <si>
    <t>42CrMo4</t>
  </si>
  <si>
    <t>1.7226</t>
  </si>
  <si>
    <t>34 CrM0S 4</t>
  </si>
  <si>
    <t>34CrMoS4</t>
  </si>
  <si>
    <t>1.7227</t>
  </si>
  <si>
    <t>42 CrMoS 4</t>
  </si>
  <si>
    <t>42CrMoS4</t>
  </si>
  <si>
    <t>1.7335</t>
  </si>
  <si>
    <t>13 CrMo 4 4</t>
  </si>
  <si>
    <t>13CrMo4-5</t>
  </si>
  <si>
    <t>1.7380</t>
  </si>
  <si>
    <t>10 CrMo 9 10</t>
  </si>
  <si>
    <t>10CrMo9-10</t>
  </si>
  <si>
    <t>1.8823</t>
  </si>
  <si>
    <t>StE 355 TM</t>
  </si>
  <si>
    <t>S355M</t>
  </si>
  <si>
    <t>1.8825</t>
  </si>
  <si>
    <t>StE 420 TM</t>
  </si>
  <si>
    <t>S420M</t>
  </si>
  <si>
    <t>1.8827</t>
  </si>
  <si>
    <t>StE 460 TM</t>
  </si>
  <si>
    <t>S460M</t>
  </si>
  <si>
    <t>1.8834</t>
  </si>
  <si>
    <t>TStE 355 TM</t>
  </si>
  <si>
    <t>S355ML</t>
  </si>
  <si>
    <t>1.8836</t>
  </si>
  <si>
    <t>TStE 420 TM</t>
  </si>
  <si>
    <t>S420ML</t>
  </si>
  <si>
    <t>1.8838</t>
  </si>
  <si>
    <t>TStE 460 TM</t>
  </si>
  <si>
    <t>S460ML</t>
  </si>
  <si>
    <t>1.8901</t>
  </si>
  <si>
    <t>StE 460</t>
  </si>
  <si>
    <t>S460N</t>
  </si>
  <si>
    <t>1.8902</t>
  </si>
  <si>
    <t>StE 420</t>
  </si>
  <si>
    <t>S420N</t>
  </si>
  <si>
    <t>1.8903</t>
  </si>
  <si>
    <t>TStE 460</t>
  </si>
  <si>
    <t>S460NL</t>
  </si>
  <si>
    <t>1.8905</t>
  </si>
  <si>
    <t>P460N</t>
  </si>
  <si>
    <t>1.8912</t>
  </si>
  <si>
    <t>TStE 420</t>
  </si>
  <si>
    <t>S420NL</t>
  </si>
  <si>
    <t>1.8915</t>
  </si>
  <si>
    <t>P460NL1</t>
  </si>
  <si>
    <t>1.8917</t>
  </si>
  <si>
    <t>TStE 500</t>
  </si>
  <si>
    <t>S500NL</t>
  </si>
  <si>
    <t>ASTM: A225</t>
  </si>
  <si>
    <t>0.10 ... 0.60</t>
  </si>
  <si>
    <t>≤ 0.20</t>
  </si>
  <si>
    <t>Nb: 0.05;</t>
  </si>
  <si>
    <t>fine grained steel; weldable, kaltzäh; structural steelwork</t>
  </si>
  <si>
    <t>1.8918</t>
  </si>
  <si>
    <t>EStE 460</t>
  </si>
  <si>
    <t>P460NL2</t>
  </si>
  <si>
    <t>1.8925</t>
  </si>
  <si>
    <t>EStE 890 V</t>
  </si>
  <si>
    <t>S890QL1</t>
  </si>
  <si>
    <t>10137-2</t>
  </si>
  <si>
    <t>1.8928</t>
  </si>
  <si>
    <t>TStE 690 V</t>
  </si>
  <si>
    <t>S690QL</t>
  </si>
  <si>
    <t>1.8931</t>
  </si>
  <si>
    <t>StE 690 V</t>
  </si>
  <si>
    <t>S690Q</t>
  </si>
  <si>
    <t>1.8933</t>
  </si>
  <si>
    <t>TStE 960 V</t>
  </si>
  <si>
    <t>S960QL</t>
  </si>
  <si>
    <t>1.8935</t>
  </si>
  <si>
    <t>WStE 460</t>
  </si>
  <si>
    <t>P460NH</t>
  </si>
  <si>
    <t>1.8953</t>
  </si>
  <si>
    <t>S460NH</t>
  </si>
  <si>
    <t>1.8956</t>
  </si>
  <si>
    <t>S460NLH</t>
  </si>
  <si>
    <t>1.8961</t>
  </si>
  <si>
    <t>WTSt 37-3</t>
  </si>
  <si>
    <t>S235J2W</t>
  </si>
  <si>
    <t>1.8963</t>
  </si>
  <si>
    <t>WTSt 52-3</t>
  </si>
  <si>
    <t>S355J2G1W</t>
  </si>
  <si>
    <t>1.8983</t>
  </si>
  <si>
    <t>TStE 890 V</t>
  </si>
  <si>
    <t>S890QL</t>
  </si>
  <si>
    <t>http://www.peacesoftware.de/einigewerte/einigewerte_e.html</t>
  </si>
  <si>
    <t>Location</t>
  </si>
  <si>
    <t>Battery purpose</t>
  </si>
  <si>
    <t>Total cap.</t>
  </si>
  <si>
    <t>Distr. B1</t>
  </si>
  <si>
    <t>Distr. B2</t>
  </si>
  <si>
    <t>Distr. B3</t>
  </si>
  <si>
    <t>Distr. B6</t>
  </si>
  <si>
    <t>Ah</t>
  </si>
  <si>
    <t>pcs.</t>
  </si>
  <si>
    <t>Distr. B5</t>
  </si>
  <si>
    <t>Distr. B4</t>
  </si>
  <si>
    <t>Charger current</t>
  </si>
  <si>
    <t>A</t>
  </si>
  <si>
    <t>Emergency gen.</t>
  </si>
  <si>
    <t>Trafo room</t>
  </si>
  <si>
    <t>Bridge</t>
  </si>
  <si>
    <t>Bow wkshp</t>
  </si>
  <si>
    <t>Voltage</t>
  </si>
  <si>
    <t>Battery Total Cap</t>
  </si>
  <si>
    <t>kVAh</t>
  </si>
  <si>
    <t>kW</t>
  </si>
  <si>
    <t>Bulk carriers, but applicable!</t>
  </si>
  <si>
    <t>g</t>
  </si>
  <si>
    <t>Coamings of ventilators has to be weathertight in exposed decks up to weathertight closing (if applied) or up to outlet if there is no weathertight closing applied. Thickness should follow DnV requirements, as per following table:</t>
  </si>
  <si>
    <t>Then:</t>
  </si>
  <si>
    <t>Position 1 &amp; 2</t>
  </si>
  <si>
    <t>Above positions 1 &amp; 2</t>
  </si>
  <si>
    <t>4” SCH 80</t>
  </si>
  <si>
    <t>4” SCH 40</t>
  </si>
  <si>
    <t>5” SCH 80</t>
  </si>
  <si>
    <t>5” SCH 40</t>
  </si>
  <si>
    <t>6” SCH 80</t>
  </si>
  <si>
    <t>6” SCH 40</t>
  </si>
  <si>
    <t>8” SCH 60 or 80</t>
  </si>
  <si>
    <t>8” SCH 20</t>
  </si>
  <si>
    <t>10” SCH 40</t>
  </si>
  <si>
    <t>10” SCH 20</t>
  </si>
  <si>
    <t>12” SCH 40</t>
  </si>
  <si>
    <t>12” SCH 20</t>
  </si>
  <si>
    <t>14” SCH 40</t>
  </si>
  <si>
    <t>14” SCH 20</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</si>
</sst>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64" formatCode="0.0"/>
    <numFmt numFmtId="165" formatCode="[$-414]mmm\.\ yy;@"/>
    <numFmt numFmtId="166" formatCode="0&quot; Pa&quot;"/>
    <numFmt numFmtId="167" formatCode="####&quot; mm&quot;"/>
    <numFmt numFmtId="168" formatCode="#&quot; N&quot;"/>
    <numFmt numFmtId="169" formatCode="#&quot; kG&quot;"/>
    <numFmt numFmtId="170" formatCode="#&quot; lbf&quot;"/>
    <numFmt numFmtId="171" formatCode="#&quot; kg/m3&quot;"/>
    <numFmt numFmtId="172" formatCode="#&quot; m3/h&quot;"/>
    <numFmt numFmtId="173" formatCode="#&quot; W&quot;"/>
    <numFmt numFmtId="174" formatCode="##.#&quot; bar&quot;"/>
    <numFmt numFmtId="175" formatCode="##.#&quot; kW&quot;"/>
    <numFmt numFmtId="176" formatCode="#.#&quot; mH2O&quot;"/>
    <numFmt numFmtId="177" formatCode="0.00&quot; m/s&quot;"/>
    <numFmt numFmtId="178" formatCode="0.00&quot; m3/s&quot;"/>
    <numFmt numFmtId="179" formatCode="0.00&quot; kg/m3&quot;"/>
    <numFmt numFmtId="180" formatCode="0&quot; mm&quot;"/>
    <numFmt numFmtId="181" formatCode="0.00&quot; m&quot;"/>
    <numFmt numFmtId="182" formatCode="0.00&quot; Pa/m&quot;"/>
    <numFmt numFmtId="183" formatCode="\ ###&quot; m3/h&quot;"/>
    <numFmt numFmtId="184" formatCode="0.000"/>
    <numFmt numFmtId="185" formatCode="0.000000"/>
    <numFmt numFmtId="186" formatCode="#.##&quot; bar&quot;"/>
    <numFmt numFmtId="187" formatCode="#,##0&quot; m3/h&quot;"/>
    <numFmt numFmtId="188" formatCode="###0&quot; Pa&quot;"/>
    <numFmt numFmtId="189" formatCode="0.00000"/>
    <numFmt numFmtId="190" formatCode="0.0000"/>
    <numFmt numFmtId="191" formatCode="0.0%"/>
  </numFmts>
  <fonts count="78">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2" tint="-0.249977111117893"/>
      <name val="Calibri"/>
      <family val="2"/>
      <scheme val="minor"/>
    </font>
    <font>
      <sz val="11"/>
      <name val="Calibri"/>
      <family val="2"/>
      <scheme val="minor"/>
    </font>
    <font>
      <sz val="11"/>
      <color theme="1"/>
      <name val="Arial"/>
      <family val="2"/>
      <charset val="238"/>
    </font>
    <font>
      <b/>
      <sz val="10"/>
      <color theme="1"/>
      <name val="Arial"/>
      <family val="2"/>
      <charset val="238"/>
    </font>
    <font>
      <sz val="10"/>
      <color theme="1"/>
      <name val="Arial"/>
      <family val="2"/>
      <charset val="238"/>
    </font>
    <font>
      <b/>
      <sz val="9"/>
      <color rgb="FFFFFFFF"/>
      <name val="Arial"/>
      <family val="2"/>
      <charset val="238"/>
    </font>
    <font>
      <b/>
      <sz val="9"/>
      <color theme="1"/>
      <name val="Arial"/>
      <family val="2"/>
      <charset val="238"/>
    </font>
    <font>
      <sz val="10"/>
      <color theme="1"/>
      <name val="Calibri"/>
      <family val="2"/>
      <scheme val="minor"/>
    </font>
    <font>
      <vertAlign val="superscript"/>
      <sz val="10"/>
      <color theme="1"/>
      <name val="Arial"/>
      <family val="2"/>
      <charset val="238"/>
    </font>
    <font>
      <vertAlign val="subscript"/>
      <sz val="10"/>
      <color theme="1"/>
      <name val="Arial"/>
      <family val="2"/>
      <charset val="238"/>
    </font>
    <font>
      <b/>
      <sz val="10"/>
      <color theme="1"/>
      <name val="Calibri"/>
      <family val="2"/>
      <scheme val="minor"/>
    </font>
    <font>
      <b/>
      <vertAlign val="superscript"/>
      <sz val="10"/>
      <color theme="1"/>
      <name val="Arial"/>
      <family val="2"/>
      <charset val="238"/>
    </font>
    <font>
      <b/>
      <sz val="11"/>
      <color theme="0"/>
      <name val="Calibri"/>
      <family val="2"/>
      <charset val="238"/>
      <scheme val="minor"/>
    </font>
    <font>
      <b/>
      <sz val="11"/>
      <color theme="1"/>
      <name val="Calibri"/>
      <family val="2"/>
      <charset val="238"/>
      <scheme val="minor"/>
    </font>
    <font>
      <sz val="10"/>
      <name val="Arial CE"/>
      <charset val="238"/>
    </font>
    <font>
      <sz val="10"/>
      <name val="Arial"/>
      <family val="2"/>
    </font>
    <font>
      <b/>
      <sz val="11"/>
      <name val="Calibri"/>
      <family val="2"/>
      <charset val="238"/>
      <scheme val="minor"/>
    </font>
    <font>
      <b/>
      <sz val="11"/>
      <color theme="6" tint="-0.499984740745262"/>
      <name val="Calibri"/>
      <family val="2"/>
      <charset val="238"/>
      <scheme val="minor"/>
    </font>
    <font>
      <b/>
      <sz val="11"/>
      <color rgb="FFFF0000"/>
      <name val="Calibri"/>
      <family val="2"/>
      <charset val="238"/>
      <scheme val="minor"/>
    </font>
    <font>
      <sz val="11"/>
      <color rgb="FFFF0000"/>
      <name val="Calibri"/>
      <family val="2"/>
      <scheme val="minor"/>
    </font>
    <font>
      <sz val="11"/>
      <color theme="1"/>
      <name val="Calibri"/>
      <family val="2"/>
      <charset val="238"/>
    </font>
    <font>
      <sz val="8"/>
      <color theme="1"/>
      <name val="Verdana"/>
      <family val="2"/>
      <charset val="238"/>
    </font>
    <font>
      <sz val="7"/>
      <color rgb="FF0000FF"/>
      <name val="Arial"/>
      <family val="2"/>
      <charset val="238"/>
    </font>
    <font>
      <u/>
      <sz val="11"/>
      <color theme="10"/>
      <name val="Calibri"/>
      <family val="2"/>
    </font>
    <font>
      <sz val="10"/>
      <color theme="1"/>
      <name val="Calibri"/>
      <family val="2"/>
      <charset val="238"/>
      <scheme val="minor"/>
    </font>
    <font>
      <b/>
      <sz val="11"/>
      <color rgb="FF3F3F3F"/>
      <name val="Calibri"/>
      <family val="2"/>
      <charset val="238"/>
      <scheme val="minor"/>
    </font>
    <font>
      <sz val="11"/>
      <color theme="0" tint="-0.34998626667073579"/>
      <name val="Calibri"/>
      <family val="2"/>
      <scheme val="minor"/>
    </font>
    <font>
      <b/>
      <sz val="11"/>
      <color theme="1"/>
      <name val="Calibri"/>
      <family val="2"/>
      <scheme val="minor"/>
    </font>
    <font>
      <b/>
      <sz val="11"/>
      <color theme="1"/>
      <name val="Calibri"/>
      <family val="2"/>
    </font>
    <font>
      <b/>
      <sz val="11"/>
      <color theme="1"/>
      <name val="Symbol"/>
      <family val="1"/>
      <charset val="2"/>
    </font>
    <font>
      <b/>
      <sz val="11"/>
      <name val="Calibri"/>
      <family val="2"/>
      <scheme val="minor"/>
    </font>
    <font>
      <sz val="7"/>
      <name val="Arial"/>
      <family val="2"/>
    </font>
    <font>
      <sz val="8"/>
      <name val="Arial"/>
      <family val="2"/>
    </font>
    <font>
      <sz val="8"/>
      <name val="Courier New"/>
      <family val="3"/>
      <charset val="204"/>
    </font>
    <font>
      <sz val="10"/>
      <color indexed="8"/>
      <name val="MS Sans Serif"/>
      <family val="2"/>
    </font>
    <font>
      <sz val="10"/>
      <name val="Geneva"/>
      <family val="2"/>
    </font>
    <font>
      <sz val="11"/>
      <color rgb="FF3F3F3F"/>
      <name val="Calibri"/>
      <family val="2"/>
      <charset val="238"/>
      <scheme val="minor"/>
    </font>
    <font>
      <i/>
      <sz val="11"/>
      <color theme="1"/>
      <name val="Calibri"/>
      <family val="2"/>
      <charset val="238"/>
      <scheme val="minor"/>
    </font>
    <font>
      <sz val="11"/>
      <name val="Calibri"/>
      <family val="2"/>
      <charset val="238"/>
      <scheme val="minor"/>
    </font>
    <font>
      <b/>
      <i/>
      <sz val="11"/>
      <name val="Calibri"/>
      <family val="2"/>
      <charset val="238"/>
      <scheme val="minor"/>
    </font>
    <font>
      <b/>
      <sz val="11"/>
      <color rgb="FFFF0000"/>
      <name val="Calibri"/>
      <family val="2"/>
      <scheme val="minor"/>
    </font>
    <font>
      <b/>
      <sz val="11"/>
      <color rgb="FFFA7D00"/>
      <name val="Calibri"/>
      <family val="2"/>
      <charset val="238"/>
      <scheme val="minor"/>
    </font>
    <font>
      <i/>
      <vertAlign val="subscript"/>
      <sz val="11"/>
      <color theme="1"/>
      <name val="Calibri"/>
      <family val="2"/>
      <charset val="238"/>
      <scheme val="minor"/>
    </font>
    <font>
      <i/>
      <vertAlign val="superscript"/>
      <sz val="11"/>
      <color theme="1"/>
      <name val="Calibri"/>
      <family val="2"/>
      <charset val="238"/>
      <scheme val="minor"/>
    </font>
    <font>
      <sz val="10"/>
      <color theme="10"/>
      <name val="Calibri"/>
      <family val="2"/>
      <charset val="238"/>
      <scheme val="minor"/>
    </font>
    <font>
      <sz val="11"/>
      <color theme="1"/>
      <name val="Calibri"/>
      <family val="2"/>
      <scheme val="minor"/>
    </font>
    <font>
      <b/>
      <sz val="11"/>
      <color rgb="FF7030A0"/>
      <name val="Calibri"/>
      <family val="2"/>
      <charset val="238"/>
      <scheme val="minor"/>
    </font>
    <font>
      <sz val="10"/>
      <name val="Arial"/>
      <family val="2"/>
      <charset val="238"/>
    </font>
    <font>
      <sz val="8"/>
      <name val="Arial CE"/>
      <charset val="238"/>
    </font>
    <font>
      <vertAlign val="subscript"/>
      <sz val="10"/>
      <name val="Arial CE"/>
      <charset val="238"/>
    </font>
    <font>
      <vertAlign val="subscript"/>
      <sz val="11"/>
      <color theme="1"/>
      <name val="Calibri"/>
      <family val="2"/>
      <charset val="238"/>
      <scheme val="minor"/>
    </font>
    <font>
      <sz val="11"/>
      <color theme="0"/>
      <name val="Calibri"/>
      <family val="2"/>
      <charset val="238"/>
      <scheme val="minor"/>
    </font>
    <font>
      <sz val="10"/>
      <name val="Arial"/>
      <family val="2"/>
      <charset val="238"/>
    </font>
    <font>
      <sz val="10"/>
      <color indexed="8"/>
      <name val="Arial"/>
      <family val="2"/>
    </font>
    <font>
      <b/>
      <u/>
      <sz val="10"/>
      <name val="Arial"/>
      <family val="2"/>
    </font>
    <font>
      <b/>
      <sz val="10"/>
      <name val="Arial"/>
      <family val="2"/>
    </font>
    <font>
      <u/>
      <sz val="10"/>
      <name val="Arial"/>
      <family val="2"/>
      <charset val="238"/>
    </font>
    <font>
      <b/>
      <u/>
      <sz val="16"/>
      <name val="Arial"/>
      <family val="2"/>
    </font>
    <font>
      <u/>
      <sz val="10"/>
      <color indexed="12"/>
      <name val="Arial"/>
      <family val="2"/>
      <charset val="238"/>
    </font>
    <font>
      <u/>
      <sz val="18"/>
      <color indexed="12"/>
      <name val="Arial"/>
      <family val="2"/>
      <charset val="238"/>
    </font>
    <font>
      <b/>
      <vertAlign val="superscript"/>
      <sz val="10"/>
      <name val="Arial"/>
      <family val="2"/>
    </font>
    <font>
      <sz val="12"/>
      <name val="Arial"/>
      <family val="2"/>
    </font>
    <font>
      <b/>
      <i/>
      <sz val="12"/>
      <name val="Arial"/>
      <family val="2"/>
    </font>
    <font>
      <b/>
      <i/>
      <vertAlign val="superscript"/>
      <sz val="12"/>
      <name val="Arial"/>
      <family val="2"/>
    </font>
    <font>
      <i/>
      <sz val="12"/>
      <name val="Arial"/>
      <family val="2"/>
    </font>
    <font>
      <b/>
      <sz val="11"/>
      <color theme="5" tint="-0.249977111117893"/>
      <name val="Calibri"/>
      <family val="2"/>
      <charset val="238"/>
      <scheme val="minor"/>
    </font>
    <font>
      <sz val="11"/>
      <color theme="0" tint="-0.249977111117893"/>
      <name val="Calibri"/>
      <family val="2"/>
      <scheme val="minor"/>
    </font>
    <font>
      <b/>
      <sz val="11"/>
      <color theme="1"/>
      <name val="Arial"/>
      <family val="2"/>
      <charset val="238"/>
    </font>
    <font>
      <b/>
      <i/>
      <sz val="11"/>
      <color theme="1"/>
      <name val="Arial"/>
      <family val="2"/>
      <charset val="238"/>
    </font>
    <font>
      <vertAlign val="superscript"/>
      <sz val="11"/>
      <color theme="1"/>
      <name val="Arial"/>
      <family val="2"/>
      <charset val="238"/>
    </font>
    <font>
      <sz val="11"/>
      <name val="Calibri"/>
      <family val="2"/>
      <charset val="238"/>
    </font>
    <font>
      <sz val="11"/>
      <color rgb="FF1F497D"/>
      <name val="Calibri"/>
      <family val="2"/>
      <charset val="238"/>
    </font>
  </fonts>
  <fills count="34">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A5A5A5"/>
      </patternFill>
    </fill>
    <fill>
      <patternFill patternType="solid">
        <fgColor theme="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2F2F2"/>
      </patternFill>
    </fill>
    <fill>
      <patternFill patternType="solid">
        <fgColor rgb="FFFFC000"/>
        <bgColor indexed="64"/>
      </patternFill>
    </fill>
    <fill>
      <patternFill patternType="solid">
        <fgColor rgb="FFFFFF0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52"/>
        <bgColor indexed="64"/>
      </patternFill>
    </fill>
    <fill>
      <patternFill patternType="solid">
        <fgColor indexed="31"/>
        <bgColor indexed="64"/>
      </patternFill>
    </fill>
    <fill>
      <patternFill patternType="solid">
        <fgColor indexed="41"/>
        <bgColor indexed="64"/>
      </patternFill>
    </fill>
    <fill>
      <patternFill patternType="solid">
        <fgColor theme="3" tint="0.79998168889431442"/>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medium">
        <color auto="1"/>
      </left>
      <right style="thin">
        <color auto="1"/>
      </right>
      <top/>
      <bottom style="thin">
        <color auto="1"/>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thin">
        <color rgb="FFDDDDDD"/>
      </left>
      <right style="thin">
        <color rgb="FFDDDDDD"/>
      </right>
      <top style="thin">
        <color rgb="FFDDDDDD"/>
      </top>
      <bottom style="thin">
        <color rgb="FFDDDDDD"/>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medium">
        <color indexed="64"/>
      </right>
      <top style="thin">
        <color rgb="FF7F7F7F"/>
      </top>
      <bottom/>
      <diagonal/>
    </border>
    <border>
      <left/>
      <right style="double">
        <color rgb="FF3F3F3F"/>
      </right>
      <top/>
      <bottom/>
      <diagonal/>
    </border>
    <border>
      <left style="double">
        <color auto="1"/>
      </left>
      <right style="dotted">
        <color auto="1"/>
      </right>
      <top style="double">
        <color auto="1"/>
      </top>
      <bottom style="dashed">
        <color auto="1"/>
      </bottom>
      <diagonal/>
    </border>
    <border>
      <left style="dotted">
        <color auto="1"/>
      </left>
      <right style="dotted">
        <color auto="1"/>
      </right>
      <top style="double">
        <color auto="1"/>
      </top>
      <bottom style="dashed">
        <color auto="1"/>
      </bottom>
      <diagonal/>
    </border>
    <border>
      <left style="dotted">
        <color auto="1"/>
      </left>
      <right style="double">
        <color auto="1"/>
      </right>
      <top style="double">
        <color auto="1"/>
      </top>
      <bottom style="dashed">
        <color auto="1"/>
      </bottom>
      <diagonal/>
    </border>
    <border>
      <left style="double">
        <color auto="1"/>
      </left>
      <right style="dotted">
        <color auto="1"/>
      </right>
      <top style="dashed">
        <color auto="1"/>
      </top>
      <bottom/>
      <diagonal/>
    </border>
    <border>
      <left style="dotted">
        <color auto="1"/>
      </left>
      <right style="dotted">
        <color auto="1"/>
      </right>
      <top style="dashed">
        <color auto="1"/>
      </top>
      <bottom/>
      <diagonal/>
    </border>
    <border>
      <left style="dotted">
        <color auto="1"/>
      </left>
      <right style="dotted">
        <color auto="1"/>
      </right>
      <top style="dashed">
        <color auto="1"/>
      </top>
      <bottom style="dashed">
        <color auto="1"/>
      </bottom>
      <diagonal/>
    </border>
    <border>
      <left style="dotted">
        <color auto="1"/>
      </left>
      <right style="double">
        <color auto="1"/>
      </right>
      <top style="dashed">
        <color auto="1"/>
      </top>
      <bottom style="dashed">
        <color auto="1"/>
      </bottom>
      <diagonal/>
    </border>
    <border>
      <left style="double">
        <color auto="1"/>
      </left>
      <right style="dotted">
        <color auto="1"/>
      </right>
      <top/>
      <bottom style="thin">
        <color auto="1"/>
      </bottom>
      <diagonal/>
    </border>
    <border>
      <left style="dotted">
        <color indexed="64"/>
      </left>
      <right style="dotted">
        <color indexed="64"/>
      </right>
      <top/>
      <bottom style="thin">
        <color indexed="64"/>
      </bottom>
      <diagonal/>
    </border>
    <border>
      <left style="dotted">
        <color auto="1"/>
      </left>
      <right style="dotted">
        <color auto="1"/>
      </right>
      <top style="dashed">
        <color auto="1"/>
      </top>
      <bottom style="thin">
        <color auto="1"/>
      </bottom>
      <diagonal/>
    </border>
    <border>
      <left style="dotted">
        <color auto="1"/>
      </left>
      <right style="double">
        <color auto="1"/>
      </right>
      <top style="dashed">
        <color auto="1"/>
      </top>
      <bottom style="thin">
        <color auto="1"/>
      </bottom>
      <diagonal/>
    </border>
    <border>
      <left style="double">
        <color rgb="FF3F3F3F"/>
      </left>
      <right style="double">
        <color rgb="FF3F3F3F"/>
      </right>
      <top style="double">
        <color rgb="FF3F3F3F"/>
      </top>
      <bottom/>
      <diagonal/>
    </border>
    <border>
      <left style="double">
        <color auto="1"/>
      </left>
      <right style="dotted">
        <color auto="1"/>
      </right>
      <top/>
      <bottom style="dashed">
        <color auto="1"/>
      </bottom>
      <diagonal/>
    </border>
    <border>
      <left style="dotted">
        <color auto="1"/>
      </left>
      <right style="dotted">
        <color auto="1"/>
      </right>
      <top/>
      <bottom style="dashed">
        <color auto="1"/>
      </bottom>
      <diagonal/>
    </border>
    <border>
      <left style="dotted">
        <color auto="1"/>
      </left>
      <right style="double">
        <color auto="1"/>
      </right>
      <top/>
      <bottom style="dashed">
        <color auto="1"/>
      </bottom>
      <diagonal/>
    </border>
    <border>
      <left style="double">
        <color rgb="FF3F3F3F"/>
      </left>
      <right style="double">
        <color rgb="FF3F3F3F"/>
      </right>
      <top/>
      <bottom/>
      <diagonal/>
    </border>
    <border>
      <left style="double">
        <color auto="1"/>
      </left>
      <right style="dotted">
        <color auto="1"/>
      </right>
      <top style="dashed">
        <color auto="1"/>
      </top>
      <bottom style="double">
        <color auto="1"/>
      </bottom>
      <diagonal/>
    </border>
    <border>
      <left style="dotted">
        <color auto="1"/>
      </left>
      <right style="dotted">
        <color auto="1"/>
      </right>
      <top style="dashed">
        <color auto="1"/>
      </top>
      <bottom style="double">
        <color auto="1"/>
      </bottom>
      <diagonal/>
    </border>
    <border>
      <left style="dotted">
        <color auto="1"/>
      </left>
      <right style="double">
        <color auto="1"/>
      </right>
      <top style="dashed">
        <color auto="1"/>
      </top>
      <bottom style="double">
        <color auto="1"/>
      </bottom>
      <diagonal/>
    </border>
    <border>
      <left style="double">
        <color rgb="FF3F3F3F"/>
      </left>
      <right style="double">
        <color rgb="FF3F3F3F"/>
      </right>
      <top/>
      <bottom style="double">
        <color rgb="FF3F3F3F"/>
      </bottom>
      <diagonal/>
    </border>
    <border>
      <left style="double">
        <color rgb="FF3F3F3F"/>
      </left>
      <right/>
      <top style="double">
        <color rgb="FF3F3F3F"/>
      </top>
      <bottom/>
      <diagonal/>
    </border>
    <border>
      <left style="double">
        <color rgb="FF3F3F3F"/>
      </left>
      <right/>
      <top/>
      <bottom/>
      <diagonal/>
    </border>
    <border>
      <left style="double">
        <color rgb="FF3F3F3F"/>
      </left>
      <right/>
      <top/>
      <bottom style="double">
        <color rgb="FF3F3F3F"/>
      </bottom>
      <diagonal/>
    </border>
    <border>
      <left style="double">
        <color rgb="FF3F3F3F"/>
      </left>
      <right style="double">
        <color rgb="FF3F3F3F"/>
      </right>
      <top style="double">
        <color rgb="FF3F3F3F"/>
      </top>
      <bottom style="double">
        <color indexed="64"/>
      </bottom>
      <diagonal/>
    </border>
    <border>
      <left style="medium">
        <color indexed="64"/>
      </left>
      <right style="thin">
        <color indexed="64"/>
      </right>
      <top style="double">
        <color auto="1"/>
      </top>
      <bottom style="medium">
        <color indexed="64"/>
      </bottom>
      <diagonal/>
    </border>
    <border>
      <left style="thin">
        <color indexed="64"/>
      </left>
      <right style="thin">
        <color indexed="64"/>
      </right>
      <top style="double">
        <color auto="1"/>
      </top>
      <bottom style="medium">
        <color indexed="64"/>
      </bottom>
      <diagonal/>
    </border>
    <border>
      <left style="thin">
        <color indexed="64"/>
      </left>
      <right style="double">
        <color auto="1"/>
      </right>
      <top style="double">
        <color auto="1"/>
      </top>
      <bottom style="medium">
        <color indexed="64"/>
      </bottom>
      <diagonal/>
    </border>
    <border>
      <left style="double">
        <color auto="1"/>
      </left>
      <right/>
      <top/>
      <bottom/>
      <diagonal/>
    </border>
    <border>
      <left style="thin">
        <color indexed="64"/>
      </left>
      <right style="double">
        <color auto="1"/>
      </right>
      <top/>
      <bottom style="thin">
        <color indexed="64"/>
      </bottom>
      <diagonal/>
    </border>
    <border>
      <left style="thin">
        <color indexed="64"/>
      </left>
      <right style="double">
        <color auto="1"/>
      </right>
      <top style="thin">
        <color indexed="64"/>
      </top>
      <bottom style="thin">
        <color indexed="64"/>
      </bottom>
      <diagonal/>
    </border>
    <border>
      <left style="double">
        <color auto="1"/>
      </left>
      <right/>
      <top/>
      <bottom style="double">
        <color auto="1"/>
      </bottom>
      <diagonal/>
    </border>
    <border>
      <left style="thin">
        <color indexed="64"/>
      </left>
      <right style="thin">
        <color indexed="64"/>
      </right>
      <top style="thin">
        <color indexed="64"/>
      </top>
      <bottom style="double">
        <color auto="1"/>
      </bottom>
      <diagonal/>
    </border>
    <border>
      <left style="thin">
        <color indexed="64"/>
      </left>
      <right style="double">
        <color auto="1"/>
      </right>
      <top style="thin">
        <color indexed="64"/>
      </top>
      <bottom style="double">
        <color auto="1"/>
      </bottom>
      <diagonal/>
    </border>
    <border>
      <left style="double">
        <color auto="1"/>
      </left>
      <right style="double">
        <color auto="1"/>
      </right>
      <top style="double">
        <color auto="1"/>
      </top>
      <bottom style="thin">
        <color indexed="64"/>
      </bottom>
      <diagonal/>
    </border>
    <border>
      <left style="double">
        <color auto="1"/>
      </left>
      <right style="double">
        <color auto="1"/>
      </right>
      <top style="thin">
        <color indexed="64"/>
      </top>
      <bottom style="double">
        <color auto="1"/>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7">
    <xf numFmtId="0" fontId="0" fillId="0" borderId="0"/>
    <xf numFmtId="0" fontId="18" fillId="15" borderId="19" applyNumberFormat="0" applyAlignment="0" applyProtection="0"/>
    <xf numFmtId="0" fontId="20" fillId="0" borderId="0"/>
    <xf numFmtId="165" fontId="21" fillId="0" borderId="0"/>
    <xf numFmtId="0" fontId="29" fillId="0" borderId="0" applyNumberFormat="0" applyFill="0" applyBorder="0" applyAlignment="0" applyProtection="0">
      <alignment vertical="top"/>
      <protection locked="0"/>
    </xf>
    <xf numFmtId="0" fontId="31" fillId="20" borderId="29" applyNumberFormat="0" applyAlignment="0" applyProtection="0"/>
    <xf numFmtId="0" fontId="21" fillId="0" borderId="0"/>
    <xf numFmtId="0" fontId="39" fillId="0" borderId="0"/>
    <xf numFmtId="0" fontId="38" fillId="0" borderId="0"/>
    <xf numFmtId="0" fontId="37" fillId="0" borderId="49" applyBorder="0"/>
    <xf numFmtId="0" fontId="40" fillId="0" borderId="0"/>
    <xf numFmtId="0" fontId="41" fillId="0" borderId="0"/>
    <xf numFmtId="165" fontId="21" fillId="0" borderId="0"/>
    <xf numFmtId="0" fontId="47" fillId="20" borderId="70" applyNumberFormat="0" applyAlignment="0" applyProtection="0"/>
    <xf numFmtId="0" fontId="51" fillId="0" borderId="0"/>
    <xf numFmtId="0" fontId="58" fillId="0" borderId="0"/>
    <xf numFmtId="0" fontId="64" fillId="0" borderId="0" applyNumberFormat="0" applyFill="0" applyBorder="0" applyAlignment="0" applyProtection="0">
      <alignment vertical="top"/>
      <protection locked="0"/>
    </xf>
  </cellStyleXfs>
  <cellXfs count="687">
    <xf numFmtId="0" fontId="0" fillId="0" borderId="0" xfId="0"/>
    <xf numFmtId="0" fontId="0" fillId="0" borderId="0" xfId="0" applyAlignment="1">
      <alignment horizontal="right"/>
    </xf>
    <xf numFmtId="0" fontId="0" fillId="0" borderId="1" xfId="0" applyBorder="1"/>
    <xf numFmtId="0" fontId="0" fillId="2" borderId="2" xfId="0" applyFill="1" applyBorder="1"/>
    <xf numFmtId="0" fontId="0" fillId="0" borderId="3" xfId="0" applyBorder="1"/>
    <xf numFmtId="0" fontId="6" fillId="0" borderId="0" xfId="0" applyFont="1"/>
    <xf numFmtId="0" fontId="0" fillId="3" borderId="2" xfId="0" applyFill="1" applyBorder="1"/>
    <xf numFmtId="0" fontId="7" fillId="3" borderId="4" xfId="0" applyFont="1" applyFill="1" applyBorder="1" applyAlignment="1">
      <alignment horizontal="left"/>
    </xf>
    <xf numFmtId="0" fontId="7" fillId="3" borderId="5" xfId="0" applyFont="1" applyFill="1" applyBorder="1" applyAlignment="1">
      <alignment horizontal="left"/>
    </xf>
    <xf numFmtId="0" fontId="8" fillId="0" borderId="0" xfId="0" applyFont="1" applyAlignment="1">
      <alignment horizontal="right"/>
    </xf>
    <xf numFmtId="0" fontId="0" fillId="0" borderId="1" xfId="0" applyBorder="1" applyAlignment="1">
      <alignment horizontal="left"/>
    </xf>
    <xf numFmtId="0" fontId="0" fillId="3" borderId="2" xfId="0" applyFill="1" applyBorder="1" applyAlignment="1">
      <alignment horizontal="right"/>
    </xf>
    <xf numFmtId="1" fontId="0" fillId="4" borderId="2" xfId="0" applyNumberFormat="1" applyFill="1" applyBorder="1"/>
    <xf numFmtId="164" fontId="0" fillId="0" borderId="0" xfId="0" applyNumberFormat="1"/>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10" fillId="0" borderId="8" xfId="0" applyFont="1" applyBorder="1" applyAlignment="1">
      <alignment vertical="top" wrapText="1"/>
    </xf>
    <xf numFmtId="164" fontId="10" fillId="0" borderId="9" xfId="0" applyNumberFormat="1" applyFont="1" applyBorder="1" applyAlignment="1">
      <alignment vertical="top" wrapText="1"/>
    </xf>
    <xf numFmtId="0" fontId="0" fillId="0" borderId="2" xfId="0" applyBorder="1"/>
    <xf numFmtId="0" fontId="0" fillId="5" borderId="7" xfId="0" applyFill="1" applyBorder="1"/>
    <xf numFmtId="164" fontId="0" fillId="5" borderId="2" xfId="0" applyNumberFormat="1" applyFill="1" applyBorder="1"/>
    <xf numFmtId="0" fontId="0" fillId="5" borderId="2" xfId="0" applyFill="1" applyBorder="1"/>
    <xf numFmtId="0" fontId="11" fillId="0" borderId="0" xfId="0" applyFont="1"/>
    <xf numFmtId="0" fontId="0" fillId="6" borderId="1" xfId="0" applyFill="1" applyBorder="1"/>
    <xf numFmtId="0" fontId="0" fillId="6" borderId="15" xfId="0" applyFill="1" applyBorder="1"/>
    <xf numFmtId="0" fontId="13" fillId="0" borderId="0" xfId="0" applyFont="1"/>
    <xf numFmtId="0" fontId="13" fillId="0" borderId="0" xfId="0" applyFont="1" applyAlignment="1">
      <alignment horizontal="left"/>
    </xf>
    <xf numFmtId="0" fontId="16" fillId="0" borderId="0" xfId="0" applyFont="1"/>
    <xf numFmtId="0" fontId="16" fillId="0" borderId="10" xfId="0" applyFont="1" applyBorder="1"/>
    <xf numFmtId="0" fontId="9" fillId="0" borderId="13" xfId="0" applyFont="1" applyBorder="1" applyAlignment="1">
      <alignment horizontal="center" vertical="center" wrapText="1"/>
    </xf>
    <xf numFmtId="0" fontId="13" fillId="0" borderId="15" xfId="0" applyFont="1" applyBorder="1"/>
    <xf numFmtId="0" fontId="13" fillId="0" borderId="17" xfId="0" applyFont="1" applyBorder="1"/>
    <xf numFmtId="0" fontId="13" fillId="13" borderId="14" xfId="0" applyFont="1" applyFill="1" applyBorder="1"/>
    <xf numFmtId="0" fontId="13" fillId="14" borderId="14" xfId="0" applyFont="1" applyFill="1" applyBorder="1"/>
    <xf numFmtId="0" fontId="13" fillId="11" borderId="14" xfId="0" applyFont="1" applyFill="1" applyBorder="1"/>
    <xf numFmtId="0" fontId="13" fillId="8" borderId="14" xfId="0" applyFont="1" applyFill="1" applyBorder="1"/>
    <xf numFmtId="0" fontId="13" fillId="12" borderId="16" xfId="0" applyFont="1" applyFill="1" applyBorder="1"/>
    <xf numFmtId="0" fontId="13" fillId="0" borderId="14" xfId="0" applyFont="1" applyFill="1" applyBorder="1"/>
    <xf numFmtId="0" fontId="10" fillId="0" borderId="1" xfId="0" applyFont="1" applyBorder="1" applyAlignment="1">
      <alignment horizontal="center" vertical="center" wrapText="1"/>
    </xf>
    <xf numFmtId="0" fontId="9" fillId="0" borderId="1" xfId="0" applyFont="1" applyBorder="1" applyAlignment="1">
      <alignment horizontal="center" wrapText="1"/>
    </xf>
    <xf numFmtId="0" fontId="10" fillId="0" borderId="1" xfId="0" applyFont="1" applyBorder="1" applyAlignment="1">
      <alignment horizontal="center" wrapText="1"/>
    </xf>
    <xf numFmtId="0" fontId="10" fillId="0" borderId="14" xfId="0" applyFont="1" applyBorder="1" applyAlignment="1">
      <alignment horizontal="left" wrapText="1"/>
    </xf>
    <xf numFmtId="0" fontId="10" fillId="0" borderId="16" xfId="0" applyFont="1" applyBorder="1" applyAlignment="1">
      <alignment horizontal="left" wrapText="1"/>
    </xf>
    <xf numFmtId="0" fontId="9" fillId="0" borderId="18" xfId="0" applyFont="1" applyBorder="1" applyAlignment="1">
      <alignment horizontal="center" wrapText="1"/>
    </xf>
    <xf numFmtId="0" fontId="10" fillId="0" borderId="18" xfId="0" applyFont="1" applyBorder="1" applyAlignment="1">
      <alignment horizontal="center" wrapText="1"/>
    </xf>
    <xf numFmtId="0" fontId="13" fillId="0" borderId="13" xfId="0" applyFont="1" applyBorder="1" applyAlignment="1">
      <alignment horizontal="center"/>
    </xf>
    <xf numFmtId="0" fontId="13" fillId="0" borderId="15" xfId="0" applyFont="1" applyBorder="1" applyAlignment="1">
      <alignment horizontal="center" wrapText="1"/>
    </xf>
    <xf numFmtId="0" fontId="13" fillId="0" borderId="15" xfId="0" applyFont="1" applyBorder="1" applyAlignment="1">
      <alignment horizontal="center"/>
    </xf>
    <xf numFmtId="0" fontId="13" fillId="0" borderId="17" xfId="0" applyFont="1" applyBorder="1" applyAlignment="1">
      <alignment horizontal="center"/>
    </xf>
    <xf numFmtId="0" fontId="13" fillId="0" borderId="0" xfId="0" applyFont="1" applyAlignment="1">
      <alignment horizontal="center"/>
    </xf>
    <xf numFmtId="0" fontId="23" fillId="7" borderId="14" xfId="1" applyFont="1" applyFill="1" applyBorder="1"/>
    <xf numFmtId="0" fontId="23" fillId="7" borderId="21" xfId="1" applyFont="1" applyFill="1" applyBorder="1"/>
    <xf numFmtId="0" fontId="0" fillId="0" borderId="0" xfId="0" applyAlignment="1"/>
    <xf numFmtId="0" fontId="22" fillId="16" borderId="15" xfId="1" applyFont="1" applyFill="1" applyBorder="1"/>
    <xf numFmtId="0" fontId="19" fillId="0" borderId="16" xfId="0" applyFont="1" applyBorder="1"/>
    <xf numFmtId="0" fontId="22" fillId="16" borderId="22" xfId="1" applyFont="1" applyFill="1" applyBorder="1"/>
    <xf numFmtId="0" fontId="23" fillId="17" borderId="2" xfId="1" applyFont="1" applyFill="1" applyBorder="1"/>
    <xf numFmtId="1" fontId="18" fillId="15" borderId="23" xfId="1" applyNumberFormat="1" applyBorder="1"/>
    <xf numFmtId="0" fontId="23" fillId="7" borderId="24" xfId="1" applyFont="1" applyFill="1" applyBorder="1"/>
    <xf numFmtId="0" fontId="19" fillId="0" borderId="25" xfId="0" applyFont="1" applyBorder="1"/>
    <xf numFmtId="164" fontId="24" fillId="0" borderId="2" xfId="2" applyNumberFormat="1" applyFont="1" applyBorder="1"/>
    <xf numFmtId="0" fontId="0" fillId="0" borderId="0" xfId="0" applyFill="1" applyBorder="1"/>
    <xf numFmtId="0" fontId="0" fillId="7" borderId="2" xfId="0" applyFill="1" applyBorder="1"/>
    <xf numFmtId="2" fontId="0" fillId="18" borderId="1" xfId="0" applyNumberFormat="1" applyFill="1" applyBorder="1"/>
    <xf numFmtId="0" fontId="0" fillId="18" borderId="1" xfId="0" applyFill="1" applyBorder="1"/>
    <xf numFmtId="0" fontId="26" fillId="0" borderId="0" xfId="0" applyFont="1" applyAlignment="1">
      <alignment horizontal="right"/>
    </xf>
    <xf numFmtId="0" fontId="25" fillId="16" borderId="0" xfId="0" applyFont="1" applyFill="1" applyBorder="1"/>
    <xf numFmtId="0" fontId="7" fillId="16" borderId="0" xfId="0" applyFont="1" applyFill="1" applyBorder="1"/>
    <xf numFmtId="0" fontId="7" fillId="7" borderId="1" xfId="0" applyFont="1" applyFill="1" applyBorder="1"/>
    <xf numFmtId="0" fontId="7" fillId="7" borderId="20" xfId="0" applyFont="1" applyFill="1" applyBorder="1"/>
    <xf numFmtId="0" fontId="7" fillId="7" borderId="4" xfId="0" applyFont="1" applyFill="1" applyBorder="1" applyAlignment="1">
      <alignment horizontal="center"/>
    </xf>
    <xf numFmtId="0" fontId="7" fillId="7" borderId="20" xfId="0" applyFont="1" applyFill="1" applyBorder="1" applyAlignment="1">
      <alignment horizontal="center"/>
    </xf>
    <xf numFmtId="0" fontId="7" fillId="7" borderId="1" xfId="0" applyFont="1" applyFill="1" applyBorder="1" applyAlignment="1">
      <alignment horizontal="center"/>
    </xf>
    <xf numFmtId="0" fontId="7" fillId="7" borderId="26" xfId="0" applyFont="1" applyFill="1" applyBorder="1" applyAlignment="1">
      <alignment horizontal="center"/>
    </xf>
    <xf numFmtId="0" fontId="7" fillId="7" borderId="26" xfId="0" applyFont="1" applyFill="1" applyBorder="1"/>
    <xf numFmtId="164" fontId="7" fillId="18" borderId="20" xfId="0" applyNumberFormat="1" applyFont="1" applyFill="1" applyBorder="1"/>
    <xf numFmtId="164" fontId="7" fillId="18" borderId="1" xfId="0" applyNumberFormat="1" applyFont="1" applyFill="1" applyBorder="1"/>
    <xf numFmtId="0" fontId="0" fillId="19" borderId="0" xfId="0" applyFill="1" applyAlignment="1"/>
    <xf numFmtId="164" fontId="7" fillId="19" borderId="5" xfId="0" applyNumberFormat="1" applyFont="1" applyFill="1" applyBorder="1"/>
    <xf numFmtId="0" fontId="0" fillId="0" borderId="0" xfId="0" applyFill="1" applyBorder="1" applyAlignment="1">
      <alignment horizontal="center"/>
    </xf>
    <xf numFmtId="0" fontId="27" fillId="0" borderId="27" xfId="0" applyFont="1" applyBorder="1" applyAlignment="1">
      <alignment horizontal="center" wrapText="1"/>
    </xf>
    <xf numFmtId="14" fontId="27" fillId="0" borderId="27" xfId="0" applyNumberFormat="1" applyFont="1" applyBorder="1" applyAlignment="1">
      <alignment horizontal="center" wrapText="1"/>
    </xf>
    <xf numFmtId="17" fontId="27" fillId="0" borderId="27" xfId="0" applyNumberFormat="1" applyFont="1" applyBorder="1" applyAlignment="1">
      <alignment horizontal="center" wrapText="1"/>
    </xf>
    <xf numFmtId="49" fontId="0" fillId="0" borderId="0" xfId="0" applyNumberFormat="1"/>
    <xf numFmtId="0" fontId="27" fillId="7" borderId="27" xfId="0" applyFont="1" applyFill="1" applyBorder="1" applyAlignment="1">
      <alignment horizontal="center" wrapText="1"/>
    </xf>
    <xf numFmtId="49" fontId="0" fillId="7" borderId="0" xfId="0" applyNumberFormat="1" applyFill="1"/>
    <xf numFmtId="49" fontId="27" fillId="7" borderId="27" xfId="0" applyNumberFormat="1" applyFont="1" applyFill="1" applyBorder="1" applyAlignment="1">
      <alignment horizontal="center" wrapText="1"/>
    </xf>
    <xf numFmtId="0" fontId="27" fillId="17" borderId="27" xfId="0" applyFont="1" applyFill="1" applyBorder="1" applyAlignment="1">
      <alignment horizontal="right" wrapText="1"/>
    </xf>
    <xf numFmtId="0" fontId="27" fillId="17" borderId="27" xfId="0" quotePrefix="1" applyFont="1" applyFill="1" applyBorder="1" applyAlignment="1">
      <alignment horizontal="right" wrapText="1"/>
    </xf>
    <xf numFmtId="49" fontId="0" fillId="17" borderId="0" xfId="0" applyNumberFormat="1" applyFill="1"/>
    <xf numFmtId="0" fontId="27" fillId="17" borderId="27" xfId="0" applyFont="1" applyFill="1" applyBorder="1" applyAlignment="1">
      <alignment horizontal="center" wrapText="1"/>
    </xf>
    <xf numFmtId="0" fontId="0" fillId="18" borderId="2" xfId="0" applyFill="1" applyBorder="1"/>
    <xf numFmtId="0" fontId="0" fillId="0" borderId="0" xfId="0" applyBorder="1"/>
    <xf numFmtId="0" fontId="0" fillId="0" borderId="0" xfId="0" applyFill="1" applyBorder="1" applyAlignment="1">
      <alignment horizontal="right"/>
    </xf>
    <xf numFmtId="0" fontId="28" fillId="0" borderId="28" xfId="0" applyFont="1" applyBorder="1" applyAlignment="1">
      <alignment wrapText="1"/>
    </xf>
    <xf numFmtId="166" fontId="0" fillId="0" borderId="2" xfId="0" applyNumberFormat="1" applyBorder="1"/>
    <xf numFmtId="167" fontId="0" fillId="0" borderId="2" xfId="0" applyNumberFormat="1" applyBorder="1"/>
    <xf numFmtId="168" fontId="31" fillId="20" borderId="29" xfId="5" applyNumberFormat="1"/>
    <xf numFmtId="0" fontId="0" fillId="0" borderId="0" xfId="0" quotePrefix="1" applyAlignment="1">
      <alignment horizontal="center"/>
    </xf>
    <xf numFmtId="169" fontId="31" fillId="20" borderId="29" xfId="5" applyNumberFormat="1"/>
    <xf numFmtId="0" fontId="0" fillId="0" borderId="0" xfId="0" quotePrefix="1"/>
    <xf numFmtId="0" fontId="0" fillId="6" borderId="0" xfId="0" applyFill="1"/>
    <xf numFmtId="0" fontId="32" fillId="0" borderId="0" xfId="0" applyFont="1"/>
    <xf numFmtId="0" fontId="25" fillId="0" borderId="0" xfId="0" applyFont="1"/>
    <xf numFmtId="0" fontId="0" fillId="6" borderId="0" xfId="0" quotePrefix="1" applyFill="1"/>
    <xf numFmtId="170" fontId="31" fillId="20" borderId="29" xfId="5" applyNumberFormat="1"/>
    <xf numFmtId="0" fontId="0" fillId="6" borderId="12" xfId="0" applyFill="1" applyBorder="1" applyAlignment="1">
      <alignment horizontal="center"/>
    </xf>
    <xf numFmtId="172" fontId="0" fillId="0" borderId="2" xfId="0" applyNumberFormat="1" applyBorder="1"/>
    <xf numFmtId="0" fontId="5" fillId="0" borderId="0" xfId="0" applyFont="1" applyAlignment="1">
      <alignment horizontal="right"/>
    </xf>
    <xf numFmtId="0" fontId="5" fillId="0" borderId="30" xfId="0" applyFont="1" applyBorder="1" applyAlignment="1">
      <alignment horizontal="right"/>
    </xf>
    <xf numFmtId="0" fontId="5" fillId="0" borderId="32" xfId="0" applyFont="1" applyBorder="1" applyAlignment="1">
      <alignment horizontal="right"/>
    </xf>
    <xf numFmtId="0" fontId="5" fillId="0" borderId="34" xfId="0" applyFont="1" applyBorder="1" applyAlignment="1">
      <alignment horizontal="right"/>
    </xf>
    <xf numFmtId="0" fontId="0" fillId="5" borderId="31" xfId="0" applyFill="1" applyBorder="1"/>
    <xf numFmtId="0" fontId="0" fillId="5" borderId="33" xfId="0" applyFill="1" applyBorder="1"/>
    <xf numFmtId="175" fontId="31" fillId="20" borderId="37" xfId="5" applyNumberFormat="1" applyBorder="1"/>
    <xf numFmtId="173" fontId="31" fillId="20" borderId="38" xfId="5" applyNumberFormat="1" applyBorder="1"/>
    <xf numFmtId="171" fontId="0" fillId="0" borderId="36" xfId="0" applyNumberFormat="1" applyBorder="1"/>
    <xf numFmtId="0" fontId="0" fillId="0" borderId="39" xfId="0" applyBorder="1"/>
    <xf numFmtId="174" fontId="31" fillId="20" borderId="13" xfId="5" applyNumberFormat="1" applyBorder="1"/>
    <xf numFmtId="176" fontId="31" fillId="20" borderId="17" xfId="5" applyNumberFormat="1" applyBorder="1"/>
    <xf numFmtId="164" fontId="0" fillId="2" borderId="18" xfId="0" applyNumberFormat="1" applyFill="1" applyBorder="1"/>
    <xf numFmtId="164" fontId="0" fillId="10" borderId="18" xfId="0" applyNumberFormat="1" applyFill="1" applyBorder="1"/>
    <xf numFmtId="164" fontId="0" fillId="8" borderId="18" xfId="0" applyNumberFormat="1" applyFill="1" applyBorder="1"/>
    <xf numFmtId="164" fontId="0" fillId="11" borderId="18" xfId="0" applyNumberFormat="1" applyFill="1" applyBorder="1"/>
    <xf numFmtId="164" fontId="0" fillId="9" borderId="1" xfId="0" applyNumberFormat="1" applyFill="1" applyBorder="1"/>
    <xf numFmtId="164" fontId="0" fillId="2" borderId="1" xfId="0" applyNumberFormat="1" applyFill="1" applyBorder="1"/>
    <xf numFmtId="164" fontId="0" fillId="10" borderId="1" xfId="0" applyNumberFormat="1" applyFill="1" applyBorder="1"/>
    <xf numFmtId="164" fontId="0" fillId="8" borderId="1" xfId="0" applyNumberFormat="1" applyFill="1" applyBorder="1"/>
    <xf numFmtId="164" fontId="0" fillId="11" borderId="1" xfId="0" applyNumberFormat="1" applyFill="1" applyBorder="1"/>
    <xf numFmtId="164" fontId="7" fillId="11" borderId="1" xfId="0" applyNumberFormat="1" applyFont="1" applyFill="1" applyBorder="1"/>
    <xf numFmtId="164" fontId="0" fillId="9" borderId="40" xfId="0" applyNumberFormat="1" applyFill="1" applyBorder="1"/>
    <xf numFmtId="164" fontId="0" fillId="2" borderId="40" xfId="0" applyNumberFormat="1" applyFill="1" applyBorder="1"/>
    <xf numFmtId="164" fontId="0" fillId="10" borderId="40" xfId="0" applyNumberFormat="1" applyFill="1" applyBorder="1"/>
    <xf numFmtId="164" fontId="0" fillId="8" borderId="40" xfId="0" applyNumberFormat="1" applyFill="1" applyBorder="1"/>
    <xf numFmtId="164" fontId="0" fillId="11" borderId="40" xfId="0" applyNumberFormat="1" applyFill="1" applyBorder="1"/>
    <xf numFmtId="164" fontId="7" fillId="11" borderId="40" xfId="0" applyNumberFormat="1" applyFont="1" applyFill="1" applyBorder="1"/>
    <xf numFmtId="0" fontId="0" fillId="5" borderId="18" xfId="0" applyFill="1" applyBorder="1"/>
    <xf numFmtId="0" fontId="0" fillId="5" borderId="17" xfId="0" applyFill="1" applyBorder="1"/>
    <xf numFmtId="164" fontId="0" fillId="7" borderId="42" xfId="0" applyNumberFormat="1" applyFill="1" applyBorder="1"/>
    <xf numFmtId="164" fontId="0" fillId="7" borderId="20" xfId="0" applyNumberFormat="1" applyFill="1" applyBorder="1"/>
    <xf numFmtId="0" fontId="0" fillId="6" borderId="4" xfId="0" applyFill="1" applyBorder="1"/>
    <xf numFmtId="0" fontId="0" fillId="6" borderId="26" xfId="0" applyFill="1" applyBorder="1"/>
    <xf numFmtId="0" fontId="0" fillId="5" borderId="5" xfId="0" applyFill="1" applyBorder="1"/>
    <xf numFmtId="164" fontId="0" fillId="5" borderId="43" xfId="0" applyNumberFormat="1" applyFill="1" applyBorder="1"/>
    <xf numFmtId="164" fontId="0" fillId="5" borderId="26" xfId="0" applyNumberFormat="1" applyFill="1" applyBorder="1"/>
    <xf numFmtId="164" fontId="0" fillId="5" borderId="5" xfId="0" applyNumberFormat="1" applyFill="1" applyBorder="1"/>
    <xf numFmtId="0" fontId="0" fillId="6" borderId="22" xfId="0" applyFill="1" applyBorder="1" applyAlignment="1">
      <alignment horizontal="center"/>
    </xf>
    <xf numFmtId="0" fontId="0" fillId="6" borderId="44" xfId="0" applyFill="1" applyBorder="1"/>
    <xf numFmtId="0" fontId="0" fillId="5" borderId="44" xfId="0" applyFill="1" applyBorder="1"/>
    <xf numFmtId="164" fontId="0" fillId="7" borderId="41" xfId="0" applyNumberFormat="1" applyFill="1" applyBorder="1"/>
    <xf numFmtId="164" fontId="0" fillId="9" borderId="18" xfId="0" applyNumberFormat="1" applyFill="1" applyBorder="1"/>
    <xf numFmtId="164" fontId="7" fillId="11" borderId="18" xfId="0" applyNumberFormat="1" applyFont="1" applyFill="1" applyBorder="1"/>
    <xf numFmtId="164" fontId="0" fillId="0" borderId="40" xfId="0" applyNumberFormat="1" applyFill="1" applyBorder="1"/>
    <xf numFmtId="164" fontId="0" fillId="0" borderId="1" xfId="0" applyNumberFormat="1" applyFill="1" applyBorder="1"/>
    <xf numFmtId="164" fontId="0" fillId="0" borderId="18" xfId="0" applyNumberFormat="1" applyFill="1" applyBorder="1"/>
    <xf numFmtId="164" fontId="0" fillId="0" borderId="15" xfId="0" applyNumberFormat="1" applyFill="1" applyBorder="1"/>
    <xf numFmtId="164" fontId="0" fillId="0" borderId="17" xfId="0" applyNumberFormat="1" applyFill="1" applyBorder="1"/>
    <xf numFmtId="0" fontId="0" fillId="0" borderId="0" xfId="0"/>
    <xf numFmtId="177" fontId="0" fillId="0" borderId="0" xfId="0" applyNumberFormat="1"/>
    <xf numFmtId="0" fontId="0" fillId="0" borderId="0" xfId="0" applyBorder="1"/>
    <xf numFmtId="178"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78" fontId="0" fillId="0" borderId="0" xfId="0" applyNumberFormat="1" applyBorder="1"/>
    <xf numFmtId="179" fontId="0" fillId="0" borderId="0" xfId="0" applyNumberFormat="1" applyBorder="1"/>
    <xf numFmtId="180" fontId="0" fillId="0" borderId="0" xfId="0" applyNumberFormat="1" applyBorder="1"/>
    <xf numFmtId="182" fontId="0" fillId="0" borderId="0" xfId="0" applyNumberFormat="1" applyBorder="1"/>
    <xf numFmtId="0" fontId="25" fillId="0" borderId="0" xfId="0" applyFont="1" applyBorder="1"/>
    <xf numFmtId="2" fontId="0" fillId="0" borderId="0" xfId="0" applyNumberFormat="1" applyBorder="1"/>
    <xf numFmtId="1" fontId="0" fillId="0" borderId="0" xfId="0" applyNumberFormat="1" applyBorder="1"/>
    <xf numFmtId="1" fontId="0" fillId="0" borderId="0" xfId="0" applyNumberFormat="1"/>
    <xf numFmtId="182" fontId="33" fillId="0" borderId="0" xfId="0" applyNumberFormat="1" applyFont="1" applyBorder="1"/>
    <xf numFmtId="183" fontId="0" fillId="0" borderId="0" xfId="0" applyNumberFormat="1" applyBorder="1"/>
    <xf numFmtId="1" fontId="7" fillId="0" borderId="0" xfId="0" applyNumberFormat="1" applyFont="1" applyBorder="1"/>
    <xf numFmtId="2" fontId="7" fillId="0" borderId="0" xfId="0" applyNumberFormat="1" applyFont="1" applyBorder="1"/>
    <xf numFmtId="166" fontId="36" fillId="0" borderId="0" xfId="0" applyNumberFormat="1" applyFont="1" applyBorder="1"/>
    <xf numFmtId="182" fontId="7" fillId="0" borderId="0" xfId="0" applyNumberFormat="1" applyFont="1" applyBorder="1"/>
    <xf numFmtId="0" fontId="36" fillId="0" borderId="0" xfId="0" applyFont="1"/>
    <xf numFmtId="184" fontId="0" fillId="0" borderId="0" xfId="0" applyNumberFormat="1" applyBorder="1"/>
    <xf numFmtId="1" fontId="34" fillId="18" borderId="42" xfId="0" applyNumberFormat="1" applyFont="1" applyFill="1" applyBorder="1" applyAlignment="1">
      <alignment horizontal="center"/>
    </xf>
    <xf numFmtId="164" fontId="7" fillId="0" borderId="49" xfId="0" applyNumberFormat="1" applyFont="1" applyBorder="1"/>
    <xf numFmtId="0" fontId="0" fillId="0" borderId="48" xfId="0" applyBorder="1"/>
    <xf numFmtId="0" fontId="34" fillId="0" borderId="0" xfId="0" applyFont="1" applyFill="1" applyBorder="1" applyAlignment="1">
      <alignment horizontal="center"/>
    </xf>
    <xf numFmtId="179" fontId="34" fillId="0" borderId="0" xfId="0" applyNumberFormat="1" applyFont="1" applyFill="1" applyBorder="1" applyAlignment="1">
      <alignment horizontal="center"/>
    </xf>
    <xf numFmtId="1" fontId="34" fillId="0" borderId="0" xfId="0" applyNumberFormat="1" applyFont="1" applyFill="1" applyBorder="1" applyAlignment="1">
      <alignment horizontal="center"/>
    </xf>
    <xf numFmtId="180" fontId="34" fillId="0" borderId="0" xfId="0" applyNumberFormat="1" applyFont="1" applyFill="1" applyBorder="1" applyAlignment="1">
      <alignment horizontal="center"/>
    </xf>
    <xf numFmtId="0" fontId="0" fillId="0" borderId="0" xfId="0" applyFill="1" applyBorder="1"/>
    <xf numFmtId="1" fontId="0" fillId="0" borderId="0" xfId="0" applyNumberFormat="1" applyFill="1" applyBorder="1"/>
    <xf numFmtId="164" fontId="0" fillId="0" borderId="0" xfId="0" applyNumberFormat="1" applyBorder="1"/>
    <xf numFmtId="0" fontId="0" fillId="18" borderId="50" xfId="0" applyFill="1" applyBorder="1"/>
    <xf numFmtId="178" fontId="33" fillId="18" borderId="51" xfId="0" applyNumberFormat="1" applyFont="1" applyFill="1" applyBorder="1" applyAlignment="1">
      <alignment horizontal="center"/>
    </xf>
    <xf numFmtId="0" fontId="34" fillId="18" borderId="51" xfId="0" applyFont="1" applyFill="1" applyBorder="1" applyAlignment="1">
      <alignment horizontal="center"/>
    </xf>
    <xf numFmtId="179" fontId="34" fillId="18" borderId="51" xfId="0" applyNumberFormat="1" applyFont="1" applyFill="1" applyBorder="1" applyAlignment="1">
      <alignment horizontal="center"/>
    </xf>
    <xf numFmtId="1" fontId="34" fillId="18" borderId="51" xfId="0" applyNumberFormat="1" applyFont="1" applyFill="1" applyBorder="1" applyAlignment="1">
      <alignment horizontal="center"/>
    </xf>
    <xf numFmtId="180" fontId="34" fillId="18" borderId="51" xfId="0" applyNumberFormat="1" applyFont="1" applyFill="1" applyBorder="1" applyAlignment="1">
      <alignment horizontal="center"/>
    </xf>
    <xf numFmtId="0" fontId="33" fillId="18" borderId="51" xfId="0" applyFont="1" applyFill="1" applyBorder="1"/>
    <xf numFmtId="0" fontId="0" fillId="0" borderId="50" xfId="0" applyBorder="1"/>
    <xf numFmtId="0" fontId="0" fillId="0" borderId="51" xfId="0" applyBorder="1"/>
    <xf numFmtId="179" fontId="0" fillId="0" borderId="51" xfId="0" applyNumberFormat="1" applyBorder="1"/>
    <xf numFmtId="1" fontId="0" fillId="0" borderId="51" xfId="0" applyNumberFormat="1" applyBorder="1"/>
    <xf numFmtId="180" fontId="0" fillId="0" borderId="51" xfId="0" applyNumberFormat="1" applyBorder="1"/>
    <xf numFmtId="182" fontId="0" fillId="0" borderId="51" xfId="0" applyNumberFormat="1" applyBorder="1"/>
    <xf numFmtId="184" fontId="7" fillId="0" borderId="0" xfId="0" applyNumberFormat="1" applyFont="1" applyBorder="1"/>
    <xf numFmtId="0" fontId="0" fillId="18" borderId="46" xfId="0" applyFill="1" applyBorder="1"/>
    <xf numFmtId="1" fontId="34" fillId="18" borderId="47" xfId="0" applyNumberFormat="1" applyFont="1" applyFill="1" applyBorder="1" applyAlignment="1">
      <alignment horizontal="center"/>
    </xf>
    <xf numFmtId="182" fontId="0" fillId="0" borderId="0" xfId="0" applyNumberFormat="1" applyFill="1" applyBorder="1"/>
    <xf numFmtId="0" fontId="0" fillId="0" borderId="0" xfId="0" quotePrefix="1"/>
    <xf numFmtId="164" fontId="0" fillId="0" borderId="51" xfId="0" applyNumberFormat="1" applyBorder="1"/>
    <xf numFmtId="164" fontId="34" fillId="18" borderId="51" xfId="0" applyNumberFormat="1" applyFont="1" applyFill="1" applyBorder="1" applyAlignment="1">
      <alignment horizontal="center"/>
    </xf>
    <xf numFmtId="164" fontId="0" fillId="0" borderId="49" xfId="0" applyNumberFormat="1" applyFill="1" applyBorder="1"/>
    <xf numFmtId="164" fontId="34" fillId="18" borderId="47" xfId="0" applyNumberFormat="1" applyFont="1" applyFill="1" applyBorder="1" applyAlignment="1">
      <alignment horizontal="center"/>
    </xf>
    <xf numFmtId="164" fontId="34" fillId="18" borderId="42" xfId="0" applyNumberFormat="1" applyFont="1" applyFill="1" applyBorder="1" applyAlignment="1">
      <alignment horizontal="center"/>
    </xf>
    <xf numFmtId="164" fontId="0" fillId="0" borderId="47" xfId="0" applyNumberFormat="1" applyFill="1" applyBorder="1"/>
    <xf numFmtId="0" fontId="19" fillId="0" borderId="48" xfId="0" applyFont="1" applyFill="1" applyBorder="1"/>
    <xf numFmtId="0" fontId="19" fillId="0" borderId="46" xfId="0" applyFont="1" applyFill="1" applyBorder="1"/>
    <xf numFmtId="0" fontId="20" fillId="0" borderId="0" xfId="2"/>
    <xf numFmtId="0" fontId="31" fillId="20" borderId="1" xfId="5" applyBorder="1"/>
    <xf numFmtId="0" fontId="20" fillId="0" borderId="0" xfId="2" applyBorder="1"/>
    <xf numFmtId="0" fontId="18" fillId="15" borderId="14" xfId="1" applyBorder="1"/>
    <xf numFmtId="0" fontId="0" fillId="16" borderId="1" xfId="0" applyFill="1" applyBorder="1" applyAlignment="1">
      <alignment vertical="center"/>
    </xf>
    <xf numFmtId="0" fontId="0" fillId="16" borderId="15" xfId="0" applyFill="1" applyBorder="1" applyAlignment="1">
      <alignment vertical="center"/>
    </xf>
    <xf numFmtId="0" fontId="0" fillId="0" borderId="32" xfId="0" applyBorder="1"/>
    <xf numFmtId="0" fontId="0" fillId="0" borderId="33" xfId="0" applyBorder="1"/>
    <xf numFmtId="0" fontId="0" fillId="0" borderId="58" xfId="0" applyBorder="1"/>
    <xf numFmtId="0" fontId="0" fillId="0" borderId="46" xfId="0" applyBorder="1"/>
    <xf numFmtId="0" fontId="0" fillId="0" borderId="57" xfId="0" applyBorder="1"/>
    <xf numFmtId="0" fontId="0" fillId="0" borderId="60" xfId="0" applyBorder="1"/>
    <xf numFmtId="0" fontId="0" fillId="0" borderId="55" xfId="0" applyBorder="1"/>
    <xf numFmtId="0" fontId="0" fillId="0" borderId="22" xfId="0" applyBorder="1"/>
    <xf numFmtId="0" fontId="0" fillId="0" borderId="48" xfId="0" applyBorder="1" applyAlignment="1">
      <alignment horizontal="right"/>
    </xf>
    <xf numFmtId="0" fontId="0" fillId="0" borderId="48" xfId="0" applyFill="1" applyBorder="1" applyAlignment="1">
      <alignment horizontal="right"/>
    </xf>
    <xf numFmtId="0" fontId="0" fillId="0" borderId="59" xfId="0" applyBorder="1" applyAlignment="1">
      <alignment horizontal="right"/>
    </xf>
    <xf numFmtId="0" fontId="0" fillId="0" borderId="53" xfId="0" applyBorder="1"/>
    <xf numFmtId="0" fontId="25" fillId="0" borderId="52" xfId="0" applyFont="1" applyBorder="1"/>
    <xf numFmtId="0" fontId="0" fillId="0" borderId="52" xfId="0" applyBorder="1" applyAlignment="1">
      <alignment horizontal="right"/>
    </xf>
    <xf numFmtId="185" fontId="42" fillId="16" borderId="1" xfId="5" applyNumberFormat="1" applyFont="1" applyFill="1" applyBorder="1" applyAlignment="1">
      <alignment vertical="center"/>
    </xf>
    <xf numFmtId="2" fontId="0" fillId="0" borderId="1" xfId="0" applyNumberFormat="1" applyBorder="1" applyAlignment="1">
      <alignment horizontal="center" vertical="center"/>
    </xf>
    <xf numFmtId="2" fontId="25" fillId="0" borderId="1" xfId="0" applyNumberFormat="1" applyFont="1" applyBorder="1" applyAlignment="1">
      <alignment horizontal="center" vertical="center"/>
    </xf>
    <xf numFmtId="0" fontId="18" fillId="15" borderId="16" xfId="1" applyBorder="1"/>
    <xf numFmtId="0" fontId="31" fillId="20" borderId="18" xfId="5" applyBorder="1"/>
    <xf numFmtId="2" fontId="0" fillId="0" borderId="18" xfId="0" applyNumberFormat="1" applyBorder="1" applyAlignment="1">
      <alignment horizontal="center" vertical="center"/>
    </xf>
    <xf numFmtId="1" fontId="19" fillId="0" borderId="18" xfId="0" applyNumberFormat="1" applyFont="1" applyBorder="1" applyAlignment="1">
      <alignment horizontal="center" vertical="center"/>
    </xf>
    <xf numFmtId="184" fontId="33" fillId="0" borderId="0" xfId="0" applyNumberFormat="1" applyFont="1" applyFill="1" applyBorder="1" applyAlignment="1">
      <alignment horizontal="center"/>
    </xf>
    <xf numFmtId="184" fontId="0" fillId="0" borderId="51" xfId="0" applyNumberFormat="1" applyBorder="1"/>
    <xf numFmtId="184" fontId="0" fillId="0" borderId="0" xfId="0" applyNumberFormat="1"/>
    <xf numFmtId="184" fontId="33" fillId="18" borderId="51" xfId="0" applyNumberFormat="1" applyFont="1" applyFill="1" applyBorder="1" applyAlignment="1">
      <alignment horizontal="center"/>
    </xf>
    <xf numFmtId="164" fontId="25" fillId="0" borderId="49" xfId="0" applyNumberFormat="1" applyFont="1" applyBorder="1"/>
    <xf numFmtId="0" fontId="0" fillId="0" borderId="30" xfId="0" applyBorder="1" applyAlignment="1">
      <alignment vertical="center"/>
    </xf>
    <xf numFmtId="0" fontId="0" fillId="0" borderId="64" xfId="0" applyBorder="1" applyAlignment="1">
      <alignment vertical="center"/>
    </xf>
    <xf numFmtId="0" fontId="0" fillId="0" borderId="62" xfId="0" applyBorder="1" applyAlignment="1">
      <alignment vertical="center"/>
    </xf>
    <xf numFmtId="0" fontId="0" fillId="0" borderId="42" xfId="0" applyBorder="1" applyAlignment="1">
      <alignment vertical="center"/>
    </xf>
    <xf numFmtId="1" fontId="43" fillId="0" borderId="1" xfId="0" applyNumberFormat="1" applyFont="1" applyBorder="1" applyAlignment="1">
      <alignment horizontal="center"/>
    </xf>
    <xf numFmtId="1" fontId="43" fillId="0" borderId="15" xfId="0" applyNumberFormat="1" applyFont="1" applyBorder="1" applyAlignment="1">
      <alignment horizontal="center"/>
    </xf>
    <xf numFmtId="1" fontId="43" fillId="0" borderId="1" xfId="0" applyNumberFormat="1" applyFont="1" applyBorder="1" applyAlignment="1">
      <alignment horizontal="center" vertical="center"/>
    </xf>
    <xf numFmtId="2" fontId="7" fillId="0" borderId="18" xfId="0" applyNumberFormat="1" applyFont="1" applyBorder="1" applyAlignment="1">
      <alignment horizontal="right" vertical="center"/>
    </xf>
    <xf numFmtId="183" fontId="19" fillId="0" borderId="0" xfId="0" applyNumberFormat="1" applyFont="1" applyBorder="1"/>
    <xf numFmtId="0" fontId="44" fillId="0" borderId="0" xfId="0" applyFont="1" applyBorder="1"/>
    <xf numFmtId="183" fontId="19" fillId="0" borderId="17" xfId="0" applyNumberFormat="1" applyFont="1" applyBorder="1" applyAlignment="1">
      <alignment horizontal="center"/>
    </xf>
    <xf numFmtId="183" fontId="19" fillId="0" borderId="18" xfId="0" applyNumberFormat="1" applyFont="1" applyBorder="1"/>
    <xf numFmtId="0" fontId="0" fillId="0" borderId="48" xfId="0" applyFill="1" applyBorder="1"/>
    <xf numFmtId="184" fontId="0" fillId="0" borderId="0" xfId="0" applyNumberFormat="1" applyFill="1" applyBorder="1"/>
    <xf numFmtId="1" fontId="7" fillId="0" borderId="0" xfId="0" applyNumberFormat="1" applyFont="1" applyFill="1" applyBorder="1"/>
    <xf numFmtId="182" fontId="7" fillId="0" borderId="0" xfId="0" applyNumberFormat="1" applyFont="1" applyFill="1" applyBorder="1"/>
    <xf numFmtId="2" fontId="7" fillId="0" borderId="0" xfId="0" applyNumberFormat="1" applyFont="1" applyFill="1" applyBorder="1"/>
    <xf numFmtId="164" fontId="45" fillId="0" borderId="49" xfId="0" applyNumberFormat="1" applyFont="1" applyBorder="1"/>
    <xf numFmtId="164" fontId="45" fillId="0" borderId="42" xfId="0" applyNumberFormat="1" applyFont="1" applyBorder="1"/>
    <xf numFmtId="1" fontId="22" fillId="0" borderId="42" xfId="0" applyNumberFormat="1" applyFont="1" applyBorder="1"/>
    <xf numFmtId="166" fontId="46" fillId="0" borderId="45" xfId="0" applyNumberFormat="1" applyFont="1" applyBorder="1"/>
    <xf numFmtId="0" fontId="24" fillId="22" borderId="0" xfId="0" applyFont="1" applyFill="1" applyBorder="1"/>
    <xf numFmtId="0" fontId="0" fillId="0" borderId="45" xfId="0" applyFill="1" applyBorder="1"/>
    <xf numFmtId="179" fontId="34" fillId="0" borderId="45" xfId="0" applyNumberFormat="1" applyFont="1" applyFill="1" applyBorder="1" applyAlignment="1">
      <alignment horizontal="center"/>
    </xf>
    <xf numFmtId="180" fontId="34" fillId="0" borderId="45" xfId="0" applyNumberFormat="1" applyFont="1" applyFill="1" applyBorder="1" applyAlignment="1">
      <alignment horizontal="center"/>
    </xf>
    <xf numFmtId="164" fontId="34" fillId="0" borderId="45" xfId="0" applyNumberFormat="1" applyFont="1" applyFill="1" applyBorder="1" applyAlignment="1">
      <alignment horizontal="center"/>
    </xf>
    <xf numFmtId="0" fontId="34" fillId="0" borderId="45" xfId="0" applyFont="1" applyFill="1" applyBorder="1" applyAlignment="1">
      <alignment horizontal="center"/>
    </xf>
    <xf numFmtId="184" fontId="33" fillId="0" borderId="45" xfId="0" applyNumberFormat="1" applyFont="1" applyFill="1" applyBorder="1" applyAlignment="1">
      <alignment horizontal="center"/>
    </xf>
    <xf numFmtId="0" fontId="33" fillId="18" borderId="45" xfId="0" applyFont="1" applyFill="1" applyBorder="1"/>
    <xf numFmtId="179" fontId="34" fillId="18" borderId="45" xfId="0" applyNumberFormat="1" applyFont="1" applyFill="1" applyBorder="1" applyAlignment="1">
      <alignment horizontal="center"/>
    </xf>
    <xf numFmtId="1" fontId="34" fillId="18" borderId="45" xfId="0" applyNumberFormat="1" applyFont="1" applyFill="1" applyBorder="1" applyAlignment="1">
      <alignment horizontal="center"/>
    </xf>
    <xf numFmtId="164" fontId="34" fillId="18" borderId="45" xfId="0" applyNumberFormat="1" applyFont="1" applyFill="1" applyBorder="1" applyAlignment="1">
      <alignment horizontal="center"/>
    </xf>
    <xf numFmtId="0" fontId="34" fillId="18" borderId="45" xfId="0" applyFont="1" applyFill="1" applyBorder="1" applyAlignment="1">
      <alignment horizontal="center"/>
    </xf>
    <xf numFmtId="184" fontId="33" fillId="18" borderId="45" xfId="0" applyNumberFormat="1" applyFont="1" applyFill="1" applyBorder="1" applyAlignment="1">
      <alignment horizontal="center"/>
    </xf>
    <xf numFmtId="164" fontId="36" fillId="0" borderId="45" xfId="0" applyNumberFormat="1" applyFont="1" applyBorder="1"/>
    <xf numFmtId="0" fontId="0" fillId="0" borderId="45" xfId="0" applyBorder="1"/>
    <xf numFmtId="2" fontId="0" fillId="0" borderId="45" xfId="0" applyNumberFormat="1" applyBorder="1"/>
    <xf numFmtId="185" fontId="0" fillId="0" borderId="45" xfId="0" applyNumberFormat="1" applyBorder="1"/>
    <xf numFmtId="178" fontId="33" fillId="18" borderId="45" xfId="0" applyNumberFormat="1" applyFont="1" applyFill="1" applyBorder="1" applyAlignment="1">
      <alignment horizontal="center"/>
    </xf>
    <xf numFmtId="0" fontId="0" fillId="0" borderId="49" xfId="0" applyBorder="1"/>
    <xf numFmtId="164" fontId="0" fillId="5" borderId="65" xfId="0" applyNumberFormat="1" applyFill="1" applyBorder="1"/>
    <xf numFmtId="164" fontId="0" fillId="7" borderId="47" xfId="0" applyNumberFormat="1" applyFill="1" applyBorder="1"/>
    <xf numFmtId="164" fontId="0" fillId="0" borderId="66" xfId="0" applyNumberFormat="1" applyFill="1" applyBorder="1"/>
    <xf numFmtId="164" fontId="0" fillId="9" borderId="66" xfId="0" applyNumberFormat="1" applyFill="1" applyBorder="1"/>
    <xf numFmtId="164" fontId="0" fillId="2" borderId="66" xfId="0" applyNumberFormat="1" applyFill="1" applyBorder="1"/>
    <xf numFmtId="164" fontId="0" fillId="10" borderId="66" xfId="0" applyNumberFormat="1" applyFill="1" applyBorder="1"/>
    <xf numFmtId="164" fontId="0" fillId="8" borderId="66" xfId="0" applyNumberFormat="1" applyFill="1" applyBorder="1"/>
    <xf numFmtId="164" fontId="0" fillId="11" borderId="66" xfId="0" applyNumberFormat="1" applyFill="1" applyBorder="1"/>
    <xf numFmtId="164" fontId="7" fillId="11" borderId="66" xfId="0" applyNumberFormat="1" applyFont="1" applyFill="1" applyBorder="1"/>
    <xf numFmtId="164" fontId="0" fillId="0" borderId="24" xfId="0" applyNumberFormat="1" applyFill="1" applyBorder="1"/>
    <xf numFmtId="164" fontId="0" fillId="0" borderId="67" xfId="0" applyNumberFormat="1" applyFill="1" applyBorder="1"/>
    <xf numFmtId="164" fontId="0" fillId="5" borderId="6" xfId="0" applyNumberFormat="1" applyFill="1" applyBorder="1"/>
    <xf numFmtId="164" fontId="0" fillId="7" borderId="68" xfId="0" applyNumberFormat="1" applyFill="1" applyBorder="1"/>
    <xf numFmtId="164" fontId="0" fillId="0" borderId="68" xfId="0" applyNumberFormat="1" applyFill="1" applyBorder="1"/>
    <xf numFmtId="164" fontId="0" fillId="9" borderId="68" xfId="0" applyNumberFormat="1" applyFill="1" applyBorder="1"/>
    <xf numFmtId="164" fontId="0" fillId="2" borderId="68" xfId="0" applyNumberFormat="1" applyFill="1" applyBorder="1"/>
    <xf numFmtId="164" fontId="0" fillId="10" borderId="68" xfId="0" applyNumberFormat="1" applyFill="1" applyBorder="1"/>
    <xf numFmtId="164" fontId="0" fillId="8" borderId="68" xfId="0" applyNumberFormat="1" applyFill="1" applyBorder="1"/>
    <xf numFmtId="164" fontId="0" fillId="11" borderId="68" xfId="0" applyNumberFormat="1" applyFill="1" applyBorder="1"/>
    <xf numFmtId="164" fontId="7" fillId="11" borderId="68" xfId="0" applyNumberFormat="1" applyFont="1" applyFill="1" applyBorder="1"/>
    <xf numFmtId="164" fontId="0" fillId="0" borderId="69" xfId="0" applyNumberFormat="1" applyFill="1" applyBorder="1"/>
    <xf numFmtId="0" fontId="0" fillId="0" borderId="30" xfId="0" applyBorder="1"/>
    <xf numFmtId="0" fontId="0" fillId="0" borderId="56" xfId="0" applyBorder="1"/>
    <xf numFmtId="0" fontId="0" fillId="0" borderId="31" xfId="0" applyBorder="1"/>
    <xf numFmtId="0" fontId="4" fillId="20" borderId="71" xfId="13" applyFont="1" applyBorder="1"/>
    <xf numFmtId="0" fontId="4" fillId="20" borderId="72" xfId="13" applyFont="1" applyBorder="1"/>
    <xf numFmtId="0" fontId="4" fillId="20" borderId="73" xfId="13" applyFont="1" applyBorder="1"/>
    <xf numFmtId="0" fontId="18" fillId="15" borderId="6" xfId="1" quotePrefix="1" applyBorder="1"/>
    <xf numFmtId="0" fontId="31" fillId="20" borderId="10" xfId="5" applyBorder="1"/>
    <xf numFmtId="0" fontId="31" fillId="20" borderId="12" xfId="5" applyBorder="1"/>
    <xf numFmtId="0" fontId="31" fillId="20" borderId="13" xfId="5" applyBorder="1"/>
    <xf numFmtId="0" fontId="31" fillId="20" borderId="14" xfId="5" applyBorder="1"/>
    <xf numFmtId="0" fontId="31" fillId="20" borderId="15" xfId="5" applyBorder="1"/>
    <xf numFmtId="0" fontId="31" fillId="20" borderId="16" xfId="5" applyBorder="1"/>
    <xf numFmtId="0" fontId="31" fillId="20" borderId="17" xfId="5" applyBorder="1"/>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wrapText="1"/>
    </xf>
    <xf numFmtId="49" fontId="4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2" fontId="3" fillId="0" borderId="1" xfId="0" applyNumberFormat="1" applyFont="1" applyBorder="1" applyAlignment="1">
      <alignment horizontal="center" vertical="center"/>
    </xf>
    <xf numFmtId="49" fontId="50" fillId="0" borderId="10" xfId="4" applyNumberFormat="1" applyFont="1" applyBorder="1" applyAlignment="1" applyProtection="1">
      <alignment horizontal="center" vertical="center"/>
    </xf>
    <xf numFmtId="49" fontId="50" fillId="0" borderId="12" xfId="4" applyNumberFormat="1" applyFont="1" applyBorder="1" applyAlignment="1" applyProtection="1">
      <alignment horizontal="center" vertical="center"/>
    </xf>
    <xf numFmtId="49" fontId="50" fillId="0" borderId="12" xfId="4" applyNumberFormat="1" applyFont="1" applyBorder="1" applyAlignment="1" applyProtection="1">
      <alignment horizontal="center" vertical="center" wrapText="1"/>
    </xf>
    <xf numFmtId="49" fontId="30" fillId="0" borderId="12" xfId="0" applyNumberFormat="1" applyFont="1" applyBorder="1" applyAlignment="1">
      <alignment horizontal="center" vertical="center" wrapText="1"/>
    </xf>
    <xf numFmtId="0" fontId="3" fillId="0" borderId="13" xfId="0" applyFont="1" applyBorder="1" applyAlignment="1">
      <alignment horizontal="center" vertical="center" wrapText="1"/>
    </xf>
    <xf numFmtId="49" fontId="3" fillId="0" borderId="14" xfId="0" applyNumberFormat="1" applyFont="1" applyBorder="1" applyAlignment="1">
      <alignment horizontal="center" vertical="center"/>
    </xf>
    <xf numFmtId="0" fontId="3" fillId="0" borderId="15" xfId="0" applyFont="1" applyBorder="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0" fillId="0" borderId="18" xfId="0" applyBorder="1" applyAlignment="1">
      <alignment horizontal="center" vertical="center"/>
    </xf>
    <xf numFmtId="0" fontId="3" fillId="0" borderId="18" xfId="0" applyFont="1" applyBorder="1" applyAlignment="1">
      <alignment horizontal="center" vertical="center" wrapText="1"/>
    </xf>
    <xf numFmtId="0" fontId="3" fillId="0" borderId="18" xfId="0" applyFont="1" applyBorder="1" applyAlignment="1">
      <alignment horizontal="center" vertical="center"/>
    </xf>
    <xf numFmtId="2" fontId="3" fillId="0" borderId="18" xfId="0" applyNumberFormat="1" applyFont="1" applyBorder="1" applyAlignment="1">
      <alignment horizontal="center" vertical="center"/>
    </xf>
    <xf numFmtId="0" fontId="3" fillId="0" borderId="17" xfId="0" applyFont="1" applyBorder="1" applyAlignment="1">
      <alignment horizontal="center" vertical="center" wrapText="1"/>
    </xf>
    <xf numFmtId="186" fontId="0" fillId="0" borderId="16" xfId="0" applyNumberFormat="1" applyBorder="1"/>
    <xf numFmtId="176" fontId="0" fillId="0" borderId="10" xfId="0" applyNumberFormat="1" applyBorder="1"/>
    <xf numFmtId="0" fontId="0" fillId="0" borderId="1" xfId="0" applyBorder="1" applyAlignment="1">
      <alignment horizontal="center"/>
    </xf>
    <xf numFmtId="0" fontId="0" fillId="0" borderId="0" xfId="0" applyFill="1"/>
    <xf numFmtId="0" fontId="0" fillId="8" borderId="0" xfId="0" applyFill="1"/>
    <xf numFmtId="0" fontId="0" fillId="11" borderId="0" xfId="0" applyFill="1"/>
    <xf numFmtId="0" fontId="0" fillId="24" borderId="0" xfId="0" applyFill="1"/>
    <xf numFmtId="0" fontId="0" fillId="25" borderId="0" xfId="0" applyFill="1"/>
    <xf numFmtId="0" fontId="0" fillId="8" borderId="0" xfId="0" quotePrefix="1" applyFill="1"/>
    <xf numFmtId="0" fontId="0" fillId="0" borderId="66" xfId="0" applyBorder="1" applyAlignment="1">
      <alignment horizontal="center"/>
    </xf>
    <xf numFmtId="0" fontId="0" fillId="0" borderId="3" xfId="0" applyBorder="1" applyAlignment="1">
      <alignment horizontal="right"/>
    </xf>
    <xf numFmtId="0" fontId="23" fillId="7" borderId="1" xfId="1" applyFont="1" applyFill="1" applyBorder="1"/>
    <xf numFmtId="0" fontId="23" fillId="7" borderId="20" xfId="1" applyFont="1" applyFill="1" applyBorder="1"/>
    <xf numFmtId="0" fontId="23" fillId="0" borderId="0" xfId="1" applyFont="1" applyFill="1" applyBorder="1"/>
    <xf numFmtId="184" fontId="22" fillId="0" borderId="13" xfId="2" applyNumberFormat="1" applyFont="1" applyBorder="1"/>
    <xf numFmtId="164" fontId="19" fillId="0" borderId="17" xfId="2" applyNumberFormat="1" applyFont="1" applyBorder="1"/>
    <xf numFmtId="0" fontId="19" fillId="0" borderId="16" xfId="0" applyFont="1" applyBorder="1" applyAlignment="1">
      <alignment horizontal="center"/>
    </xf>
    <xf numFmtId="0" fontId="19" fillId="0" borderId="17" xfId="0" applyFont="1" applyBorder="1"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0" fillId="0" borderId="34" xfId="0" applyBorder="1"/>
    <xf numFmtId="0" fontId="0" fillId="0" borderId="52" xfId="0" applyBorder="1"/>
    <xf numFmtId="0" fontId="24" fillId="0" borderId="10" xfId="0" applyFont="1" applyBorder="1" applyAlignment="1">
      <alignment horizontal="center"/>
    </xf>
    <xf numFmtId="0" fontId="24" fillId="0" borderId="13" xfId="0" applyFont="1" applyBorder="1" applyAlignment="1">
      <alignment horizontal="center"/>
    </xf>
    <xf numFmtId="0" fontId="24" fillId="0" borderId="12" xfId="0" applyFont="1" applyBorder="1" applyAlignment="1">
      <alignment horizontal="center"/>
    </xf>
    <xf numFmtId="0" fontId="52" fillId="0" borderId="20" xfId="1" applyFont="1" applyFill="1" applyBorder="1"/>
    <xf numFmtId="0" fontId="52" fillId="7" borderId="20" xfId="1" applyFont="1" applyFill="1" applyBorder="1"/>
    <xf numFmtId="0" fontId="52" fillId="0" borderId="1" xfId="1" applyFont="1" applyFill="1" applyBorder="1"/>
    <xf numFmtId="0" fontId="52" fillId="7" borderId="1" xfId="1" applyFont="1" applyFill="1" applyBorder="1"/>
    <xf numFmtId="0" fontId="19" fillId="0" borderId="18" xfId="0" applyFont="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36" xfId="0" applyBorder="1"/>
    <xf numFmtId="0" fontId="0" fillId="0" borderId="5" xfId="0" applyBorder="1"/>
    <xf numFmtId="0" fontId="0" fillId="0" borderId="40" xfId="0" applyBorder="1"/>
    <xf numFmtId="0" fontId="22" fillId="20" borderId="70" xfId="13" applyFont="1"/>
    <xf numFmtId="1" fontId="22" fillId="20" borderId="70" xfId="13" applyNumberFormat="1" applyFont="1"/>
    <xf numFmtId="0" fontId="0" fillId="0" borderId="84" xfId="0" applyBorder="1"/>
    <xf numFmtId="0" fontId="0" fillId="0" borderId="85" xfId="0" applyBorder="1"/>
    <xf numFmtId="0" fontId="0" fillId="0" borderId="87" xfId="0" applyBorder="1"/>
    <xf numFmtId="0" fontId="0" fillId="0" borderId="88" xfId="0" applyBorder="1"/>
    <xf numFmtId="0" fontId="0" fillId="0" borderId="89" xfId="0" applyBorder="1"/>
    <xf numFmtId="0" fontId="0" fillId="0" borderId="91" xfId="0" applyBorder="1"/>
    <xf numFmtId="0" fontId="0" fillId="0" borderId="92" xfId="0" applyBorder="1"/>
    <xf numFmtId="0" fontId="0" fillId="0" borderId="93" xfId="0" applyBorder="1"/>
    <xf numFmtId="0" fontId="18" fillId="0" borderId="0" xfId="1" applyFill="1" applyBorder="1"/>
    <xf numFmtId="164" fontId="18" fillId="15" borderId="98" xfId="1" applyNumberFormat="1" applyBorder="1" applyAlignment="1">
      <alignment horizontal="center" vertical="center"/>
    </xf>
    <xf numFmtId="0" fontId="0" fillId="0" borderId="99" xfId="0" applyBorder="1"/>
    <xf numFmtId="0" fontId="0" fillId="0" borderId="100" xfId="0" applyBorder="1"/>
    <xf numFmtId="0" fontId="0" fillId="0" borderId="101" xfId="0" applyBorder="1"/>
    <xf numFmtId="0" fontId="0" fillId="0" borderId="102" xfId="0" applyBorder="1"/>
    <xf numFmtId="0" fontId="0" fillId="0" borderId="103" xfId="0" applyBorder="1"/>
    <xf numFmtId="0" fontId="0" fillId="0" borderId="104" xfId="0" applyBorder="1"/>
    <xf numFmtId="0" fontId="0" fillId="0" borderId="105" xfId="0" applyBorder="1"/>
    <xf numFmtId="0" fontId="0" fillId="0" borderId="106" xfId="0" applyBorder="1"/>
    <xf numFmtId="0" fontId="0" fillId="0" borderId="107" xfId="0" applyBorder="1"/>
    <xf numFmtId="0" fontId="19" fillId="0" borderId="108" xfId="0" applyFont="1" applyBorder="1"/>
    <xf numFmtId="0" fontId="19" fillId="0" borderId="109" xfId="0" applyFont="1" applyBorder="1"/>
    <xf numFmtId="1" fontId="0" fillId="0" borderId="19" xfId="0" applyNumberFormat="1" applyBorder="1"/>
    <xf numFmtId="1" fontId="19" fillId="0" borderId="2" xfId="0" applyNumberFormat="1" applyFont="1" applyFill="1" applyBorder="1"/>
    <xf numFmtId="164" fontId="19" fillId="0" borderId="2" xfId="0" applyNumberFormat="1" applyFont="1" applyFill="1" applyBorder="1"/>
    <xf numFmtId="188" fontId="19" fillId="0" borderId="2" xfId="0" applyNumberFormat="1" applyFont="1" applyBorder="1"/>
    <xf numFmtId="168" fontId="42" fillId="20" borderId="29" xfId="5" applyNumberFormat="1" applyFont="1"/>
    <xf numFmtId="0" fontId="2" fillId="0" borderId="0" xfId="0" quotePrefix="1" applyFont="1" applyAlignment="1">
      <alignment horizontal="center"/>
    </xf>
    <xf numFmtId="169" fontId="42" fillId="20" borderId="29" xfId="5" applyNumberFormat="1" applyFont="1"/>
    <xf numFmtId="170" fontId="42" fillId="20" borderId="29" xfId="5" applyNumberFormat="1" applyFont="1"/>
    <xf numFmtId="0" fontId="0" fillId="0" borderId="30" xfId="0" applyBorder="1" applyAlignment="1">
      <alignment horizontal="center" vertical="center"/>
    </xf>
    <xf numFmtId="0" fontId="0" fillId="0" borderId="31" xfId="0" applyBorder="1" applyAlignment="1">
      <alignment horizontal="center" vertical="center"/>
    </xf>
    <xf numFmtId="0" fontId="57" fillId="23" borderId="2" xfId="0" applyFont="1" applyFill="1" applyBorder="1"/>
    <xf numFmtId="0" fontId="58" fillId="0" borderId="0" xfId="15"/>
    <xf numFmtId="2" fontId="59" fillId="27" borderId="0" xfId="15" applyNumberFormat="1" applyFont="1" applyFill="1"/>
    <xf numFmtId="0" fontId="58" fillId="0" borderId="0" xfId="15" applyFill="1" applyBorder="1" applyAlignment="1">
      <alignment horizontal="right"/>
    </xf>
    <xf numFmtId="2" fontId="58" fillId="27" borderId="0" xfId="15" applyNumberFormat="1" applyFill="1"/>
    <xf numFmtId="0" fontId="58" fillId="27" borderId="0" xfId="15" applyFill="1"/>
    <xf numFmtId="0" fontId="60" fillId="0" borderId="0" xfId="15" applyFont="1" applyFill="1" applyBorder="1" applyAlignment="1">
      <alignment horizontal="right"/>
    </xf>
    <xf numFmtId="0" fontId="61" fillId="0" borderId="0" xfId="15" applyFont="1"/>
    <xf numFmtId="2" fontId="61" fillId="27" borderId="0" xfId="15" applyNumberFormat="1" applyFont="1" applyFill="1"/>
    <xf numFmtId="0" fontId="61" fillId="0" borderId="0" xfId="15" applyFont="1" applyFill="1" applyBorder="1" applyAlignment="1">
      <alignment horizontal="right"/>
    </xf>
    <xf numFmtId="2" fontId="58" fillId="28" borderId="110" xfId="15" applyNumberFormat="1" applyFill="1" applyBorder="1" applyProtection="1">
      <protection locked="0"/>
    </xf>
    <xf numFmtId="2" fontId="58" fillId="0" borderId="0" xfId="15" applyNumberFormat="1"/>
    <xf numFmtId="0" fontId="62" fillId="0" borderId="0" xfId="15" applyFont="1" applyFill="1" applyBorder="1" applyAlignment="1">
      <alignment horizontal="right"/>
    </xf>
    <xf numFmtId="0" fontId="58" fillId="0" borderId="0" xfId="15" applyFont="1" applyFill="1" applyBorder="1" applyAlignment="1">
      <alignment horizontal="right"/>
    </xf>
    <xf numFmtId="0" fontId="61" fillId="0" borderId="0" xfId="15" applyFont="1" applyAlignment="1">
      <alignment horizontal="right"/>
    </xf>
    <xf numFmtId="0" fontId="58" fillId="0" borderId="0" xfId="15" applyAlignment="1">
      <alignment horizontal="right"/>
    </xf>
    <xf numFmtId="2" fontId="21" fillId="27" borderId="0" xfId="15" applyNumberFormat="1" applyFont="1" applyFill="1" applyBorder="1"/>
    <xf numFmtId="0" fontId="21" fillId="0" borderId="0" xfId="15" applyFont="1"/>
    <xf numFmtId="0" fontId="21" fillId="0" borderId="0" xfId="15" applyFont="1" applyAlignment="1">
      <alignment horizontal="center"/>
    </xf>
    <xf numFmtId="0" fontId="21" fillId="0" borderId="0" xfId="15" applyFont="1" applyAlignment="1">
      <alignment horizontal="right"/>
    </xf>
    <xf numFmtId="0" fontId="63" fillId="0" borderId="0" xfId="15" applyFont="1" applyAlignment="1">
      <alignment horizontal="center"/>
    </xf>
    <xf numFmtId="0" fontId="58" fillId="0" borderId="0" xfId="15" applyFont="1"/>
    <xf numFmtId="0" fontId="62" fillId="0" borderId="0" xfId="16" applyFont="1" applyAlignment="1" applyProtection="1">
      <alignment horizontal="center"/>
    </xf>
    <xf numFmtId="0" fontId="64" fillId="0" borderId="0" xfId="16" applyFont="1" applyAlignment="1" applyProtection="1"/>
    <xf numFmtId="0" fontId="65" fillId="0" borderId="0" xfId="16" applyFont="1" applyAlignment="1" applyProtection="1">
      <alignment horizontal="center"/>
    </xf>
    <xf numFmtId="0" fontId="64" fillId="0" borderId="0" xfId="16" applyAlignment="1" applyProtection="1"/>
    <xf numFmtId="0" fontId="58" fillId="0" borderId="0" xfId="15" applyAlignment="1">
      <alignment horizontal="center"/>
    </xf>
    <xf numFmtId="0" fontId="58" fillId="29" borderId="53" xfId="15" applyNumberFormat="1" applyFill="1" applyBorder="1" applyAlignment="1">
      <alignment horizontal="center"/>
    </xf>
    <xf numFmtId="0" fontId="58" fillId="29" borderId="52" xfId="15" applyNumberFormat="1" applyFill="1" applyBorder="1" applyAlignment="1">
      <alignment horizontal="center"/>
    </xf>
    <xf numFmtId="0" fontId="58" fillId="29" borderId="111" xfId="15" applyFill="1" applyBorder="1" applyAlignment="1">
      <alignment horizontal="center"/>
    </xf>
    <xf numFmtId="0" fontId="58" fillId="0" borderId="33" xfId="15" applyNumberFormat="1" applyBorder="1" applyAlignment="1">
      <alignment horizontal="center"/>
    </xf>
    <xf numFmtId="0" fontId="58" fillId="0" borderId="0" xfId="15" applyNumberFormat="1" applyBorder="1" applyAlignment="1">
      <alignment horizontal="center"/>
    </xf>
    <xf numFmtId="0" fontId="58" fillId="0" borderId="112" xfId="15" applyBorder="1" applyAlignment="1">
      <alignment horizontal="center"/>
    </xf>
    <xf numFmtId="0" fontId="58" fillId="29" borderId="33" xfId="15" applyNumberFormat="1" applyFill="1" applyBorder="1" applyAlignment="1">
      <alignment horizontal="center"/>
    </xf>
    <xf numFmtId="0" fontId="58" fillId="29" borderId="0" xfId="15" applyNumberFormat="1" applyFill="1" applyBorder="1" applyAlignment="1">
      <alignment horizontal="center"/>
    </xf>
    <xf numFmtId="0" fontId="58" fillId="29" borderId="112" xfId="15" applyFill="1" applyBorder="1" applyAlignment="1">
      <alignment horizontal="center"/>
    </xf>
    <xf numFmtId="1" fontId="58" fillId="29" borderId="112" xfId="15" applyNumberFormat="1" applyFill="1" applyBorder="1" applyAlignment="1">
      <alignment horizontal="center"/>
    </xf>
    <xf numFmtId="0" fontId="61" fillId="0" borderId="113" xfId="15" applyNumberFormat="1" applyFont="1" applyBorder="1" applyAlignment="1">
      <alignment horizontal="center"/>
    </xf>
    <xf numFmtId="0" fontId="61" fillId="0" borderId="51" xfId="15" applyNumberFormat="1" applyFont="1" applyBorder="1" applyAlignment="1">
      <alignment horizontal="center"/>
    </xf>
    <xf numFmtId="0" fontId="61" fillId="0" borderId="21" xfId="15" applyFont="1" applyBorder="1" applyAlignment="1">
      <alignment horizontal="center"/>
    </xf>
    <xf numFmtId="0" fontId="61" fillId="0" borderId="31" xfId="15" applyFont="1" applyBorder="1"/>
    <xf numFmtId="0" fontId="61" fillId="0" borderId="56" xfId="15" applyFont="1" applyBorder="1"/>
    <xf numFmtId="0" fontId="60" fillId="0" borderId="56" xfId="15" applyFont="1" applyBorder="1"/>
    <xf numFmtId="0" fontId="61" fillId="0" borderId="114" xfId="15" applyFont="1" applyBorder="1" applyAlignment="1">
      <alignment horizontal="center"/>
    </xf>
    <xf numFmtId="0" fontId="67" fillId="0" borderId="0" xfId="15" applyFont="1"/>
    <xf numFmtId="164" fontId="58" fillId="0" borderId="0" xfId="15" applyNumberFormat="1" applyAlignment="1">
      <alignment horizontal="center"/>
    </xf>
    <xf numFmtId="189" fontId="58" fillId="0" borderId="0" xfId="15" applyNumberFormat="1" applyAlignment="1">
      <alignment horizontal="center"/>
    </xf>
    <xf numFmtId="2" fontId="58" fillId="0" borderId="0" xfId="15" applyNumberFormat="1" applyAlignment="1">
      <alignment horizontal="center"/>
    </xf>
    <xf numFmtId="2" fontId="58" fillId="0" borderId="1" xfId="15" applyNumberFormat="1" applyBorder="1" applyAlignment="1">
      <alignment horizontal="center"/>
    </xf>
    <xf numFmtId="0" fontId="58" fillId="0" borderId="1" xfId="15" applyBorder="1" applyAlignment="1">
      <alignment horizontal="left"/>
    </xf>
    <xf numFmtId="184" fontId="58" fillId="0" borderId="1" xfId="15" applyNumberFormat="1" applyBorder="1" applyAlignment="1">
      <alignment horizontal="center"/>
    </xf>
    <xf numFmtId="190" fontId="58" fillId="0" borderId="0" xfId="15" applyNumberFormat="1" applyAlignment="1">
      <alignment horizontal="center"/>
    </xf>
    <xf numFmtId="0" fontId="58" fillId="0" borderId="1" xfId="15" applyFill="1" applyBorder="1" applyAlignment="1">
      <alignment horizontal="left"/>
    </xf>
    <xf numFmtId="0" fontId="58" fillId="0" borderId="1" xfId="15" applyBorder="1" applyAlignment="1">
      <alignment horizontal="center"/>
    </xf>
    <xf numFmtId="191" fontId="58" fillId="0" borderId="0" xfId="15" applyNumberFormat="1" applyAlignment="1">
      <alignment horizontal="center"/>
    </xf>
    <xf numFmtId="0" fontId="58" fillId="31" borderId="1" xfId="15" applyFill="1" applyBorder="1" applyAlignment="1">
      <alignment horizontal="left"/>
    </xf>
    <xf numFmtId="189" fontId="58" fillId="31" borderId="1" xfId="15" applyNumberFormat="1" applyFill="1" applyBorder="1" applyAlignment="1">
      <alignment horizontal="center"/>
    </xf>
    <xf numFmtId="0" fontId="58" fillId="31" borderId="1" xfId="15" applyFill="1" applyBorder="1" applyAlignment="1">
      <alignment horizontal="center"/>
    </xf>
    <xf numFmtId="0" fontId="58" fillId="32" borderId="0" xfId="15" applyFill="1" applyAlignment="1">
      <alignment horizontal="left"/>
    </xf>
    <xf numFmtId="185" fontId="58" fillId="0" borderId="1" xfId="15" applyNumberFormat="1" applyBorder="1" applyAlignment="1">
      <alignment horizontal="center"/>
    </xf>
    <xf numFmtId="189" fontId="58" fillId="0" borderId="1" xfId="15" applyNumberFormat="1" applyBorder="1" applyAlignment="1">
      <alignment horizontal="center"/>
    </xf>
    <xf numFmtId="2" fontId="58" fillId="31" borderId="1" xfId="15" applyNumberFormat="1" applyFill="1" applyBorder="1" applyAlignment="1">
      <alignment horizontal="center"/>
    </xf>
    <xf numFmtId="0" fontId="58" fillId="0" borderId="0" xfId="15" applyFill="1" applyBorder="1" applyAlignment="1">
      <alignment horizontal="left"/>
    </xf>
    <xf numFmtId="0" fontId="58" fillId="0" borderId="0" xfId="15" applyFill="1" applyBorder="1" applyAlignment="1">
      <alignment horizontal="center"/>
    </xf>
    <xf numFmtId="0" fontId="58" fillId="0" borderId="2" xfId="15" applyBorder="1" applyAlignment="1">
      <alignment horizontal="center"/>
    </xf>
    <xf numFmtId="0" fontId="58" fillId="5" borderId="2" xfId="15" applyFill="1" applyBorder="1" applyAlignment="1">
      <alignment horizontal="center"/>
    </xf>
    <xf numFmtId="164" fontId="0" fillId="17" borderId="2" xfId="0" applyNumberFormat="1" applyFill="1" applyBorder="1"/>
    <xf numFmtId="0" fontId="0" fillId="0" borderId="14" xfId="0" applyBorder="1"/>
    <xf numFmtId="0" fontId="0" fillId="0" borderId="14" xfId="0" applyFill="1" applyBorder="1"/>
    <xf numFmtId="0" fontId="0" fillId="0" borderId="16" xfId="0" applyBorder="1"/>
    <xf numFmtId="0" fontId="0" fillId="0" borderId="18" xfId="0" applyBorder="1"/>
    <xf numFmtId="0" fontId="0" fillId="0" borderId="10" xfId="0" applyBorder="1"/>
    <xf numFmtId="0" fontId="0" fillId="0" borderId="12" xfId="0" applyBorder="1"/>
    <xf numFmtId="0" fontId="0" fillId="0" borderId="4" xfId="0" applyBorder="1"/>
    <xf numFmtId="164" fontId="0" fillId="7" borderId="5" xfId="0" applyNumberFormat="1" applyFill="1" applyBorder="1"/>
    <xf numFmtId="164" fontId="0" fillId="17" borderId="119" xfId="0" applyNumberFormat="1" applyFill="1" applyBorder="1"/>
    <xf numFmtId="164" fontId="0" fillId="0" borderId="39" xfId="0" applyNumberFormat="1" applyBorder="1"/>
    <xf numFmtId="0" fontId="0" fillId="0" borderId="119" xfId="0" applyBorder="1"/>
    <xf numFmtId="164" fontId="0" fillId="0" borderId="116" xfId="0" applyNumberFormat="1" applyBorder="1"/>
    <xf numFmtId="0" fontId="0" fillId="0" borderId="48" xfId="0" applyBorder="1" applyAlignment="1">
      <alignment vertical="top"/>
    </xf>
    <xf numFmtId="0" fontId="0" fillId="0" borderId="117" xfId="0" applyBorder="1"/>
    <xf numFmtId="0" fontId="0" fillId="0" borderId="66" xfId="0" applyBorder="1"/>
    <xf numFmtId="164" fontId="0" fillId="0" borderId="69" xfId="0" applyNumberFormat="1" applyBorder="1"/>
    <xf numFmtId="0" fontId="0" fillId="0" borderId="115" xfId="0" applyBorder="1"/>
    <xf numFmtId="0" fontId="0" fillId="0" borderId="68" xfId="0" applyBorder="1"/>
    <xf numFmtId="0" fontId="0" fillId="4" borderId="14" xfId="0" applyFill="1" applyBorder="1"/>
    <xf numFmtId="0" fontId="0" fillId="4" borderId="1" xfId="0" applyFill="1" applyBorder="1"/>
    <xf numFmtId="0" fontId="0" fillId="0" borderId="1" xfId="0" applyFill="1" applyBorder="1"/>
    <xf numFmtId="164" fontId="0" fillId="0" borderId="119" xfId="0" applyNumberFormat="1" applyFill="1" applyBorder="1"/>
    <xf numFmtId="0" fontId="0" fillId="0" borderId="0" xfId="0" applyAlignment="1">
      <alignment horizontal="center"/>
    </xf>
    <xf numFmtId="187" fontId="43" fillId="0" borderId="0" xfId="0" applyNumberFormat="1" applyFont="1"/>
    <xf numFmtId="167" fontId="0" fillId="0" borderId="0" xfId="0" applyNumberFormat="1" applyBorder="1"/>
    <xf numFmtId="188" fontId="72" fillId="16" borderId="53" xfId="0" quotePrefix="1" applyNumberFormat="1" applyFont="1" applyFill="1" applyBorder="1" applyAlignment="1">
      <alignment horizontal="center" vertical="center"/>
    </xf>
    <xf numFmtId="187" fontId="43" fillId="0" borderId="32" xfId="0" applyNumberFormat="1" applyFont="1" applyBorder="1"/>
    <xf numFmtId="188" fontId="72" fillId="16" borderId="2" xfId="0" quotePrefix="1" applyNumberFormat="1" applyFont="1" applyFill="1" applyBorder="1" applyAlignment="1">
      <alignment horizontal="center" vertical="center"/>
    </xf>
    <xf numFmtId="188" fontId="19" fillId="0" borderId="2" xfId="0" applyNumberFormat="1" applyFont="1" applyBorder="1" applyAlignment="1">
      <alignment horizontal="center" vertical="center"/>
    </xf>
    <xf numFmtId="188" fontId="43" fillId="0" borderId="119" xfId="0" applyNumberFormat="1" applyFont="1" applyBorder="1"/>
    <xf numFmtId="188" fontId="19" fillId="0" borderId="35" xfId="0" applyNumberFormat="1" applyFont="1" applyBorder="1"/>
    <xf numFmtId="0" fontId="0" fillId="0" borderId="32" xfId="0" applyBorder="1" applyAlignment="1">
      <alignment horizontal="center" vertical="center"/>
    </xf>
    <xf numFmtId="188" fontId="71" fillId="6" borderId="36" xfId="0" applyNumberFormat="1" applyFont="1" applyFill="1" applyBorder="1"/>
    <xf numFmtId="0" fontId="0" fillId="6" borderId="119" xfId="0" applyFill="1" applyBorder="1" applyAlignment="1">
      <alignment horizontal="right"/>
    </xf>
    <xf numFmtId="164" fontId="22" fillId="20" borderId="70" xfId="13" applyNumberFormat="1" applyFont="1"/>
    <xf numFmtId="0" fontId="8" fillId="0" borderId="1" xfId="0" applyFont="1" applyBorder="1" applyAlignment="1">
      <alignment horizontal="center" vertical="center" wrapText="1"/>
    </xf>
    <xf numFmtId="9" fontId="8" fillId="0" borderId="1"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40" xfId="0" applyFont="1" applyBorder="1" applyAlignment="1">
      <alignment horizontal="center" vertical="center" wrapText="1"/>
    </xf>
    <xf numFmtId="0" fontId="8" fillId="0" borderId="67" xfId="0" applyFont="1" applyBorder="1" applyAlignment="1">
      <alignment horizontal="center" vertical="center" wrapText="1"/>
    </xf>
    <xf numFmtId="0" fontId="73" fillId="0" borderId="18" xfId="0" applyFont="1" applyBorder="1" applyAlignment="1">
      <alignment horizontal="center" vertical="center" wrapText="1"/>
    </xf>
    <xf numFmtId="0" fontId="73" fillId="0" borderId="17" xfId="0" applyFont="1" applyBorder="1" applyAlignment="1">
      <alignment horizontal="center" vertical="center" wrapText="1"/>
    </xf>
    <xf numFmtId="164" fontId="19" fillId="0" borderId="0" xfId="0" applyNumberFormat="1" applyFont="1"/>
    <xf numFmtId="0" fontId="33" fillId="0" borderId="122" xfId="0" applyFont="1" applyBorder="1" applyAlignment="1">
      <alignment horizontal="center" vertical="center"/>
    </xf>
    <xf numFmtId="0" fontId="33" fillId="0" borderId="122" xfId="0" applyFont="1" applyBorder="1" applyAlignment="1">
      <alignment horizontal="center" vertical="center" wrapText="1"/>
    </xf>
    <xf numFmtId="0" fontId="33" fillId="0" borderId="123" xfId="0" applyFont="1" applyBorder="1" applyAlignment="1">
      <alignment horizontal="center" vertical="center" wrapText="1"/>
    </xf>
    <xf numFmtId="0" fontId="33" fillId="0" borderId="123" xfId="0" applyFont="1" applyBorder="1" applyAlignment="1">
      <alignment horizontal="center" vertical="center"/>
    </xf>
    <xf numFmtId="0" fontId="0" fillId="0" borderId="122" xfId="0" applyBorder="1" applyAlignment="1">
      <alignment vertical="center" wrapText="1"/>
    </xf>
    <xf numFmtId="0" fontId="0" fillId="0" borderId="124" xfId="0" applyBorder="1" applyAlignment="1">
      <alignment vertical="center" wrapText="1"/>
    </xf>
    <xf numFmtId="0" fontId="0" fillId="0" borderId="123" xfId="0" applyBorder="1" applyAlignment="1">
      <alignment vertical="center" wrapText="1"/>
    </xf>
    <xf numFmtId="0" fontId="0" fillId="0" borderId="28" xfId="0" applyBorder="1" applyAlignment="1">
      <alignment vertical="center"/>
    </xf>
    <xf numFmtId="0" fontId="0" fillId="0" borderId="28" xfId="0" applyBorder="1" applyAlignment="1">
      <alignment vertical="center" wrapText="1"/>
    </xf>
    <xf numFmtId="0" fontId="29" fillId="0" borderId="124" xfId="4" applyBorder="1" applyAlignment="1" applyProtection="1">
      <alignment vertical="center" wrapText="1"/>
    </xf>
    <xf numFmtId="0" fontId="29" fillId="0" borderId="123" xfId="4" applyBorder="1" applyAlignment="1" applyProtection="1">
      <alignment vertical="center" wrapText="1"/>
    </xf>
    <xf numFmtId="17" fontId="0" fillId="0" borderId="28" xfId="0" applyNumberFormat="1" applyBorder="1" applyAlignment="1">
      <alignment vertical="center" wrapText="1"/>
    </xf>
    <xf numFmtId="0" fontId="0" fillId="0" borderId="125" xfId="0" applyBorder="1"/>
    <xf numFmtId="0" fontId="0" fillId="0" borderId="126" xfId="0" applyBorder="1"/>
    <xf numFmtId="0" fontId="0" fillId="0" borderId="127" xfId="0" applyBorder="1"/>
    <xf numFmtId="0" fontId="44" fillId="0" borderId="0" xfId="0" applyFont="1" applyFill="1" applyBorder="1" applyAlignment="1">
      <alignment wrapText="1"/>
    </xf>
    <xf numFmtId="2" fontId="0" fillId="0" borderId="0" xfId="0" applyNumberFormat="1" applyFill="1" applyBorder="1" applyAlignment="1"/>
    <xf numFmtId="0" fontId="76" fillId="0" borderId="0" xfId="0" applyFont="1" applyFill="1" applyBorder="1" applyAlignment="1">
      <alignment horizontal="left"/>
    </xf>
    <xf numFmtId="2" fontId="0" fillId="0" borderId="0" xfId="0" applyNumberFormat="1"/>
    <xf numFmtId="0" fontId="77" fillId="0" borderId="0" xfId="0" applyFont="1" applyAlignment="1">
      <alignment vertical="center"/>
    </xf>
    <xf numFmtId="0" fontId="77" fillId="0" borderId="2" xfId="0" applyFont="1" applyBorder="1" applyAlignment="1">
      <alignment vertical="center" wrapText="1"/>
    </xf>
    <xf numFmtId="0" fontId="77" fillId="0" borderId="7" xfId="0" applyFont="1" applyBorder="1" applyAlignment="1">
      <alignment vertical="center" wrapText="1"/>
    </xf>
    <xf numFmtId="0" fontId="77" fillId="0" borderId="119" xfId="0" applyFont="1" applyBorder="1" applyAlignment="1">
      <alignment vertical="center" wrapText="1"/>
    </xf>
    <xf numFmtId="0" fontId="77" fillId="0" borderId="53" xfId="0" applyFont="1" applyBorder="1" applyAlignment="1">
      <alignment vertical="center" wrapText="1"/>
    </xf>
    <xf numFmtId="0" fontId="0" fillId="6" borderId="11"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0" borderId="6" xfId="0" applyBorder="1" applyAlignment="1">
      <alignment horizontal="center"/>
    </xf>
    <xf numFmtId="0" fontId="0" fillId="0" borderId="35" xfId="0" applyBorder="1" applyAlignment="1">
      <alignment horizontal="center"/>
    </xf>
    <xf numFmtId="0" fontId="0" fillId="0" borderId="7" xfId="0" applyBorder="1" applyAlignment="1">
      <alignment horizontal="center"/>
    </xf>
    <xf numFmtId="0" fontId="5" fillId="0" borderId="39" xfId="0" applyFont="1" applyBorder="1" applyAlignment="1">
      <alignment horizontal="right" vertical="center"/>
    </xf>
    <xf numFmtId="0" fontId="0" fillId="5" borderId="41" xfId="0" applyFill="1" applyBorder="1" applyAlignment="1">
      <alignment horizontal="center"/>
    </xf>
    <xf numFmtId="0" fontId="0" fillId="5" borderId="18" xfId="0" applyFill="1" applyBorder="1" applyAlignment="1">
      <alignment horizontal="center"/>
    </xf>
    <xf numFmtId="0" fontId="0" fillId="6" borderId="20" xfId="0" applyFill="1" applyBorder="1" applyAlignment="1">
      <alignment horizontal="center"/>
    </xf>
    <xf numFmtId="0" fontId="0" fillId="6" borderId="1" xfId="0" applyFill="1" applyBorder="1" applyAlignment="1">
      <alignment horizontal="center"/>
    </xf>
    <xf numFmtId="0" fontId="9" fillId="0" borderId="6" xfId="0" applyFont="1" applyBorder="1" applyAlignment="1">
      <alignment horizontal="center" vertical="top" wrapText="1"/>
    </xf>
    <xf numFmtId="0" fontId="9" fillId="0" borderId="7" xfId="0" applyFont="1" applyBorder="1" applyAlignment="1">
      <alignment horizontal="center" vertical="top" wrapText="1"/>
    </xf>
    <xf numFmtId="0" fontId="9" fillId="0" borderId="10" xfId="0" applyFont="1" applyBorder="1" applyAlignment="1">
      <alignment horizontal="left" vertical="center" wrapText="1"/>
    </xf>
    <xf numFmtId="0" fontId="9" fillId="0" borderId="14" xfId="0" applyFont="1" applyBorder="1" applyAlignment="1">
      <alignment horizontal="left" vertical="center" wrapText="1"/>
    </xf>
    <xf numFmtId="0" fontId="9" fillId="0" borderId="12" xfId="0" applyFont="1" applyBorder="1" applyAlignment="1">
      <alignment horizontal="center" vertical="center" wrapText="1"/>
    </xf>
    <xf numFmtId="0" fontId="0" fillId="0" borderId="0" xfId="0" applyFill="1" applyBorder="1" applyAlignment="1">
      <alignment horizontal="center"/>
    </xf>
    <xf numFmtId="0" fontId="0" fillId="0" borderId="0" xfId="0" applyAlignment="1">
      <alignment horizontal="center"/>
    </xf>
    <xf numFmtId="49" fontId="50" fillId="0" borderId="12" xfId="4" applyNumberFormat="1" applyFont="1" applyBorder="1" applyAlignment="1" applyProtection="1">
      <alignment horizontal="center" vertical="center" wrapText="1"/>
    </xf>
    <xf numFmtId="0" fontId="0" fillId="22" borderId="30" xfId="0" applyFill="1" applyBorder="1" applyAlignment="1">
      <alignment horizontal="center"/>
    </xf>
    <xf numFmtId="0" fontId="0" fillId="22" borderId="31" xfId="0" applyFill="1" applyBorder="1" applyAlignment="1">
      <alignment horizontal="center"/>
    </xf>
    <xf numFmtId="0" fontId="0" fillId="22" borderId="0" xfId="0" applyFill="1" applyAlignment="1">
      <alignment horizontal="center"/>
    </xf>
    <xf numFmtId="0" fontId="0" fillId="22" borderId="56" xfId="0" applyFill="1" applyBorder="1" applyAlignment="1">
      <alignment horizontal="center"/>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3" xfId="0" applyFont="1" applyBorder="1" applyAlignment="1">
      <alignment horizontal="center" vertical="center" wrapText="1"/>
    </xf>
    <xf numFmtId="0" fontId="73" fillId="0" borderId="14"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16" xfId="0" applyFont="1" applyBorder="1" applyAlignment="1">
      <alignment horizontal="center" vertical="center" wrapText="1"/>
    </xf>
    <xf numFmtId="0" fontId="73" fillId="0" borderId="18" xfId="0" applyFont="1" applyBorder="1" applyAlignment="1">
      <alignment horizontal="center" vertical="center" wrapText="1"/>
    </xf>
    <xf numFmtId="0" fontId="73" fillId="0" borderId="15" xfId="0" applyFont="1" applyBorder="1" applyAlignment="1">
      <alignment horizontal="center" vertical="center" wrapText="1"/>
    </xf>
    <xf numFmtId="0" fontId="10" fillId="0" borderId="66" xfId="0" applyFont="1" applyBorder="1"/>
    <xf numFmtId="0" fontId="10" fillId="0" borderId="118" xfId="0" applyFont="1" applyBorder="1"/>
    <xf numFmtId="0" fontId="10" fillId="0" borderId="40" xfId="0" applyFont="1" applyBorder="1"/>
    <xf numFmtId="0" fontId="0" fillId="21" borderId="0" xfId="0" applyFill="1" applyAlignment="1">
      <alignment horizontal="center" wrapText="1"/>
    </xf>
    <xf numFmtId="0" fontId="0" fillId="0" borderId="14" xfId="0" applyBorder="1" applyAlignment="1">
      <alignment horizontal="center"/>
    </xf>
    <xf numFmtId="0" fontId="0" fillId="0" borderId="1" xfId="0" applyBorder="1" applyAlignment="1">
      <alignment horizontal="center"/>
    </xf>
    <xf numFmtId="185" fontId="31" fillId="20" borderId="1" xfId="5" applyNumberFormat="1" applyBorder="1" applyAlignment="1">
      <alignment horizontal="center" vertical="center"/>
    </xf>
    <xf numFmtId="185" fontId="31" fillId="20" borderId="18" xfId="5" applyNumberFormat="1" applyBorder="1" applyAlignment="1">
      <alignment horizontal="center" vertical="center"/>
    </xf>
    <xf numFmtId="0" fontId="0" fillId="0" borderId="30"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58" xfId="0" applyBorder="1" applyAlignment="1">
      <alignment horizontal="center" vertical="center"/>
    </xf>
    <xf numFmtId="0" fontId="0" fillId="0" borderId="57" xfId="0" applyBorder="1" applyAlignment="1">
      <alignment horizontal="center" vertical="center"/>
    </xf>
    <xf numFmtId="0" fontId="0" fillId="0" borderId="34" xfId="0" applyBorder="1" applyAlignment="1">
      <alignment horizontal="center" vertical="center"/>
    </xf>
    <xf numFmtId="0" fontId="0" fillId="0" borderId="53" xfId="0" applyBorder="1" applyAlignment="1">
      <alignment horizontal="center" vertical="center"/>
    </xf>
    <xf numFmtId="0" fontId="0" fillId="0" borderId="58" xfId="0" applyBorder="1" applyAlignment="1">
      <alignment horizontal="center"/>
    </xf>
    <xf numFmtId="0" fontId="0" fillId="0" borderId="47" xfId="0" applyBorder="1" applyAlignment="1">
      <alignment horizontal="center"/>
    </xf>
    <xf numFmtId="0" fontId="0" fillId="0" borderId="34" xfId="0" applyBorder="1" applyAlignment="1">
      <alignment horizontal="center"/>
    </xf>
    <xf numFmtId="0" fontId="0" fillId="0" borderId="61" xfId="0" applyBorder="1" applyAlignment="1">
      <alignment horizontal="center"/>
    </xf>
    <xf numFmtId="0" fontId="0" fillId="0" borderId="54" xfId="0" applyBorder="1" applyAlignment="1">
      <alignment horizontal="center"/>
    </xf>
    <xf numFmtId="0" fontId="0" fillId="0" borderId="11" xfId="0" applyBorder="1" applyAlignment="1">
      <alignment horizontal="center"/>
    </xf>
    <xf numFmtId="0" fontId="0" fillId="0" borderId="30" xfId="0" applyBorder="1" applyAlignment="1">
      <alignment horizontal="center"/>
    </xf>
    <xf numFmtId="0" fontId="0" fillId="0" borderId="56" xfId="0" applyBorder="1" applyAlignment="1">
      <alignment horizontal="center"/>
    </xf>
    <xf numFmtId="0" fontId="0" fillId="0" borderId="31" xfId="0" applyBorder="1" applyAlignment="1">
      <alignment horizont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0" xfId="0" applyBorder="1" applyAlignment="1">
      <alignment horizontal="center" vertical="center" wrapText="1"/>
    </xf>
    <xf numFmtId="0" fontId="0" fillId="0" borderId="52" xfId="0" applyBorder="1" applyAlignment="1">
      <alignment horizontal="center" vertical="center" wrapText="1"/>
    </xf>
    <xf numFmtId="0" fontId="0" fillId="0" borderId="33" xfId="0" applyBorder="1" applyAlignment="1">
      <alignment horizontal="center" vertical="center" wrapText="1"/>
    </xf>
    <xf numFmtId="0" fontId="0" fillId="0" borderId="53" xfId="0" applyBorder="1" applyAlignment="1">
      <alignment horizontal="center" vertical="center" wrapText="1"/>
    </xf>
    <xf numFmtId="0" fontId="0" fillId="0" borderId="13"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63"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0" xfId="0" applyFill="1" applyAlignment="1">
      <alignment horizontal="center"/>
    </xf>
    <xf numFmtId="0" fontId="0" fillId="0" borderId="52" xfId="0" applyBorder="1" applyAlignment="1">
      <alignment horizontal="center"/>
    </xf>
    <xf numFmtId="0" fontId="0" fillId="6" borderId="6" xfId="0" applyFill="1" applyBorder="1" applyAlignment="1">
      <alignment horizontal="center"/>
    </xf>
    <xf numFmtId="0" fontId="0" fillId="6" borderId="35"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0" fillId="0" borderId="48" xfId="0" applyBorder="1" applyAlignment="1">
      <alignment horizontal="center"/>
    </xf>
    <xf numFmtId="0" fontId="18" fillId="15" borderId="86" xfId="1" applyBorder="1" applyAlignment="1">
      <alignment horizontal="center" vertical="center"/>
    </xf>
    <xf numFmtId="0" fontId="18" fillId="15" borderId="90" xfId="1" applyBorder="1" applyAlignment="1">
      <alignment horizontal="center" vertical="center"/>
    </xf>
    <xf numFmtId="0" fontId="18" fillId="15" borderId="94" xfId="1" applyBorder="1" applyAlignment="1">
      <alignment horizontal="center" vertical="center"/>
    </xf>
    <xf numFmtId="0" fontId="44" fillId="20" borderId="95" xfId="13" applyFont="1" applyBorder="1" applyAlignment="1">
      <alignment horizontal="center" vertical="center"/>
    </xf>
    <xf numFmtId="0" fontId="44" fillId="20" borderId="96" xfId="13" applyFont="1" applyBorder="1" applyAlignment="1">
      <alignment horizontal="center" vertical="center"/>
    </xf>
    <xf numFmtId="0" fontId="44" fillId="20" borderId="97" xfId="13" applyFont="1" applyBorder="1" applyAlignment="1">
      <alignment horizontal="center" vertical="center"/>
    </xf>
    <xf numFmtId="0" fontId="19" fillId="0" borderId="86" xfId="0" applyFont="1" applyBorder="1" applyAlignment="1">
      <alignment horizontal="center" vertical="center"/>
    </xf>
    <xf numFmtId="0" fontId="19" fillId="0" borderId="90" xfId="0" applyFont="1" applyBorder="1" applyAlignment="1">
      <alignment horizontal="center" vertical="center"/>
    </xf>
    <xf numFmtId="0" fontId="19" fillId="0" borderId="94" xfId="0" applyFont="1" applyBorder="1" applyAlignment="1">
      <alignment horizontal="center" vertical="center"/>
    </xf>
    <xf numFmtId="2" fontId="18" fillId="26" borderId="86" xfId="0" applyNumberFormat="1" applyFont="1" applyFill="1" applyBorder="1" applyAlignment="1">
      <alignment horizontal="center" vertical="center"/>
    </xf>
    <xf numFmtId="2" fontId="18" fillId="26" borderId="90" xfId="0" applyNumberFormat="1" applyFont="1" applyFill="1" applyBorder="1" applyAlignment="1">
      <alignment horizontal="center" vertical="center"/>
    </xf>
    <xf numFmtId="2" fontId="18" fillId="26" borderId="94" xfId="0" applyNumberFormat="1" applyFont="1" applyFill="1" applyBorder="1" applyAlignment="1">
      <alignment horizontal="center" vertical="center"/>
    </xf>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0" fontId="0" fillId="0" borderId="78" xfId="0" applyBorder="1" applyAlignment="1">
      <alignment horizontal="left" vertical="center"/>
    </xf>
    <xf numFmtId="0" fontId="0" fillId="0" borderId="82" xfId="0" applyBorder="1" applyAlignment="1">
      <alignment horizontal="left" vertical="center"/>
    </xf>
    <xf numFmtId="0" fontId="0" fillId="0" borderId="79" xfId="0" applyBorder="1" applyAlignment="1">
      <alignment horizontal="left" vertical="center"/>
    </xf>
    <xf numFmtId="0" fontId="0" fillId="0" borderId="83" xfId="0" applyBorder="1" applyAlignment="1">
      <alignment horizontal="left" vertical="center"/>
    </xf>
    <xf numFmtId="0" fontId="0" fillId="0" borderId="80" xfId="0" applyBorder="1" applyAlignment="1">
      <alignment horizontal="center"/>
    </xf>
    <xf numFmtId="0" fontId="0" fillId="0" borderId="81" xfId="0" applyBorder="1" applyAlignment="1">
      <alignment horizontal="center"/>
    </xf>
    <xf numFmtId="0" fontId="0" fillId="0" borderId="74" xfId="0" applyBorder="1" applyAlignment="1">
      <alignment horizontal="center"/>
    </xf>
    <xf numFmtId="0" fontId="64" fillId="0" borderId="0" xfId="16" applyFont="1" applyAlignment="1" applyProtection="1">
      <alignment horizontal="left"/>
    </xf>
    <xf numFmtId="0" fontId="68" fillId="30" borderId="0" xfId="15" applyFont="1" applyFill="1" applyAlignment="1">
      <alignment horizontal="left" vertical="top" wrapText="1"/>
    </xf>
    <xf numFmtId="0" fontId="58" fillId="0" borderId="0" xfId="15" applyAlignment="1">
      <alignment horizontal="left"/>
    </xf>
    <xf numFmtId="0" fontId="70" fillId="30" borderId="0" xfId="15" applyFont="1" applyFill="1" applyAlignment="1">
      <alignment horizontal="left" vertical="top" wrapText="1"/>
    </xf>
    <xf numFmtId="0" fontId="0" fillId="0" borderId="115"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6" xfId="0" applyBorder="1" applyAlignment="1">
      <alignment horizontal="right"/>
    </xf>
    <xf numFmtId="0" fontId="0" fillId="0" borderId="120" xfId="0" applyBorder="1" applyAlignment="1">
      <alignment horizontal="right"/>
    </xf>
    <xf numFmtId="0" fontId="0" fillId="33" borderId="6" xfId="0" applyFill="1" applyBorder="1" applyAlignment="1">
      <alignment horizontal="center"/>
    </xf>
    <xf numFmtId="0" fontId="0" fillId="33" borderId="35" xfId="0" applyFill="1" applyBorder="1" applyAlignment="1">
      <alignment horizontal="center"/>
    </xf>
    <xf numFmtId="0" fontId="0" fillId="33" borderId="7" xfId="0" applyFill="1" applyBorder="1" applyAlignment="1">
      <alignment horizontal="center"/>
    </xf>
    <xf numFmtId="0" fontId="0" fillId="4" borderId="6" xfId="0" applyFill="1" applyBorder="1" applyAlignment="1">
      <alignment horizontal="center"/>
    </xf>
    <xf numFmtId="0" fontId="0" fillId="4" borderId="35" xfId="0" applyFill="1" applyBorder="1" applyAlignment="1">
      <alignment horizontal="center"/>
    </xf>
    <xf numFmtId="0" fontId="0" fillId="4" borderId="7" xfId="0" applyFill="1" applyBorder="1" applyAlignment="1">
      <alignment horizontal="center"/>
    </xf>
    <xf numFmtId="0" fontId="0" fillId="0" borderId="121" xfId="0" applyBorder="1" applyAlignment="1">
      <alignment horizontal="center"/>
    </xf>
    <xf numFmtId="0" fontId="0" fillId="0" borderId="112" xfId="0" applyBorder="1" applyAlignment="1">
      <alignment horizontal="center" vertical="top"/>
    </xf>
    <xf numFmtId="0" fontId="0" fillId="0" borderId="21" xfId="0" applyBorder="1" applyAlignment="1">
      <alignment horizontal="center" vertical="top"/>
    </xf>
    <xf numFmtId="0" fontId="0" fillId="0" borderId="118" xfId="0" applyBorder="1" applyAlignment="1">
      <alignment horizontal="center" vertical="top"/>
    </xf>
    <xf numFmtId="0" fontId="0" fillId="0" borderId="50" xfId="0" applyBorder="1" applyAlignment="1">
      <alignment horizontal="center" vertical="top"/>
    </xf>
    <xf numFmtId="0" fontId="0" fillId="2" borderId="6" xfId="0" applyFill="1" applyBorder="1" applyAlignment="1">
      <alignment horizontal="center"/>
    </xf>
    <xf numFmtId="0" fontId="0" fillId="2" borderId="35" xfId="0" applyFill="1" applyBorder="1" applyAlignment="1">
      <alignment horizontal="center"/>
    </xf>
    <xf numFmtId="0" fontId="0" fillId="2" borderId="7" xfId="0" applyFill="1" applyBorder="1" applyAlignment="1">
      <alignment horizontal="center"/>
    </xf>
    <xf numFmtId="0" fontId="0" fillId="0" borderId="122" xfId="0" applyBorder="1" applyAlignment="1">
      <alignment vertical="center"/>
    </xf>
    <xf numFmtId="0" fontId="0" fillId="0" borderId="124" xfId="0" applyBorder="1" applyAlignment="1">
      <alignment vertical="center"/>
    </xf>
    <xf numFmtId="0" fontId="0" fillId="0" borderId="123" xfId="0" applyBorder="1" applyAlignment="1">
      <alignment vertical="center"/>
    </xf>
    <xf numFmtId="0" fontId="0" fillId="0" borderId="122" xfId="0" applyBorder="1" applyAlignment="1">
      <alignment vertical="center" wrapText="1"/>
    </xf>
    <xf numFmtId="0" fontId="0" fillId="0" borderId="124" xfId="0" applyBorder="1" applyAlignment="1">
      <alignment vertical="center" wrapText="1"/>
    </xf>
    <xf numFmtId="0" fontId="0" fillId="0" borderId="123" xfId="0" applyBorder="1" applyAlignment="1">
      <alignment vertical="center" wrapText="1"/>
    </xf>
    <xf numFmtId="0" fontId="33" fillId="0" borderId="122" xfId="0" applyFont="1" applyBorder="1" applyAlignment="1">
      <alignment horizontal="center" vertical="center"/>
    </xf>
    <xf numFmtId="0" fontId="33" fillId="0" borderId="123" xfId="0" applyFont="1" applyBorder="1" applyAlignment="1">
      <alignment horizontal="center" vertical="center"/>
    </xf>
    <xf numFmtId="0" fontId="33" fillId="0" borderId="122" xfId="0" applyFont="1" applyBorder="1" applyAlignment="1">
      <alignment horizontal="center" vertical="center" wrapText="1"/>
    </xf>
    <xf numFmtId="0" fontId="33" fillId="0" borderId="123" xfId="0" applyFont="1" applyBorder="1" applyAlignment="1">
      <alignment horizontal="center" vertical="center" wrapText="1"/>
    </xf>
  </cellXfs>
  <cellStyles count="17">
    <cellStyle name="Calculation" xfId="13" builtinId="22"/>
    <cellStyle name="Check Cell" xfId="1" builtinId="23"/>
    <cellStyle name="DSValue" xfId="7"/>
    <cellStyle name="Hyperlink" xfId="4" builtinId="8"/>
    <cellStyle name="Hyperlink 2" xfId="16"/>
    <cellStyle name="Normal" xfId="0" builtinId="0"/>
    <cellStyle name="Normal 2" xfId="3"/>
    <cellStyle name="Normal 2 2" xfId="12"/>
    <cellStyle name="Normal 2 3" xfId="6"/>
    <cellStyle name="Normal 3" xfId="2"/>
    <cellStyle name="Normal 4" xfId="14"/>
    <cellStyle name="Normal 5" xfId="15"/>
    <cellStyle name="Output" xfId="5" builtinId="21"/>
    <cellStyle name="string" xfId="8"/>
    <cellStyle name="unit" xfId="9"/>
    <cellStyle name="Обычный_Units" xfId="10"/>
    <cellStyle name="표준_Sheet1" xfId="1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2 poles - standard efficiency</c:v>
          </c:tx>
          <c:xVal>
            <c:numRef>
              <c:f>MOTOR_AC!$A$4:$A$29</c:f>
              <c:numCache>
                <c:formatCode>0.0</c:formatCode>
                <c:ptCount val="26"/>
                <c:pt idx="0">
                  <c:v>0.75</c:v>
                </c:pt>
                <c:pt idx="1">
                  <c:v>1.1000000000000001</c:v>
                </c:pt>
                <c:pt idx="2">
                  <c:v>1.5</c:v>
                </c:pt>
                <c:pt idx="3">
                  <c:v>2.2000000000000002</c:v>
                </c:pt>
                <c:pt idx="4">
                  <c:v>3</c:v>
                </c:pt>
                <c:pt idx="5">
                  <c:v>4</c:v>
                </c:pt>
                <c:pt idx="6">
                  <c:v>5.5</c:v>
                </c:pt>
                <c:pt idx="7">
                  <c:v>7.5</c:v>
                </c:pt>
                <c:pt idx="8">
                  <c:v>11</c:v>
                </c:pt>
                <c:pt idx="9">
                  <c:v>15</c:v>
                </c:pt>
                <c:pt idx="10">
                  <c:v>18.5</c:v>
                </c:pt>
                <c:pt idx="11">
                  <c:v>22</c:v>
                </c:pt>
                <c:pt idx="12">
                  <c:v>30</c:v>
                </c:pt>
                <c:pt idx="13">
                  <c:v>37</c:v>
                </c:pt>
                <c:pt idx="14">
                  <c:v>45</c:v>
                </c:pt>
                <c:pt idx="15">
                  <c:v>55</c:v>
                </c:pt>
                <c:pt idx="16">
                  <c:v>75</c:v>
                </c:pt>
                <c:pt idx="17">
                  <c:v>90</c:v>
                </c:pt>
                <c:pt idx="18">
                  <c:v>110</c:v>
                </c:pt>
                <c:pt idx="19">
                  <c:v>132</c:v>
                </c:pt>
                <c:pt idx="20">
                  <c:v>160</c:v>
                </c:pt>
                <c:pt idx="21">
                  <c:v>200</c:v>
                </c:pt>
                <c:pt idx="22">
                  <c:v>250</c:v>
                </c:pt>
                <c:pt idx="23">
                  <c:v>315</c:v>
                </c:pt>
                <c:pt idx="24">
                  <c:v>355</c:v>
                </c:pt>
                <c:pt idx="25">
                  <c:v>375</c:v>
                </c:pt>
              </c:numCache>
            </c:numRef>
          </c:xVal>
          <c:yVal>
            <c:numRef>
              <c:f>MOTOR_AC!$B$4:$B$29</c:f>
              <c:numCache>
                <c:formatCode>0.0</c:formatCode>
                <c:ptCount val="26"/>
                <c:pt idx="0">
                  <c:v>72.099999999999994</c:v>
                </c:pt>
                <c:pt idx="1">
                  <c:v>75</c:v>
                </c:pt>
                <c:pt idx="2">
                  <c:v>77.2</c:v>
                </c:pt>
                <c:pt idx="3">
                  <c:v>79.7</c:v>
                </c:pt>
                <c:pt idx="4">
                  <c:v>81.5</c:v>
                </c:pt>
                <c:pt idx="5">
                  <c:v>83.1</c:v>
                </c:pt>
                <c:pt idx="6">
                  <c:v>84.7</c:v>
                </c:pt>
                <c:pt idx="7">
                  <c:v>86</c:v>
                </c:pt>
                <c:pt idx="8">
                  <c:v>87.6</c:v>
                </c:pt>
                <c:pt idx="9">
                  <c:v>88.7</c:v>
                </c:pt>
                <c:pt idx="10">
                  <c:v>89.3</c:v>
                </c:pt>
                <c:pt idx="11">
                  <c:v>89.9</c:v>
                </c:pt>
                <c:pt idx="12">
                  <c:v>90.7</c:v>
                </c:pt>
                <c:pt idx="13">
                  <c:v>91.2</c:v>
                </c:pt>
                <c:pt idx="14">
                  <c:v>91.7</c:v>
                </c:pt>
                <c:pt idx="15">
                  <c:v>92.1</c:v>
                </c:pt>
                <c:pt idx="16">
                  <c:v>92.7</c:v>
                </c:pt>
                <c:pt idx="17">
                  <c:v>93</c:v>
                </c:pt>
                <c:pt idx="18">
                  <c:v>93.3</c:v>
                </c:pt>
                <c:pt idx="19">
                  <c:v>93.5</c:v>
                </c:pt>
                <c:pt idx="20">
                  <c:v>93.7</c:v>
                </c:pt>
                <c:pt idx="21">
                  <c:v>94</c:v>
                </c:pt>
                <c:pt idx="22">
                  <c:v>94</c:v>
                </c:pt>
                <c:pt idx="23">
                  <c:v>94</c:v>
                </c:pt>
                <c:pt idx="24">
                  <c:v>94</c:v>
                </c:pt>
                <c:pt idx="25">
                  <c:v>94</c:v>
                </c:pt>
              </c:numCache>
            </c:numRef>
          </c:yVal>
          <c:smooth val="1"/>
        </c:ser>
        <c:ser>
          <c:idx val="1"/>
          <c:order val="1"/>
          <c:tx>
            <c:v>4 poles - standard efficiency</c:v>
          </c:tx>
          <c:xVal>
            <c:numRef>
              <c:f>MOTOR_AC!$A$4:$A$29</c:f>
              <c:numCache>
                <c:formatCode>0.0</c:formatCode>
                <c:ptCount val="26"/>
                <c:pt idx="0">
                  <c:v>0.75</c:v>
                </c:pt>
                <c:pt idx="1">
                  <c:v>1.1000000000000001</c:v>
                </c:pt>
                <c:pt idx="2">
                  <c:v>1.5</c:v>
                </c:pt>
                <c:pt idx="3">
                  <c:v>2.2000000000000002</c:v>
                </c:pt>
                <c:pt idx="4">
                  <c:v>3</c:v>
                </c:pt>
                <c:pt idx="5">
                  <c:v>4</c:v>
                </c:pt>
                <c:pt idx="6">
                  <c:v>5.5</c:v>
                </c:pt>
                <c:pt idx="7">
                  <c:v>7.5</c:v>
                </c:pt>
                <c:pt idx="8">
                  <c:v>11</c:v>
                </c:pt>
                <c:pt idx="9">
                  <c:v>15</c:v>
                </c:pt>
                <c:pt idx="10">
                  <c:v>18.5</c:v>
                </c:pt>
                <c:pt idx="11">
                  <c:v>22</c:v>
                </c:pt>
                <c:pt idx="12">
                  <c:v>30</c:v>
                </c:pt>
                <c:pt idx="13">
                  <c:v>37</c:v>
                </c:pt>
                <c:pt idx="14">
                  <c:v>45</c:v>
                </c:pt>
                <c:pt idx="15">
                  <c:v>55</c:v>
                </c:pt>
                <c:pt idx="16">
                  <c:v>75</c:v>
                </c:pt>
                <c:pt idx="17">
                  <c:v>90</c:v>
                </c:pt>
                <c:pt idx="18">
                  <c:v>110</c:v>
                </c:pt>
                <c:pt idx="19">
                  <c:v>132</c:v>
                </c:pt>
                <c:pt idx="20">
                  <c:v>160</c:v>
                </c:pt>
                <c:pt idx="21">
                  <c:v>200</c:v>
                </c:pt>
                <c:pt idx="22">
                  <c:v>250</c:v>
                </c:pt>
                <c:pt idx="23">
                  <c:v>315</c:v>
                </c:pt>
                <c:pt idx="24">
                  <c:v>355</c:v>
                </c:pt>
                <c:pt idx="25">
                  <c:v>375</c:v>
                </c:pt>
              </c:numCache>
            </c:numRef>
          </c:xVal>
          <c:yVal>
            <c:numRef>
              <c:f>MOTOR_AC!$D$4:$D$29</c:f>
              <c:numCache>
                <c:formatCode>0.0</c:formatCode>
                <c:ptCount val="26"/>
                <c:pt idx="0">
                  <c:v>72.099999999999994</c:v>
                </c:pt>
                <c:pt idx="1">
                  <c:v>75</c:v>
                </c:pt>
                <c:pt idx="2">
                  <c:v>77.2</c:v>
                </c:pt>
                <c:pt idx="3">
                  <c:v>79.7</c:v>
                </c:pt>
                <c:pt idx="4">
                  <c:v>81.5</c:v>
                </c:pt>
                <c:pt idx="5">
                  <c:v>83.1</c:v>
                </c:pt>
                <c:pt idx="6">
                  <c:v>84.7</c:v>
                </c:pt>
                <c:pt idx="7">
                  <c:v>86</c:v>
                </c:pt>
                <c:pt idx="8">
                  <c:v>87.6</c:v>
                </c:pt>
                <c:pt idx="9">
                  <c:v>88.7</c:v>
                </c:pt>
                <c:pt idx="10">
                  <c:v>89.3</c:v>
                </c:pt>
                <c:pt idx="11">
                  <c:v>89.9</c:v>
                </c:pt>
                <c:pt idx="12">
                  <c:v>90.7</c:v>
                </c:pt>
                <c:pt idx="13">
                  <c:v>91.2</c:v>
                </c:pt>
                <c:pt idx="14">
                  <c:v>91.7</c:v>
                </c:pt>
                <c:pt idx="15">
                  <c:v>92.1</c:v>
                </c:pt>
                <c:pt idx="16">
                  <c:v>92.7</c:v>
                </c:pt>
                <c:pt idx="17">
                  <c:v>93</c:v>
                </c:pt>
                <c:pt idx="18">
                  <c:v>93.3</c:v>
                </c:pt>
                <c:pt idx="19">
                  <c:v>93.5</c:v>
                </c:pt>
                <c:pt idx="20">
                  <c:v>93.8</c:v>
                </c:pt>
                <c:pt idx="21">
                  <c:v>94</c:v>
                </c:pt>
                <c:pt idx="22">
                  <c:v>94</c:v>
                </c:pt>
                <c:pt idx="23">
                  <c:v>94</c:v>
                </c:pt>
                <c:pt idx="24">
                  <c:v>94</c:v>
                </c:pt>
                <c:pt idx="25">
                  <c:v>94</c:v>
                </c:pt>
              </c:numCache>
            </c:numRef>
          </c:yVal>
          <c:smooth val="1"/>
        </c:ser>
        <c:ser>
          <c:idx val="2"/>
          <c:order val="2"/>
          <c:tx>
            <c:v>6 poles - standard efficiency</c:v>
          </c:tx>
          <c:xVal>
            <c:numRef>
              <c:f>MOTOR_AC!$A$4:$A$29</c:f>
              <c:numCache>
                <c:formatCode>0.0</c:formatCode>
                <c:ptCount val="26"/>
                <c:pt idx="0">
                  <c:v>0.75</c:v>
                </c:pt>
                <c:pt idx="1">
                  <c:v>1.1000000000000001</c:v>
                </c:pt>
                <c:pt idx="2">
                  <c:v>1.5</c:v>
                </c:pt>
                <c:pt idx="3">
                  <c:v>2.2000000000000002</c:v>
                </c:pt>
                <c:pt idx="4">
                  <c:v>3</c:v>
                </c:pt>
                <c:pt idx="5">
                  <c:v>4</c:v>
                </c:pt>
                <c:pt idx="6">
                  <c:v>5.5</c:v>
                </c:pt>
                <c:pt idx="7">
                  <c:v>7.5</c:v>
                </c:pt>
                <c:pt idx="8">
                  <c:v>11</c:v>
                </c:pt>
                <c:pt idx="9">
                  <c:v>15</c:v>
                </c:pt>
                <c:pt idx="10">
                  <c:v>18.5</c:v>
                </c:pt>
                <c:pt idx="11">
                  <c:v>22</c:v>
                </c:pt>
                <c:pt idx="12">
                  <c:v>30</c:v>
                </c:pt>
                <c:pt idx="13">
                  <c:v>37</c:v>
                </c:pt>
                <c:pt idx="14">
                  <c:v>45</c:v>
                </c:pt>
                <c:pt idx="15">
                  <c:v>55</c:v>
                </c:pt>
                <c:pt idx="16">
                  <c:v>75</c:v>
                </c:pt>
                <c:pt idx="17">
                  <c:v>90</c:v>
                </c:pt>
                <c:pt idx="18">
                  <c:v>110</c:v>
                </c:pt>
                <c:pt idx="19">
                  <c:v>132</c:v>
                </c:pt>
                <c:pt idx="20">
                  <c:v>160</c:v>
                </c:pt>
                <c:pt idx="21">
                  <c:v>200</c:v>
                </c:pt>
                <c:pt idx="22">
                  <c:v>250</c:v>
                </c:pt>
                <c:pt idx="23">
                  <c:v>315</c:v>
                </c:pt>
                <c:pt idx="24">
                  <c:v>355</c:v>
                </c:pt>
                <c:pt idx="25">
                  <c:v>375</c:v>
                </c:pt>
              </c:numCache>
            </c:numRef>
          </c:xVal>
          <c:yVal>
            <c:numRef>
              <c:f>MOTOR_AC!$F$4:$F$29</c:f>
              <c:numCache>
                <c:formatCode>0.0</c:formatCode>
                <c:ptCount val="26"/>
                <c:pt idx="0">
                  <c:v>70</c:v>
                </c:pt>
                <c:pt idx="1">
                  <c:v>72.900000000000006</c:v>
                </c:pt>
                <c:pt idx="2">
                  <c:v>75.2</c:v>
                </c:pt>
                <c:pt idx="3">
                  <c:v>77.7</c:v>
                </c:pt>
                <c:pt idx="4">
                  <c:v>79.7</c:v>
                </c:pt>
                <c:pt idx="5">
                  <c:v>81.400000000000006</c:v>
                </c:pt>
                <c:pt idx="6">
                  <c:v>83.1</c:v>
                </c:pt>
                <c:pt idx="7">
                  <c:v>84.7</c:v>
                </c:pt>
                <c:pt idx="8">
                  <c:v>86.4</c:v>
                </c:pt>
                <c:pt idx="9">
                  <c:v>87.7</c:v>
                </c:pt>
                <c:pt idx="10">
                  <c:v>88.6</c:v>
                </c:pt>
                <c:pt idx="11">
                  <c:v>89.2</c:v>
                </c:pt>
                <c:pt idx="12">
                  <c:v>90.2</c:v>
                </c:pt>
                <c:pt idx="13">
                  <c:v>90.8</c:v>
                </c:pt>
                <c:pt idx="14">
                  <c:v>91.4</c:v>
                </c:pt>
                <c:pt idx="15">
                  <c:v>91.9</c:v>
                </c:pt>
                <c:pt idx="16">
                  <c:v>92.6</c:v>
                </c:pt>
                <c:pt idx="17">
                  <c:v>92.9</c:v>
                </c:pt>
                <c:pt idx="18">
                  <c:v>93.3</c:v>
                </c:pt>
                <c:pt idx="19">
                  <c:v>93.5</c:v>
                </c:pt>
                <c:pt idx="20">
                  <c:v>93.8</c:v>
                </c:pt>
                <c:pt idx="21">
                  <c:v>94</c:v>
                </c:pt>
                <c:pt idx="22">
                  <c:v>94</c:v>
                </c:pt>
                <c:pt idx="23">
                  <c:v>94</c:v>
                </c:pt>
                <c:pt idx="24">
                  <c:v>94</c:v>
                </c:pt>
                <c:pt idx="25">
                  <c:v>94</c:v>
                </c:pt>
              </c:numCache>
            </c:numRef>
          </c:yVal>
          <c:smooth val="1"/>
        </c:ser>
        <c:dLbls>
          <c:showLegendKey val="0"/>
          <c:showVal val="0"/>
          <c:showCatName val="0"/>
          <c:showSerName val="0"/>
          <c:showPercent val="0"/>
          <c:showBubbleSize val="0"/>
        </c:dLbls>
        <c:axId val="233033464"/>
        <c:axId val="233034248"/>
      </c:scatterChart>
      <c:valAx>
        <c:axId val="233033464"/>
        <c:scaling>
          <c:orientation val="minMax"/>
        </c:scaling>
        <c:delete val="0"/>
        <c:axPos val="b"/>
        <c:numFmt formatCode="#,##0" sourceLinked="0"/>
        <c:majorTickMark val="out"/>
        <c:minorTickMark val="none"/>
        <c:tickLblPos val="nextTo"/>
        <c:txPr>
          <a:bodyPr rot="-5400000" vert="horz"/>
          <a:lstStyle/>
          <a:p>
            <a:pPr>
              <a:defRPr/>
            </a:pPr>
            <a:endParaRPr lang="en-US"/>
          </a:p>
        </c:txPr>
        <c:crossAx val="233034248"/>
        <c:crosses val="autoZero"/>
        <c:crossBetween val="midCat"/>
        <c:majorUnit val="20"/>
      </c:valAx>
      <c:valAx>
        <c:axId val="233034248"/>
        <c:scaling>
          <c:orientation val="minMax"/>
          <c:max val="100"/>
          <c:min val="65"/>
        </c:scaling>
        <c:delete val="0"/>
        <c:axPos val="l"/>
        <c:majorGridlines/>
        <c:numFmt formatCode="0.0" sourceLinked="1"/>
        <c:majorTickMark val="out"/>
        <c:minorTickMark val="none"/>
        <c:tickLblPos val="nextTo"/>
        <c:crossAx val="233033464"/>
        <c:crosses val="autoZero"/>
        <c:crossBetween val="midCat"/>
        <c:majorUnit val="5"/>
        <c:minorUnit val="2.5"/>
      </c:valAx>
    </c:plotArea>
    <c:legend>
      <c:legendPos val="r"/>
      <c:overlay val="0"/>
    </c:legend>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6.9016185476815414E-2"/>
          <c:y val="0.19480351414406533"/>
          <c:w val="0.57003237095363057"/>
          <c:h val="0.68921660834062359"/>
        </c:manualLayout>
      </c:layout>
      <c:scatterChart>
        <c:scatterStyle val="lineMarker"/>
        <c:varyColors val="0"/>
        <c:ser>
          <c:idx val="0"/>
          <c:order val="0"/>
          <c:tx>
            <c:strRef>
              <c:f>MOTOR_WC!$F$1:$F$2</c:f>
              <c:strCache>
                <c:ptCount val="2"/>
                <c:pt idx="0">
                  <c:v>to air</c:v>
                </c:pt>
                <c:pt idx="1">
                  <c:v>H [kW]</c:v>
                </c:pt>
              </c:strCache>
            </c:strRef>
          </c:tx>
          <c:spPr>
            <a:ln w="28575">
              <a:noFill/>
            </a:ln>
          </c:spPr>
          <c:marker>
            <c:symbol val="plus"/>
            <c:size val="5"/>
          </c:marker>
          <c:trendline>
            <c:trendlineType val="log"/>
            <c:forward val="100"/>
            <c:backward val="100"/>
            <c:dispRSqr val="1"/>
            <c:dispEq val="1"/>
            <c:trendlineLbl>
              <c:numFmt formatCode="General" sourceLinked="0"/>
            </c:trendlineLbl>
          </c:trendline>
          <c:xVal>
            <c:numRef>
              <c:f>MOTOR_WC!$B$3:$B$14</c:f>
              <c:numCache>
                <c:formatCode>General</c:formatCode>
                <c:ptCount val="12"/>
                <c:pt idx="0">
                  <c:v>1600</c:v>
                </c:pt>
                <c:pt idx="1">
                  <c:v>2100</c:v>
                </c:pt>
                <c:pt idx="2">
                  <c:v>2200</c:v>
                </c:pt>
                <c:pt idx="3">
                  <c:v>1200</c:v>
                </c:pt>
              </c:numCache>
            </c:numRef>
          </c:xVal>
          <c:yVal>
            <c:numRef>
              <c:f>MOTOR_WC!$F$3:$F$14</c:f>
              <c:numCache>
                <c:formatCode>General</c:formatCode>
                <c:ptCount val="12"/>
                <c:pt idx="0">
                  <c:v>3.8</c:v>
                </c:pt>
                <c:pt idx="1">
                  <c:v>4.4000000000000004</c:v>
                </c:pt>
                <c:pt idx="2">
                  <c:v>4.3</c:v>
                </c:pt>
                <c:pt idx="3">
                  <c:v>1.7</c:v>
                </c:pt>
              </c:numCache>
            </c:numRef>
          </c:yVal>
          <c:smooth val="0"/>
        </c:ser>
        <c:dLbls>
          <c:showLegendKey val="0"/>
          <c:showVal val="0"/>
          <c:showCatName val="0"/>
          <c:showSerName val="0"/>
          <c:showPercent val="0"/>
          <c:showBubbleSize val="0"/>
        </c:dLbls>
        <c:axId val="233033072"/>
        <c:axId val="233036600"/>
      </c:scatterChart>
      <c:valAx>
        <c:axId val="233033072"/>
        <c:scaling>
          <c:orientation val="minMax"/>
        </c:scaling>
        <c:delete val="0"/>
        <c:axPos val="b"/>
        <c:numFmt formatCode="General" sourceLinked="1"/>
        <c:majorTickMark val="out"/>
        <c:minorTickMark val="none"/>
        <c:tickLblPos val="nextTo"/>
        <c:crossAx val="233036600"/>
        <c:crosses val="autoZero"/>
        <c:crossBetween val="midCat"/>
      </c:valAx>
      <c:valAx>
        <c:axId val="233036600"/>
        <c:scaling>
          <c:orientation val="minMax"/>
        </c:scaling>
        <c:delete val="0"/>
        <c:axPos val="l"/>
        <c:majorGridlines/>
        <c:numFmt formatCode="General" sourceLinked="1"/>
        <c:majorTickMark val="out"/>
        <c:minorTickMark val="none"/>
        <c:tickLblPos val="nextTo"/>
        <c:crossAx val="233033072"/>
        <c:crosses val="autoZero"/>
        <c:crossBetween val="midCat"/>
      </c:valAx>
    </c:plotArea>
    <c:legend>
      <c:legendPos val="r"/>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8.0293032137049747E-2"/>
          <c:y val="0.14197700021539891"/>
          <c:w val="0.88299428509739619"/>
          <c:h val="0.77430553893529264"/>
        </c:manualLayout>
      </c:layout>
      <c:scatterChart>
        <c:scatterStyle val="lineMarker"/>
        <c:varyColors val="0"/>
        <c:ser>
          <c:idx val="0"/>
          <c:order val="0"/>
          <c:tx>
            <c:strRef>
              <c:f>TRFO!$A$1</c:f>
              <c:strCache>
                <c:ptCount val="1"/>
                <c:pt idx="0">
                  <c:v>NEMA Class I efficiency levels for 3-phase, dry-type, low-voltage transformers</c:v>
                </c:pt>
              </c:strCache>
            </c:strRef>
          </c:tx>
          <c:spPr>
            <a:ln>
              <a:noFill/>
            </a:ln>
          </c:spPr>
          <c:marker>
            <c:symbol val="diamond"/>
            <c:size val="2"/>
            <c:spPr>
              <a:solidFill>
                <a:schemeClr val="accent1"/>
              </a:solidFill>
            </c:spPr>
          </c:marker>
          <c:trendline>
            <c:trendlineType val="log"/>
            <c:forward val="1000"/>
            <c:dispRSqr val="0"/>
            <c:dispEq val="1"/>
            <c:trendlineLbl>
              <c:layout>
                <c:manualLayout>
                  <c:x val="-0.25936414117901291"/>
                  <c:y val="1.5937502493039442E-2"/>
                </c:manualLayout>
              </c:layout>
              <c:numFmt formatCode="General" sourceLinked="0"/>
            </c:trendlineLbl>
          </c:trendline>
          <c:xVal>
            <c:numRef>
              <c:f>TRFO!$A$3:$A$13</c:f>
              <c:numCache>
                <c:formatCode>General</c:formatCode>
                <c:ptCount val="11"/>
                <c:pt idx="0">
                  <c:v>15</c:v>
                </c:pt>
                <c:pt idx="1">
                  <c:v>30</c:v>
                </c:pt>
                <c:pt idx="2">
                  <c:v>45</c:v>
                </c:pt>
                <c:pt idx="3">
                  <c:v>75</c:v>
                </c:pt>
                <c:pt idx="4">
                  <c:v>112.5</c:v>
                </c:pt>
                <c:pt idx="5">
                  <c:v>150</c:v>
                </c:pt>
                <c:pt idx="6">
                  <c:v>225</c:v>
                </c:pt>
                <c:pt idx="7">
                  <c:v>300</c:v>
                </c:pt>
                <c:pt idx="8">
                  <c:v>500</c:v>
                </c:pt>
                <c:pt idx="9">
                  <c:v>750</c:v>
                </c:pt>
                <c:pt idx="10">
                  <c:v>1000</c:v>
                </c:pt>
              </c:numCache>
            </c:numRef>
          </c:xVal>
          <c:yVal>
            <c:numRef>
              <c:f>TRFO!$B$3:$B$13</c:f>
              <c:numCache>
                <c:formatCode>0.0</c:formatCode>
                <c:ptCount val="11"/>
                <c:pt idx="0">
                  <c:v>97</c:v>
                </c:pt>
                <c:pt idx="1">
                  <c:v>97.5</c:v>
                </c:pt>
                <c:pt idx="2">
                  <c:v>97.7</c:v>
                </c:pt>
                <c:pt idx="3">
                  <c:v>98</c:v>
                </c:pt>
                <c:pt idx="4">
                  <c:v>98.2</c:v>
                </c:pt>
                <c:pt idx="5">
                  <c:v>98.3</c:v>
                </c:pt>
                <c:pt idx="6">
                  <c:v>98.5</c:v>
                </c:pt>
                <c:pt idx="7">
                  <c:v>98.6</c:v>
                </c:pt>
                <c:pt idx="8">
                  <c:v>98.7</c:v>
                </c:pt>
                <c:pt idx="9">
                  <c:v>98.8</c:v>
                </c:pt>
                <c:pt idx="10">
                  <c:v>98.9</c:v>
                </c:pt>
              </c:numCache>
            </c:numRef>
          </c:yVal>
          <c:smooth val="0"/>
        </c:ser>
        <c:dLbls>
          <c:showLegendKey val="0"/>
          <c:showVal val="0"/>
          <c:showCatName val="0"/>
          <c:showSerName val="0"/>
          <c:showPercent val="0"/>
          <c:showBubbleSize val="0"/>
        </c:dLbls>
        <c:axId val="133611160"/>
        <c:axId val="236978496"/>
      </c:scatterChart>
      <c:valAx>
        <c:axId val="133611160"/>
        <c:scaling>
          <c:orientation val="minMax"/>
        </c:scaling>
        <c:delete val="0"/>
        <c:axPos val="b"/>
        <c:numFmt formatCode="General" sourceLinked="1"/>
        <c:majorTickMark val="out"/>
        <c:minorTickMark val="none"/>
        <c:tickLblPos val="nextTo"/>
        <c:crossAx val="236978496"/>
        <c:crosses val="autoZero"/>
        <c:crossBetween val="midCat"/>
      </c:valAx>
      <c:valAx>
        <c:axId val="236978496"/>
        <c:scaling>
          <c:orientation val="minMax"/>
        </c:scaling>
        <c:delete val="0"/>
        <c:axPos val="l"/>
        <c:majorGridlines/>
        <c:numFmt formatCode="0.0" sourceLinked="1"/>
        <c:majorTickMark val="out"/>
        <c:minorTickMark val="none"/>
        <c:tickLblPos val="nextTo"/>
        <c:crossAx val="133611160"/>
        <c:crosses val="autoZero"/>
        <c:crossBetween val="midCat"/>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48353571187727E-2"/>
          <c:y val="7.4548702245552628E-2"/>
          <c:w val="0.90496812898387702"/>
          <c:h val="0.89719889180519163"/>
        </c:manualLayout>
      </c:layout>
      <c:scatterChart>
        <c:scatterStyle val="smoothMarker"/>
        <c:varyColors val="0"/>
        <c:ser>
          <c:idx val="0"/>
          <c:order val="0"/>
          <c:marker>
            <c:symbol val="none"/>
          </c:marker>
          <c:xVal>
            <c:numRef>
              <c:f>MOONPOOL!$O$1:$O$109</c:f>
              <c:numCache>
                <c:formatCode>General</c:formatCode>
                <c:ptCount val="109"/>
                <c:pt idx="0">
                  <c:v>-0.48</c:v>
                </c:pt>
                <c:pt idx="1">
                  <c:v>-0.36000000000000004</c:v>
                </c:pt>
                <c:pt idx="2">
                  <c:v>-0.24</c:v>
                </c:pt>
                <c:pt idx="3">
                  <c:v>-0.12</c:v>
                </c:pt>
                <c:pt idx="4">
                  <c:v>0</c:v>
                </c:pt>
                <c:pt idx="5">
                  <c:v>0.12</c:v>
                </c:pt>
                <c:pt idx="6">
                  <c:v>0.24</c:v>
                </c:pt>
                <c:pt idx="7">
                  <c:v>0.36000000000000004</c:v>
                </c:pt>
                <c:pt idx="8">
                  <c:v>0.48</c:v>
                </c:pt>
                <c:pt idx="9">
                  <c:v>0.60000000000000009</c:v>
                </c:pt>
                <c:pt idx="10">
                  <c:v>0.72</c:v>
                </c:pt>
                <c:pt idx="11">
                  <c:v>0.83999999999999986</c:v>
                </c:pt>
                <c:pt idx="12">
                  <c:v>0.95999999999999985</c:v>
                </c:pt>
                <c:pt idx="13">
                  <c:v>1.0799999999999998</c:v>
                </c:pt>
                <c:pt idx="14">
                  <c:v>1.1999999999999997</c:v>
                </c:pt>
                <c:pt idx="15">
                  <c:v>1.3199999999999996</c:v>
                </c:pt>
                <c:pt idx="16">
                  <c:v>1.4399999999999997</c:v>
                </c:pt>
                <c:pt idx="17">
                  <c:v>1.5599999999999996</c:v>
                </c:pt>
                <c:pt idx="18">
                  <c:v>1.6799999999999995</c:v>
                </c:pt>
                <c:pt idx="19">
                  <c:v>1.7999999999999996</c:v>
                </c:pt>
                <c:pt idx="20">
                  <c:v>1.9199999999999997</c:v>
                </c:pt>
                <c:pt idx="21">
                  <c:v>2.04</c:v>
                </c:pt>
                <c:pt idx="22">
                  <c:v>2.16</c:v>
                </c:pt>
                <c:pt idx="23">
                  <c:v>2.2800000000000002</c:v>
                </c:pt>
                <c:pt idx="24">
                  <c:v>2.4000000000000004</c:v>
                </c:pt>
                <c:pt idx="25">
                  <c:v>2.5200000000000005</c:v>
                </c:pt>
                <c:pt idx="26">
                  <c:v>2.6400000000000006</c:v>
                </c:pt>
                <c:pt idx="27">
                  <c:v>2.7600000000000007</c:v>
                </c:pt>
                <c:pt idx="28">
                  <c:v>2.8800000000000012</c:v>
                </c:pt>
                <c:pt idx="29">
                  <c:v>3.0000000000000013</c:v>
                </c:pt>
                <c:pt idx="30">
                  <c:v>3.1200000000000014</c:v>
                </c:pt>
                <c:pt idx="31">
                  <c:v>3.2400000000000015</c:v>
                </c:pt>
                <c:pt idx="32">
                  <c:v>3.3600000000000017</c:v>
                </c:pt>
                <c:pt idx="33">
                  <c:v>3.4800000000000018</c:v>
                </c:pt>
                <c:pt idx="34">
                  <c:v>3.6000000000000019</c:v>
                </c:pt>
                <c:pt idx="35">
                  <c:v>3.720000000000002</c:v>
                </c:pt>
                <c:pt idx="36">
                  <c:v>3.8400000000000021</c:v>
                </c:pt>
                <c:pt idx="37">
                  <c:v>3.9600000000000022</c:v>
                </c:pt>
                <c:pt idx="38">
                  <c:v>4.0800000000000018</c:v>
                </c:pt>
                <c:pt idx="39">
                  <c:v>4.2000000000000028</c:v>
                </c:pt>
                <c:pt idx="40">
                  <c:v>4.3200000000000021</c:v>
                </c:pt>
                <c:pt idx="41">
                  <c:v>4.4400000000000031</c:v>
                </c:pt>
                <c:pt idx="42">
                  <c:v>4.5600000000000032</c:v>
                </c:pt>
                <c:pt idx="43">
                  <c:v>4.6800000000000033</c:v>
                </c:pt>
                <c:pt idx="44">
                  <c:v>4.8000000000000034</c:v>
                </c:pt>
                <c:pt idx="45">
                  <c:v>4.9200000000000035</c:v>
                </c:pt>
                <c:pt idx="46">
                  <c:v>5.0400000000000036</c:v>
                </c:pt>
                <c:pt idx="47">
                  <c:v>5.1600000000000037</c:v>
                </c:pt>
                <c:pt idx="48">
                  <c:v>5.2800000000000038</c:v>
                </c:pt>
                <c:pt idx="49">
                  <c:v>5.4000000000000039</c:v>
                </c:pt>
                <c:pt idx="50">
                  <c:v>5.520000000000004</c:v>
                </c:pt>
                <c:pt idx="51">
                  <c:v>5.6400000000000041</c:v>
                </c:pt>
                <c:pt idx="52">
                  <c:v>5.7600000000000042</c:v>
                </c:pt>
                <c:pt idx="53">
                  <c:v>5.8800000000000052</c:v>
                </c:pt>
                <c:pt idx="54">
                  <c:v>6.0000000000000053</c:v>
                </c:pt>
                <c:pt idx="55">
                  <c:v>6.1200000000000054</c:v>
                </c:pt>
                <c:pt idx="56">
                  <c:v>6.2400000000000055</c:v>
                </c:pt>
                <c:pt idx="57">
                  <c:v>6.3600000000000056</c:v>
                </c:pt>
                <c:pt idx="58">
                  <c:v>6.4800000000000058</c:v>
                </c:pt>
                <c:pt idx="59">
                  <c:v>6.6000000000000059</c:v>
                </c:pt>
                <c:pt idx="60">
                  <c:v>6.720000000000006</c:v>
                </c:pt>
                <c:pt idx="61">
                  <c:v>6.8400000000000061</c:v>
                </c:pt>
                <c:pt idx="62">
                  <c:v>6.9600000000000062</c:v>
                </c:pt>
                <c:pt idx="63">
                  <c:v>7.0800000000000063</c:v>
                </c:pt>
                <c:pt idx="64">
                  <c:v>7.2000000000000064</c:v>
                </c:pt>
                <c:pt idx="65">
                  <c:v>7.3200000000000065</c:v>
                </c:pt>
                <c:pt idx="66">
                  <c:v>7.4400000000000066</c:v>
                </c:pt>
                <c:pt idx="67">
                  <c:v>7.5600000000000067</c:v>
                </c:pt>
                <c:pt idx="68">
                  <c:v>7.6800000000000068</c:v>
                </c:pt>
                <c:pt idx="69">
                  <c:v>7.8000000000000069</c:v>
                </c:pt>
                <c:pt idx="70">
                  <c:v>7.9200000000000053</c:v>
                </c:pt>
                <c:pt idx="71">
                  <c:v>8.0400000000000063</c:v>
                </c:pt>
                <c:pt idx="72">
                  <c:v>8.1600000000000037</c:v>
                </c:pt>
                <c:pt idx="73">
                  <c:v>8.2800000000000047</c:v>
                </c:pt>
                <c:pt idx="74">
                  <c:v>8.4000000000000039</c:v>
                </c:pt>
                <c:pt idx="75">
                  <c:v>8.5200000000000031</c:v>
                </c:pt>
                <c:pt idx="76">
                  <c:v>8.6400000000000023</c:v>
                </c:pt>
                <c:pt idx="77">
                  <c:v>8.7600000000000016</c:v>
                </c:pt>
                <c:pt idx="78">
                  <c:v>8.8800000000000008</c:v>
                </c:pt>
                <c:pt idx="79">
                  <c:v>9</c:v>
                </c:pt>
                <c:pt idx="80">
                  <c:v>9.1199999999999992</c:v>
                </c:pt>
                <c:pt idx="81">
                  <c:v>9.2399999999999984</c:v>
                </c:pt>
                <c:pt idx="82">
                  <c:v>9.3599999999999977</c:v>
                </c:pt>
                <c:pt idx="83">
                  <c:v>9.4799999999999969</c:v>
                </c:pt>
                <c:pt idx="84">
                  <c:v>9.5999999999999961</c:v>
                </c:pt>
                <c:pt idx="85">
                  <c:v>9.7199999999999953</c:v>
                </c:pt>
                <c:pt idx="86">
                  <c:v>9.8399999999999963</c:v>
                </c:pt>
                <c:pt idx="87">
                  <c:v>9.9599999999999937</c:v>
                </c:pt>
                <c:pt idx="88">
                  <c:v>10.079999999999995</c:v>
                </c:pt>
                <c:pt idx="89">
                  <c:v>10.199999999999992</c:v>
                </c:pt>
                <c:pt idx="90">
                  <c:v>10.319999999999993</c:v>
                </c:pt>
                <c:pt idx="91">
                  <c:v>10.439999999999992</c:v>
                </c:pt>
                <c:pt idx="92">
                  <c:v>10.559999999999992</c:v>
                </c:pt>
                <c:pt idx="93">
                  <c:v>10.679999999999991</c:v>
                </c:pt>
                <c:pt idx="94">
                  <c:v>10.79999999999999</c:v>
                </c:pt>
                <c:pt idx="95">
                  <c:v>10.919999999999989</c:v>
                </c:pt>
                <c:pt idx="96">
                  <c:v>11.039999999999988</c:v>
                </c:pt>
                <c:pt idx="97">
                  <c:v>11.159999999999988</c:v>
                </c:pt>
                <c:pt idx="98">
                  <c:v>11.279999999999987</c:v>
                </c:pt>
                <c:pt idx="99">
                  <c:v>11.399999999999986</c:v>
                </c:pt>
                <c:pt idx="100">
                  <c:v>11.519999999999985</c:v>
                </c:pt>
                <c:pt idx="101">
                  <c:v>11.639999999999985</c:v>
                </c:pt>
                <c:pt idx="102">
                  <c:v>11.759999999999984</c:v>
                </c:pt>
                <c:pt idx="103">
                  <c:v>11.879999999999985</c:v>
                </c:pt>
                <c:pt idx="104">
                  <c:v>11.999999999999982</c:v>
                </c:pt>
                <c:pt idx="105">
                  <c:v>12.119999999999981</c:v>
                </c:pt>
                <c:pt idx="106">
                  <c:v>12.239999999999981</c:v>
                </c:pt>
                <c:pt idx="107">
                  <c:v>12.359999999999982</c:v>
                </c:pt>
                <c:pt idx="108">
                  <c:v>12.479999999999979</c:v>
                </c:pt>
              </c:numCache>
            </c:numRef>
          </c:xVal>
          <c:yVal>
            <c:numRef>
              <c:f>MOONPOOL!$M$1:$M$109</c:f>
              <c:numCache>
                <c:formatCode>General</c:formatCode>
                <c:ptCount val="109"/>
                <c:pt idx="0">
                  <c:v>2.0811290125533524</c:v>
                </c:pt>
                <c:pt idx="1">
                  <c:v>2.250953758597543</c:v>
                </c:pt>
                <c:pt idx="2">
                  <c:v>2.4228269430268772</c:v>
                </c:pt>
                <c:pt idx="3">
                  <c:v>2.5960702609038018</c:v>
                </c:pt>
                <c:pt idx="4">
                  <c:v>2.77</c:v>
                </c:pt>
                <c:pt idx="5">
                  <c:v>2.9439297390961983</c:v>
                </c:pt>
                <c:pt idx="6">
                  <c:v>3.1171730569731229</c:v>
                </c:pt>
                <c:pt idx="7">
                  <c:v>3.289046241402457</c:v>
                </c:pt>
                <c:pt idx="8">
                  <c:v>3.4588709874466477</c:v>
                </c:pt>
                <c:pt idx="9">
                  <c:v>3.6259770744186044</c:v>
                </c:pt>
                <c:pt idx="10">
                  <c:v>3.789705010936558</c:v>
                </c:pt>
                <c:pt idx="11">
                  <c:v>3.9494086376352513</c:v>
                </c:pt>
                <c:pt idx="12">
                  <c:v>4.1044576772617507</c:v>
                </c:pt>
                <c:pt idx="13">
                  <c:v>4.2542402220918207</c:v>
                </c:pt>
                <c:pt idx="14">
                  <c:v>4.3981651488501505</c:v>
                </c:pt>
                <c:pt idx="15">
                  <c:v>4.5356644516038704</c:v>
                </c:pt>
                <c:pt idx="16">
                  <c:v>4.6661954834224675</c:v>
                </c:pt>
                <c:pt idx="17">
                  <c:v>4.7892430979573088</c:v>
                </c:pt>
                <c:pt idx="18">
                  <c:v>4.904321682488936</c:v>
                </c:pt>
                <c:pt idx="19">
                  <c:v>5.0109770744186033</c:v>
                </c:pt>
                <c:pt idx="20">
                  <c:v>5.1087883536405814</c:v>
                </c:pt>
                <c:pt idx="21">
                  <c:v>5.197369503721502</c:v>
                </c:pt>
                <c:pt idx="22">
                  <c:v>5.2763709353308741</c:v>
                </c:pt>
                <c:pt idx="23">
                  <c:v>5.3454808659104565</c:v>
                </c:pt>
                <c:pt idx="24">
                  <c:v>5.4044265501375754</c:v>
                </c:pt>
                <c:pt idx="25">
                  <c:v>5.4529753563263084</c:v>
                </c:pt>
                <c:pt idx="26">
                  <c:v>5.4909356845184671</c:v>
                </c:pt>
                <c:pt idx="27">
                  <c:v>5.5181577226411038</c:v>
                </c:pt>
                <c:pt idx="28">
                  <c:v>5.5345340377463117</c:v>
                </c:pt>
                <c:pt idx="29">
                  <c:v>5.54</c:v>
                </c:pt>
                <c:pt idx="30">
                  <c:v>5.5345340377463117</c:v>
                </c:pt>
                <c:pt idx="31">
                  <c:v>5.5181577226411029</c:v>
                </c:pt>
                <c:pt idx="32">
                  <c:v>5.4909356845184671</c:v>
                </c:pt>
                <c:pt idx="33">
                  <c:v>5.4529753563263075</c:v>
                </c:pt>
                <c:pt idx="34">
                  <c:v>5.4044265501375746</c:v>
                </c:pt>
                <c:pt idx="35">
                  <c:v>5.3454808659104547</c:v>
                </c:pt>
                <c:pt idx="36">
                  <c:v>5.2763709353308732</c:v>
                </c:pt>
                <c:pt idx="37">
                  <c:v>5.1973695037215002</c:v>
                </c:pt>
                <c:pt idx="38">
                  <c:v>5.1087883536405805</c:v>
                </c:pt>
                <c:pt idx="39">
                  <c:v>5.0109770744186024</c:v>
                </c:pt>
                <c:pt idx="40">
                  <c:v>4.9043216824889342</c:v>
                </c:pt>
                <c:pt idx="41">
                  <c:v>4.7892430979573071</c:v>
                </c:pt>
                <c:pt idx="42">
                  <c:v>4.6661954834224648</c:v>
                </c:pt>
                <c:pt idx="43">
                  <c:v>4.5356644516038678</c:v>
                </c:pt>
                <c:pt idx="44">
                  <c:v>4.398165148850147</c:v>
                </c:pt>
                <c:pt idx="45">
                  <c:v>4.2542402220918163</c:v>
                </c:pt>
                <c:pt idx="46">
                  <c:v>4.1044576772617472</c:v>
                </c:pt>
                <c:pt idx="47">
                  <c:v>3.9494086376352464</c:v>
                </c:pt>
                <c:pt idx="48">
                  <c:v>3.7897050109365527</c:v>
                </c:pt>
                <c:pt idx="49">
                  <c:v>3.6259770744185986</c:v>
                </c:pt>
                <c:pt idx="50">
                  <c:v>3.4588709874466419</c:v>
                </c:pt>
                <c:pt idx="51">
                  <c:v>3.2890462414024508</c:v>
                </c:pt>
                <c:pt idx="52">
                  <c:v>3.1171730569731162</c:v>
                </c:pt>
                <c:pt idx="53">
                  <c:v>2.9439297390961912</c:v>
                </c:pt>
                <c:pt idx="54">
                  <c:v>2.7699999999999929</c:v>
                </c:pt>
                <c:pt idx="55">
                  <c:v>2.5960702609037947</c:v>
                </c:pt>
                <c:pt idx="56">
                  <c:v>2.4228269430268696</c:v>
                </c:pt>
                <c:pt idx="57">
                  <c:v>2.250953758597535</c:v>
                </c:pt>
                <c:pt idx="58">
                  <c:v>2.0811290125533444</c:v>
                </c:pt>
                <c:pt idx="59">
                  <c:v>1.9140229255813879</c:v>
                </c:pt>
                <c:pt idx="60">
                  <c:v>1.7502949890634343</c:v>
                </c:pt>
                <c:pt idx="61">
                  <c:v>1.590591362364741</c:v>
                </c:pt>
                <c:pt idx="62">
                  <c:v>1.4355423227382409</c:v>
                </c:pt>
                <c:pt idx="63">
                  <c:v>1.2857597779081715</c:v>
                </c:pt>
                <c:pt idx="64">
                  <c:v>1.1418348511498417</c:v>
                </c:pt>
                <c:pt idx="65">
                  <c:v>1.004335548396122</c:v>
                </c:pt>
                <c:pt idx="66">
                  <c:v>0.87380451657752523</c:v>
                </c:pt>
                <c:pt idx="67">
                  <c:v>0.75075690204268319</c:v>
                </c:pt>
                <c:pt idx="68">
                  <c:v>0.63567831751105741</c:v>
                </c:pt>
                <c:pt idx="69">
                  <c:v>0.52902292558139008</c:v>
                </c:pt>
                <c:pt idx="70">
                  <c:v>0.43121164635941378</c:v>
                </c:pt>
                <c:pt idx="71">
                  <c:v>0.34263049627849407</c:v>
                </c:pt>
                <c:pt idx="72">
                  <c:v>0.26362906466912328</c:v>
                </c:pt>
                <c:pt idx="73">
                  <c:v>0.1945191340895418</c:v>
                </c:pt>
                <c:pt idx="74">
                  <c:v>0.13557344986242326</c:v>
                </c:pt>
                <c:pt idx="75">
                  <c:v>8.7024643673690782E-2</c:v>
                </c:pt>
                <c:pt idx="76">
                  <c:v>4.9064315481532006E-2</c:v>
                </c:pt>
                <c:pt idx="77">
                  <c:v>2.1842277358896212E-2</c:v>
                </c:pt>
                <c:pt idx="78">
                  <c:v>5.4659622536878949E-3</c:v>
                </c:pt>
                <c:pt idx="79">
                  <c:v>0</c:v>
                </c:pt>
                <c:pt idx="80">
                  <c:v>5.4659622536878949E-3</c:v>
                </c:pt>
                <c:pt idx="81">
                  <c:v>2.1842277358895767E-2</c:v>
                </c:pt>
                <c:pt idx="82">
                  <c:v>4.9064315481531562E-2</c:v>
                </c:pt>
                <c:pt idx="83">
                  <c:v>8.7024643673690782E-2</c:v>
                </c:pt>
                <c:pt idx="84">
                  <c:v>0.13557344986242281</c:v>
                </c:pt>
                <c:pt idx="85">
                  <c:v>0.19451913408954136</c:v>
                </c:pt>
                <c:pt idx="86">
                  <c:v>0.26362906466912284</c:v>
                </c:pt>
                <c:pt idx="87">
                  <c:v>0.34263049627849407</c:v>
                </c:pt>
                <c:pt idx="88">
                  <c:v>0.43121164635941334</c:v>
                </c:pt>
                <c:pt idx="89">
                  <c:v>0.52902292558138919</c:v>
                </c:pt>
                <c:pt idx="90">
                  <c:v>0.63567831751105652</c:v>
                </c:pt>
                <c:pt idx="91">
                  <c:v>0.75075690204268186</c:v>
                </c:pt>
                <c:pt idx="92">
                  <c:v>0.87380451657752278</c:v>
                </c:pt>
                <c:pt idx="93">
                  <c:v>1.0043355483961183</c:v>
                </c:pt>
                <c:pt idx="94">
                  <c:v>1.1418348511498371</c:v>
                </c:pt>
                <c:pt idx="95">
                  <c:v>1.2857597779081655</c:v>
                </c:pt>
                <c:pt idx="96">
                  <c:v>1.4355423227382336</c:v>
                </c:pt>
                <c:pt idx="97">
                  <c:v>1.5905913623647321</c:v>
                </c:pt>
                <c:pt idx="98">
                  <c:v>1.7502949890634241</c:v>
                </c:pt>
                <c:pt idx="99">
                  <c:v>1.9140229255813763</c:v>
                </c:pt>
                <c:pt idx="100">
                  <c:v>2.0811290125533315</c:v>
                </c:pt>
                <c:pt idx="101">
                  <c:v>2.2509537585975208</c:v>
                </c:pt>
                <c:pt idx="102">
                  <c:v>2.4228269430268541</c:v>
                </c:pt>
                <c:pt idx="103">
                  <c:v>2.5960702609037778</c:v>
                </c:pt>
                <c:pt idx="104">
                  <c:v>2.7699999999999747</c:v>
                </c:pt>
                <c:pt idx="105">
                  <c:v>2.9439297390961716</c:v>
                </c:pt>
                <c:pt idx="106">
                  <c:v>3.1171730569730958</c:v>
                </c:pt>
                <c:pt idx="107">
                  <c:v>3.2890462414024295</c:v>
                </c:pt>
                <c:pt idx="108">
                  <c:v>3.4588709874466197</c:v>
                </c:pt>
              </c:numCache>
            </c:numRef>
          </c:yVal>
          <c:smooth val="1"/>
        </c:ser>
        <c:dLbls>
          <c:showLegendKey val="0"/>
          <c:showVal val="0"/>
          <c:showCatName val="0"/>
          <c:showSerName val="0"/>
          <c:showPercent val="0"/>
          <c:showBubbleSize val="0"/>
        </c:dLbls>
        <c:axId val="238511824"/>
        <c:axId val="238512216"/>
      </c:scatterChart>
      <c:valAx>
        <c:axId val="238511824"/>
        <c:scaling>
          <c:orientation val="minMax"/>
        </c:scaling>
        <c:delete val="0"/>
        <c:axPos val="b"/>
        <c:numFmt formatCode="General" sourceLinked="1"/>
        <c:majorTickMark val="out"/>
        <c:minorTickMark val="none"/>
        <c:tickLblPos val="nextTo"/>
        <c:crossAx val="238512216"/>
        <c:crosses val="autoZero"/>
        <c:crossBetween val="midCat"/>
      </c:valAx>
      <c:valAx>
        <c:axId val="238512216"/>
        <c:scaling>
          <c:orientation val="minMax"/>
        </c:scaling>
        <c:delete val="0"/>
        <c:axPos val="l"/>
        <c:majorGridlines/>
        <c:numFmt formatCode="General" sourceLinked="1"/>
        <c:majorTickMark val="out"/>
        <c:minorTickMark val="none"/>
        <c:tickLblPos val="nextTo"/>
        <c:crossAx val="238511824"/>
        <c:crosses val="autoZero"/>
        <c:crossBetween val="midCat"/>
      </c:valAx>
    </c:plotArea>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LOUVER!$A$5</c:f>
              <c:strCache>
                <c:ptCount val="1"/>
                <c:pt idx="0">
                  <c:v>Halton USL (i)</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LOUVER!$D$5:$K$5</c:f>
              <c:numCache>
                <c:formatCode>General</c:formatCode>
                <c:ptCount val="8"/>
                <c:pt idx="0">
                  <c:v>11.5</c:v>
                </c:pt>
                <c:pt idx="1">
                  <c:v>45</c:v>
                </c:pt>
                <c:pt idx="2">
                  <c:v>100</c:v>
                </c:pt>
                <c:pt idx="3">
                  <c:v>160</c:v>
                </c:pt>
                <c:pt idx="4">
                  <c:v>270</c:v>
                </c:pt>
              </c:numCache>
            </c:numRef>
          </c:yVal>
          <c:smooth val="1"/>
        </c:ser>
        <c:ser>
          <c:idx val="1"/>
          <c:order val="1"/>
          <c:tx>
            <c:strRef>
              <c:f>LOUVER!$A$6</c:f>
              <c:strCache>
                <c:ptCount val="1"/>
                <c:pt idx="0">
                  <c:v>Halton USS (i)</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LOUVER!$D$6:$K$6</c:f>
              <c:numCache>
                <c:formatCode>General</c:formatCode>
                <c:ptCount val="8"/>
                <c:pt idx="0">
                  <c:v>5</c:v>
                </c:pt>
                <c:pt idx="1">
                  <c:v>22</c:v>
                </c:pt>
                <c:pt idx="2">
                  <c:v>50</c:v>
                </c:pt>
                <c:pt idx="3">
                  <c:v>90</c:v>
                </c:pt>
                <c:pt idx="4">
                  <c:v>140</c:v>
                </c:pt>
                <c:pt idx="5">
                  <c:v>220</c:v>
                </c:pt>
                <c:pt idx="6">
                  <c:v>330</c:v>
                </c:pt>
              </c:numCache>
            </c:numRef>
          </c:yVal>
          <c:smooth val="1"/>
        </c:ser>
        <c:ser>
          <c:idx val="2"/>
          <c:order val="2"/>
          <c:tx>
            <c:strRef>
              <c:f>LOUVER!$A$7</c:f>
              <c:strCache>
                <c:ptCount val="1"/>
                <c:pt idx="0">
                  <c:v>Halton USS (e)</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LOUVER!$D$7:$K$7</c:f>
              <c:numCache>
                <c:formatCode>General</c:formatCode>
                <c:ptCount val="8"/>
                <c:pt idx="0">
                  <c:v>5</c:v>
                </c:pt>
                <c:pt idx="1">
                  <c:v>13</c:v>
                </c:pt>
                <c:pt idx="2">
                  <c:v>30</c:v>
                </c:pt>
                <c:pt idx="3">
                  <c:v>52</c:v>
                </c:pt>
                <c:pt idx="4">
                  <c:v>82</c:v>
                </c:pt>
                <c:pt idx="5">
                  <c:v>125</c:v>
                </c:pt>
                <c:pt idx="6">
                  <c:v>190</c:v>
                </c:pt>
                <c:pt idx="7">
                  <c:v>280</c:v>
                </c:pt>
              </c:numCache>
            </c:numRef>
          </c:yVal>
          <c:smooth val="1"/>
        </c:ser>
        <c:ser>
          <c:idx val="3"/>
          <c:order val="3"/>
          <c:tx>
            <c:strRef>
              <c:f>LOUVER!$A$8</c:f>
              <c:strCache>
                <c:ptCount val="1"/>
                <c:pt idx="0">
                  <c:v>SSVent- FS + damper (i/e)</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LOUVER!$D$8:$K$8</c:f>
              <c:numCache>
                <c:formatCode>General</c:formatCode>
                <c:ptCount val="8"/>
                <c:pt idx="0">
                  <c:v>2</c:v>
                </c:pt>
                <c:pt idx="1">
                  <c:v>8</c:v>
                </c:pt>
                <c:pt idx="2">
                  <c:v>18</c:v>
                </c:pt>
                <c:pt idx="3">
                  <c:v>32</c:v>
                </c:pt>
                <c:pt idx="4">
                  <c:v>50</c:v>
                </c:pt>
                <c:pt idx="5">
                  <c:v>72</c:v>
                </c:pt>
                <c:pt idx="6">
                  <c:v>96</c:v>
                </c:pt>
                <c:pt idx="7">
                  <c:v>124</c:v>
                </c:pt>
              </c:numCache>
            </c:numRef>
          </c:yVal>
          <c:smooth val="1"/>
        </c:ser>
        <c:ser>
          <c:idx val="4"/>
          <c:order val="4"/>
          <c:tx>
            <c:strRef>
              <c:f>LOUVER!$A$9</c:f>
              <c:strCache>
                <c:ptCount val="1"/>
                <c:pt idx="0">
                  <c:v>SSVent- FS (i/e)</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LOUVER!$D$9:$K$9</c:f>
              <c:numCache>
                <c:formatCode>General</c:formatCode>
                <c:ptCount val="8"/>
                <c:pt idx="0">
                  <c:v>2</c:v>
                </c:pt>
                <c:pt idx="1">
                  <c:v>7</c:v>
                </c:pt>
                <c:pt idx="2">
                  <c:v>15</c:v>
                </c:pt>
                <c:pt idx="3">
                  <c:v>26</c:v>
                </c:pt>
                <c:pt idx="4">
                  <c:v>40</c:v>
                </c:pt>
                <c:pt idx="5">
                  <c:v>58</c:v>
                </c:pt>
                <c:pt idx="6">
                  <c:v>80</c:v>
                </c:pt>
                <c:pt idx="7">
                  <c:v>108</c:v>
                </c:pt>
              </c:numCache>
            </c:numRef>
          </c:yVal>
          <c:smooth val="1"/>
        </c:ser>
        <c:ser>
          <c:idx val="5"/>
          <c:order val="5"/>
          <c:tx>
            <c:strRef>
              <c:f>LOUVER!$A$10</c:f>
              <c:strCache>
                <c:ptCount val="1"/>
                <c:pt idx="0">
                  <c:v>SSVent- SR-F/SR-G (i/e)</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LOUVER!$D$10:$K$10</c:f>
              <c:numCache>
                <c:formatCode>General</c:formatCode>
                <c:ptCount val="8"/>
                <c:pt idx="0">
                  <c:v>2</c:v>
                </c:pt>
                <c:pt idx="1">
                  <c:v>6</c:v>
                </c:pt>
                <c:pt idx="2">
                  <c:v>15</c:v>
                </c:pt>
                <c:pt idx="3">
                  <c:v>26</c:v>
                </c:pt>
                <c:pt idx="4">
                  <c:v>41</c:v>
                </c:pt>
                <c:pt idx="5">
                  <c:v>58</c:v>
                </c:pt>
                <c:pt idx="6">
                  <c:v>80</c:v>
                </c:pt>
                <c:pt idx="7">
                  <c:v>103</c:v>
                </c:pt>
              </c:numCache>
            </c:numRef>
          </c:yVal>
          <c:smooth val="1"/>
        </c:ser>
        <c:ser>
          <c:idx val="6"/>
          <c:order val="6"/>
          <c:tx>
            <c:strRef>
              <c:f>LOUVER!$A$11</c:f>
              <c:strCache>
                <c:ptCount val="1"/>
                <c:pt idx="0">
                  <c:v>Unknown</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LOUVER!$D$11:$K$11</c:f>
              <c:numCache>
                <c:formatCode>General</c:formatCode>
                <c:ptCount val="8"/>
                <c:pt idx="0">
                  <c:v>7.5</c:v>
                </c:pt>
                <c:pt idx="1">
                  <c:v>17.5</c:v>
                </c:pt>
                <c:pt idx="2">
                  <c:v>32</c:v>
                </c:pt>
                <c:pt idx="3">
                  <c:v>50</c:v>
                </c:pt>
                <c:pt idx="4">
                  <c:v>75</c:v>
                </c:pt>
                <c:pt idx="5">
                  <c:v>100</c:v>
                </c:pt>
                <c:pt idx="6">
                  <c:v>140</c:v>
                </c:pt>
                <c:pt idx="7">
                  <c:v>200</c:v>
                </c:pt>
              </c:numCache>
            </c:numRef>
          </c:yVal>
          <c:smooth val="1"/>
        </c:ser>
        <c:ser>
          <c:idx val="7"/>
          <c:order val="7"/>
          <c:tx>
            <c:strRef>
              <c:f>LOUVER!$A$12</c:f>
              <c:strCache>
                <c:ptCount val="1"/>
                <c:pt idx="0">
                  <c:v>TTS assume (i)</c:v>
                </c:pt>
              </c:strCache>
            </c:strRef>
          </c:tx>
          <c:marker>
            <c:symbol val="none"/>
          </c:marker>
          <c:xVal>
            <c:numRef>
              <c:f>LOUVER!$D$2:$K$2</c:f>
              <c:numCache>
                <c:formatCode>General</c:formatCode>
                <c:ptCount val="8"/>
                <c:pt idx="0">
                  <c:v>1</c:v>
                </c:pt>
                <c:pt idx="1">
                  <c:v>2</c:v>
                </c:pt>
                <c:pt idx="2">
                  <c:v>3</c:v>
                </c:pt>
                <c:pt idx="3">
                  <c:v>4</c:v>
                </c:pt>
                <c:pt idx="4">
                  <c:v>5</c:v>
                </c:pt>
                <c:pt idx="5">
                  <c:v>6</c:v>
                </c:pt>
                <c:pt idx="6">
                  <c:v>7</c:v>
                </c:pt>
                <c:pt idx="7">
                  <c:v>8</c:v>
                </c:pt>
              </c:numCache>
            </c:numRef>
          </c:xVal>
          <c:yVal>
            <c:numRef>
              <c:f>LOUVER!$D$12:$K$12</c:f>
              <c:numCache>
                <c:formatCode>General</c:formatCode>
                <c:ptCount val="8"/>
                <c:pt idx="0">
                  <c:v>5</c:v>
                </c:pt>
                <c:pt idx="1">
                  <c:v>22</c:v>
                </c:pt>
                <c:pt idx="2">
                  <c:v>50</c:v>
                </c:pt>
                <c:pt idx="3">
                  <c:v>90</c:v>
                </c:pt>
                <c:pt idx="4">
                  <c:v>140</c:v>
                </c:pt>
                <c:pt idx="5">
                  <c:v>220</c:v>
                </c:pt>
                <c:pt idx="6">
                  <c:v>330</c:v>
                </c:pt>
              </c:numCache>
            </c:numRef>
          </c:yVal>
          <c:smooth val="1"/>
        </c:ser>
        <c:dLbls>
          <c:showLegendKey val="0"/>
          <c:showVal val="0"/>
          <c:showCatName val="0"/>
          <c:showSerName val="0"/>
          <c:showPercent val="0"/>
          <c:showBubbleSize val="0"/>
        </c:dLbls>
        <c:axId val="238513392"/>
        <c:axId val="239284824"/>
      </c:scatterChart>
      <c:valAx>
        <c:axId val="238513392"/>
        <c:scaling>
          <c:orientation val="minMax"/>
        </c:scaling>
        <c:delete val="0"/>
        <c:axPos val="b"/>
        <c:numFmt formatCode="General" sourceLinked="1"/>
        <c:majorTickMark val="out"/>
        <c:minorTickMark val="none"/>
        <c:tickLblPos val="nextTo"/>
        <c:crossAx val="239284824"/>
        <c:crosses val="autoZero"/>
        <c:crossBetween val="midCat"/>
      </c:valAx>
      <c:valAx>
        <c:axId val="239284824"/>
        <c:scaling>
          <c:orientation val="minMax"/>
        </c:scaling>
        <c:delete val="0"/>
        <c:axPos val="l"/>
        <c:majorGridlines/>
        <c:numFmt formatCode="General" sourceLinked="1"/>
        <c:majorTickMark val="out"/>
        <c:minorTickMark val="none"/>
        <c:tickLblPos val="nextTo"/>
        <c:crossAx val="238513392"/>
        <c:crosses val="autoZero"/>
        <c:crossBetween val="midCat"/>
      </c:valAx>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Engine_pressure!$B$1:$B$2</c:f>
              <c:strCache>
                <c:ptCount val="2"/>
                <c:pt idx="0">
                  <c:v>pressure</c:v>
                </c:pt>
                <c:pt idx="1">
                  <c:v>[Pa]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xVal>
            <c:numRef>
              <c:f>Engine_pressure!$A$3:$A$5</c:f>
              <c:numCache>
                <c:formatCode>General</c:formatCode>
                <c:ptCount val="3"/>
                <c:pt idx="0">
                  <c:v>0</c:v>
                </c:pt>
                <c:pt idx="1">
                  <c:v>22</c:v>
                </c:pt>
                <c:pt idx="2">
                  <c:v>88</c:v>
                </c:pt>
              </c:numCache>
            </c:numRef>
          </c:xVal>
          <c:yVal>
            <c:numRef>
              <c:f>Engine_pressure!$B$3:$B$5</c:f>
              <c:numCache>
                <c:formatCode>General</c:formatCode>
                <c:ptCount val="3"/>
                <c:pt idx="0">
                  <c:v>0</c:v>
                </c:pt>
                <c:pt idx="1">
                  <c:v>1000</c:v>
                </c:pt>
                <c:pt idx="2">
                  <c:v>8200</c:v>
                </c:pt>
              </c:numCache>
            </c:numRef>
          </c:yVal>
          <c:smooth val="1"/>
        </c:ser>
        <c:dLbls>
          <c:showLegendKey val="0"/>
          <c:showVal val="0"/>
          <c:showCatName val="0"/>
          <c:showSerName val="0"/>
          <c:showPercent val="0"/>
          <c:showBubbleSize val="0"/>
        </c:dLbls>
        <c:axId val="239286784"/>
        <c:axId val="239287176"/>
      </c:scatterChart>
      <c:valAx>
        <c:axId val="23928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287176"/>
        <c:crosses val="autoZero"/>
        <c:crossBetween val="midCat"/>
      </c:valAx>
      <c:valAx>
        <c:axId val="23928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286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5.xml.rels><?xml version="1.0" encoding="UTF-8" standalone="yes"?>
<Relationships xmlns="http://schemas.openxmlformats.org/package/2006/relationships"><Relationship Id="rId2" Type="http://schemas.openxmlformats.org/officeDocument/2006/relationships/image" Target="cid:image004.jpg@01D185D0.357A6300" TargetMode="External"/><Relationship Id="rId1" Type="http://schemas.openxmlformats.org/officeDocument/2006/relationships/image" Target="../media/image30.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8" Type="http://schemas.openxmlformats.org/officeDocument/2006/relationships/image" Target="../media/image11.jpg"/><Relationship Id="rId13" Type="http://schemas.openxmlformats.org/officeDocument/2006/relationships/image" Target="../media/image16.gif"/><Relationship Id="rId3" Type="http://schemas.openxmlformats.org/officeDocument/2006/relationships/image" Target="../media/image6.jpg"/><Relationship Id="rId7" Type="http://schemas.openxmlformats.org/officeDocument/2006/relationships/image" Target="../media/image10.jp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jp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jpg"/><Relationship Id="rId4" Type="http://schemas.openxmlformats.org/officeDocument/2006/relationships/image" Target="../media/image7.jpg"/><Relationship Id="rId9" Type="http://schemas.openxmlformats.org/officeDocument/2006/relationships/image" Target="../media/image12.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3</xdr:col>
      <xdr:colOff>15240</xdr:colOff>
      <xdr:row>7</xdr:row>
      <xdr:rowOff>7620</xdr:rowOff>
    </xdr:from>
    <xdr:to>
      <xdr:col>9</xdr:col>
      <xdr:colOff>552000</xdr:colOff>
      <xdr:row>7</xdr:row>
      <xdr:rowOff>7620</xdr:rowOff>
    </xdr:to>
    <xdr:cxnSp macro="">
      <xdr:nvCxnSpPr>
        <xdr:cNvPr id="3" name="Straight Connector 2"/>
        <xdr:cNvCxnSpPr/>
      </xdr:nvCxnSpPr>
      <xdr:spPr>
        <a:xfrm>
          <a:off x="15240" y="1303020"/>
          <a:ext cx="419436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xdr:colOff>
      <xdr:row>11</xdr:row>
      <xdr:rowOff>7620</xdr:rowOff>
    </xdr:from>
    <xdr:to>
      <xdr:col>9</xdr:col>
      <xdr:colOff>544380</xdr:colOff>
      <xdr:row>11</xdr:row>
      <xdr:rowOff>7620</xdr:rowOff>
    </xdr:to>
    <xdr:cxnSp macro="">
      <xdr:nvCxnSpPr>
        <xdr:cNvPr id="4" name="Straight Connector 3"/>
        <xdr:cNvCxnSpPr/>
      </xdr:nvCxnSpPr>
      <xdr:spPr>
        <a:xfrm>
          <a:off x="22860" y="2057400"/>
          <a:ext cx="417912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129540</xdr:colOff>
      <xdr:row>5</xdr:row>
      <xdr:rowOff>91440</xdr:rowOff>
    </xdr:from>
    <xdr:to>
      <xdr:col>6</xdr:col>
      <xdr:colOff>599940</xdr:colOff>
      <xdr:row>11</xdr:row>
      <xdr:rowOff>74160</xdr:rowOff>
    </xdr:to>
    <xdr:sp macro="" textlink="">
      <xdr:nvSpPr>
        <xdr:cNvPr id="5" name="Oval 4"/>
        <xdr:cNvSpPr/>
      </xdr:nvSpPr>
      <xdr:spPr>
        <a:xfrm>
          <a:off x="3177540" y="1005840"/>
          <a:ext cx="1080000" cy="1080000"/>
        </a:xfrm>
        <a:prstGeom prst="ellipse">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pl-PL" sz="1100"/>
        </a:p>
      </xdr:txBody>
    </xdr:sp>
    <xdr:clientData/>
  </xdr:twoCellAnchor>
  <xdr:twoCellAnchor>
    <xdr:from>
      <xdr:col>4</xdr:col>
      <xdr:colOff>464820</xdr:colOff>
      <xdr:row>4</xdr:row>
      <xdr:rowOff>7620</xdr:rowOff>
    </xdr:from>
    <xdr:to>
      <xdr:col>7</xdr:col>
      <xdr:colOff>256020</xdr:colOff>
      <xdr:row>12</xdr:row>
      <xdr:rowOff>164580</xdr:rowOff>
    </xdr:to>
    <xdr:sp macro="" textlink="">
      <xdr:nvSpPr>
        <xdr:cNvPr id="6" name="Oval 5"/>
        <xdr:cNvSpPr/>
      </xdr:nvSpPr>
      <xdr:spPr>
        <a:xfrm>
          <a:off x="2903220" y="739140"/>
          <a:ext cx="1620000" cy="1620000"/>
        </a:xfrm>
        <a:prstGeom prst="ellipse">
          <a:avLst/>
        </a:prstGeom>
        <a:noFill/>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pl-PL" sz="1100"/>
        </a:p>
      </xdr:txBody>
    </xdr:sp>
    <xdr:clientData/>
  </xdr:twoCellAnchor>
  <xdr:twoCellAnchor>
    <xdr:from>
      <xdr:col>7</xdr:col>
      <xdr:colOff>350520</xdr:colOff>
      <xdr:row>7</xdr:row>
      <xdr:rowOff>15240</xdr:rowOff>
    </xdr:from>
    <xdr:to>
      <xdr:col>7</xdr:col>
      <xdr:colOff>350520</xdr:colOff>
      <xdr:row>11</xdr:row>
      <xdr:rowOff>15240</xdr:rowOff>
    </xdr:to>
    <xdr:cxnSp macro="">
      <xdr:nvCxnSpPr>
        <xdr:cNvPr id="8" name="Straight Arrow Connector 7"/>
        <xdr:cNvCxnSpPr/>
      </xdr:nvCxnSpPr>
      <xdr:spPr>
        <a:xfrm flipV="1">
          <a:off x="4617720" y="1310640"/>
          <a:ext cx="0" cy="754380"/>
        </a:xfrm>
        <a:prstGeom prst="straightConnector1">
          <a:avLst/>
        </a:prstGeom>
        <a:ln w="19050">
          <a:headEnd type="arrow"/>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259080</xdr:colOff>
      <xdr:row>8</xdr:row>
      <xdr:rowOff>106680</xdr:rowOff>
    </xdr:from>
    <xdr:to>
      <xdr:col>5</xdr:col>
      <xdr:colOff>381000</xdr:colOff>
      <xdr:row>8</xdr:row>
      <xdr:rowOff>106680</xdr:rowOff>
    </xdr:to>
    <xdr:cxnSp macro="">
      <xdr:nvCxnSpPr>
        <xdr:cNvPr id="13" name="Straight Connector 12"/>
        <xdr:cNvCxnSpPr/>
      </xdr:nvCxnSpPr>
      <xdr:spPr>
        <a:xfrm flipH="1">
          <a:off x="868680" y="1592580"/>
          <a:ext cx="73152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350520</xdr:colOff>
      <xdr:row>8</xdr:row>
      <xdr:rowOff>114300</xdr:rowOff>
    </xdr:from>
    <xdr:to>
      <xdr:col>4</xdr:col>
      <xdr:colOff>350520</xdr:colOff>
      <xdr:row>11</xdr:row>
      <xdr:rowOff>15240</xdr:rowOff>
    </xdr:to>
    <xdr:cxnSp macro="">
      <xdr:nvCxnSpPr>
        <xdr:cNvPr id="15" name="Straight Arrow Connector 14"/>
        <xdr:cNvCxnSpPr/>
      </xdr:nvCxnSpPr>
      <xdr:spPr>
        <a:xfrm flipV="1">
          <a:off x="960120" y="1600200"/>
          <a:ext cx="0" cy="464820"/>
        </a:xfrm>
        <a:prstGeom prst="straightConnector1">
          <a:avLst/>
        </a:prstGeom>
        <a:ln w="127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55620</xdr:colOff>
      <xdr:row>11</xdr:row>
      <xdr:rowOff>0</xdr:rowOff>
    </xdr:from>
    <xdr:to>
      <xdr:col>6</xdr:col>
      <xdr:colOff>57265</xdr:colOff>
      <xdr:row>12</xdr:row>
      <xdr:rowOff>164580</xdr:rowOff>
    </xdr:to>
    <xdr:cxnSp macro="">
      <xdr:nvCxnSpPr>
        <xdr:cNvPr id="17" name="Straight Arrow Connector 16"/>
        <xdr:cNvCxnSpPr>
          <a:stCxn id="6" idx="4"/>
        </xdr:cNvCxnSpPr>
      </xdr:nvCxnSpPr>
      <xdr:spPr>
        <a:xfrm flipV="1">
          <a:off x="1884420" y="2057400"/>
          <a:ext cx="1645" cy="355080"/>
        </a:xfrm>
        <a:prstGeom prst="straightConnector1">
          <a:avLst/>
        </a:prstGeom>
        <a:ln w="127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55620</xdr:colOff>
      <xdr:row>4</xdr:row>
      <xdr:rowOff>7620</xdr:rowOff>
    </xdr:from>
    <xdr:to>
      <xdr:col>6</xdr:col>
      <xdr:colOff>57266</xdr:colOff>
      <xdr:row>7</xdr:row>
      <xdr:rowOff>15240</xdr:rowOff>
    </xdr:to>
    <xdr:cxnSp macro="">
      <xdr:nvCxnSpPr>
        <xdr:cNvPr id="22" name="Straight Arrow Connector 21"/>
        <xdr:cNvCxnSpPr>
          <a:endCxn id="6" idx="0"/>
        </xdr:cNvCxnSpPr>
      </xdr:nvCxnSpPr>
      <xdr:spPr>
        <a:xfrm flipH="1" flipV="1">
          <a:off x="1884420" y="746760"/>
          <a:ext cx="1646" cy="563880"/>
        </a:xfrm>
        <a:prstGeom prst="straightConnector1">
          <a:avLst/>
        </a:prstGeom>
        <a:ln w="1270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510540</xdr:colOff>
      <xdr:row>7</xdr:row>
      <xdr:rowOff>7620</xdr:rowOff>
    </xdr:from>
    <xdr:to>
      <xdr:col>7</xdr:col>
      <xdr:colOff>228600</xdr:colOff>
      <xdr:row>7</xdr:row>
      <xdr:rowOff>7620</xdr:rowOff>
    </xdr:to>
    <xdr:cxnSp macro="">
      <xdr:nvCxnSpPr>
        <xdr:cNvPr id="26" name="Straight Arrow Connector 25"/>
        <xdr:cNvCxnSpPr/>
      </xdr:nvCxnSpPr>
      <xdr:spPr>
        <a:xfrm flipH="1">
          <a:off x="1120140" y="1310640"/>
          <a:ext cx="1546860" cy="0"/>
        </a:xfrm>
        <a:prstGeom prst="straightConnector1">
          <a:avLst/>
        </a:prstGeom>
        <a:ln w="19050">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7620</xdr:colOff>
      <xdr:row>11</xdr:row>
      <xdr:rowOff>7620</xdr:rowOff>
    </xdr:from>
    <xdr:to>
      <xdr:col>7</xdr:col>
      <xdr:colOff>106680</xdr:colOff>
      <xdr:row>11</xdr:row>
      <xdr:rowOff>7620</xdr:rowOff>
    </xdr:to>
    <xdr:cxnSp macro="">
      <xdr:nvCxnSpPr>
        <xdr:cNvPr id="27" name="Straight Arrow Connector 26"/>
        <xdr:cNvCxnSpPr/>
      </xdr:nvCxnSpPr>
      <xdr:spPr>
        <a:xfrm flipH="1">
          <a:off x="1226820" y="2065020"/>
          <a:ext cx="1318260" cy="0"/>
        </a:xfrm>
        <a:prstGeom prst="straightConnector1">
          <a:avLst/>
        </a:prstGeom>
        <a:ln w="19050">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297180</xdr:colOff>
      <xdr:row>0</xdr:row>
      <xdr:rowOff>106680</xdr:rowOff>
    </xdr:from>
    <xdr:to>
      <xdr:col>17</xdr:col>
      <xdr:colOff>182880</xdr:colOff>
      <xdr:row>39</xdr:row>
      <xdr:rowOff>99060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861560" y="106680"/>
          <a:ext cx="5372100" cy="7254240"/>
        </a:xfrm>
        <a:prstGeom prst="rect">
          <a:avLst/>
        </a:prstGeom>
        <a:noFill/>
        <a:ln w="1">
          <a:no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17</xdr:col>
          <xdr:colOff>472440</xdr:colOff>
          <xdr:row>0</xdr:row>
          <xdr:rowOff>106680</xdr:rowOff>
        </xdr:from>
        <xdr:to>
          <xdr:col>28</xdr:col>
          <xdr:colOff>434340</xdr:colOff>
          <xdr:row>27</xdr:row>
          <xdr:rowOff>121920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17</xdr:col>
      <xdr:colOff>533400</xdr:colOff>
      <xdr:row>49</xdr:row>
      <xdr:rowOff>111458</xdr:rowOff>
    </xdr:from>
    <xdr:to>
      <xdr:col>33</xdr:col>
      <xdr:colOff>232616</xdr:colOff>
      <xdr:row>76</xdr:row>
      <xdr:rowOff>98173</xdr:rowOff>
    </xdr:to>
    <xdr:pic>
      <xdr:nvPicPr>
        <xdr:cNvPr id="2" name="Picture 1"/>
        <xdr:cNvPicPr>
          <a:picLocks noChangeAspect="1"/>
        </xdr:cNvPicPr>
      </xdr:nvPicPr>
      <xdr:blipFill>
        <a:blip xmlns:r="http://schemas.openxmlformats.org/officeDocument/2006/relationships" r:embed="rId2"/>
        <a:stretch>
          <a:fillRect/>
        </a:stretch>
      </xdr:blipFill>
      <xdr:spPr>
        <a:xfrm>
          <a:off x="10584180" y="9209738"/>
          <a:ext cx="9445196" cy="4924475"/>
        </a:xfrm>
        <a:prstGeom prst="rect">
          <a:avLst/>
        </a:prstGeom>
      </xdr:spPr>
    </xdr:pic>
    <xdr:clientData/>
  </xdr:twoCellAnchor>
  <xdr:twoCellAnchor editAs="oneCell">
    <xdr:from>
      <xdr:col>18</xdr:col>
      <xdr:colOff>0</xdr:colOff>
      <xdr:row>76</xdr:row>
      <xdr:rowOff>33648</xdr:rowOff>
    </xdr:from>
    <xdr:to>
      <xdr:col>33</xdr:col>
      <xdr:colOff>312420</xdr:colOff>
      <xdr:row>89</xdr:row>
      <xdr:rowOff>76199</xdr:rowOff>
    </xdr:to>
    <xdr:pic>
      <xdr:nvPicPr>
        <xdr:cNvPr id="3" name="Picture 2"/>
        <xdr:cNvPicPr>
          <a:picLocks noChangeAspect="1"/>
        </xdr:cNvPicPr>
      </xdr:nvPicPr>
      <xdr:blipFill>
        <a:blip xmlns:r="http://schemas.openxmlformats.org/officeDocument/2006/relationships" r:embed="rId3"/>
        <a:stretch>
          <a:fillRect/>
        </a:stretch>
      </xdr:blipFill>
      <xdr:spPr>
        <a:xfrm>
          <a:off x="10660380" y="14069688"/>
          <a:ext cx="9448800" cy="2419991"/>
        </a:xfrm>
        <a:prstGeom prst="rect">
          <a:avLst/>
        </a:prstGeom>
      </xdr:spPr>
    </xdr:pic>
    <xdr:clientData/>
  </xdr:twoCellAnchor>
  <xdr:twoCellAnchor editAs="oneCell">
    <xdr:from>
      <xdr:col>34</xdr:col>
      <xdr:colOff>7620</xdr:colOff>
      <xdr:row>26</xdr:row>
      <xdr:rowOff>7620</xdr:rowOff>
    </xdr:from>
    <xdr:to>
      <xdr:col>41</xdr:col>
      <xdr:colOff>188039</xdr:colOff>
      <xdr:row>62</xdr:row>
      <xdr:rowOff>92506</xdr:rowOff>
    </xdr:to>
    <xdr:pic>
      <xdr:nvPicPr>
        <xdr:cNvPr id="4" name="Picture 3"/>
        <xdr:cNvPicPr>
          <a:picLocks noChangeAspect="1"/>
        </xdr:cNvPicPr>
      </xdr:nvPicPr>
      <xdr:blipFill>
        <a:blip xmlns:r="http://schemas.openxmlformats.org/officeDocument/2006/relationships" r:embed="rId4"/>
        <a:stretch>
          <a:fillRect/>
        </a:stretch>
      </xdr:blipFill>
      <xdr:spPr>
        <a:xfrm>
          <a:off x="20413980" y="4853940"/>
          <a:ext cx="4447619" cy="6714286"/>
        </a:xfrm>
        <a:prstGeom prst="rect">
          <a:avLst/>
        </a:prstGeom>
      </xdr:spPr>
    </xdr:pic>
    <xdr:clientData/>
  </xdr:twoCellAnchor>
  <xdr:twoCellAnchor editAs="oneCell">
    <xdr:from>
      <xdr:col>34</xdr:col>
      <xdr:colOff>175</xdr:colOff>
      <xdr:row>0</xdr:row>
      <xdr:rowOff>144780</xdr:rowOff>
    </xdr:from>
    <xdr:to>
      <xdr:col>47</xdr:col>
      <xdr:colOff>571848</xdr:colOff>
      <xdr:row>25</xdr:row>
      <xdr:rowOff>103927</xdr:rowOff>
    </xdr:to>
    <xdr:pic>
      <xdr:nvPicPr>
        <xdr:cNvPr id="5" name="Picture 4"/>
        <xdr:cNvPicPr>
          <a:picLocks noChangeAspect="1"/>
        </xdr:cNvPicPr>
      </xdr:nvPicPr>
      <xdr:blipFill>
        <a:blip xmlns:r="http://schemas.openxmlformats.org/officeDocument/2006/relationships" r:embed="rId5"/>
        <a:stretch>
          <a:fillRect/>
        </a:stretch>
      </xdr:blipFill>
      <xdr:spPr>
        <a:xfrm>
          <a:off x="20406535" y="144780"/>
          <a:ext cx="8496473" cy="4614967"/>
        </a:xfrm>
        <a:prstGeom prst="rect">
          <a:avLst/>
        </a:prstGeom>
      </xdr:spPr>
    </xdr:pic>
    <xdr:clientData/>
  </xdr:twoCellAnchor>
  <xdr:twoCellAnchor editAs="oneCell">
    <xdr:from>
      <xdr:col>4</xdr:col>
      <xdr:colOff>30479</xdr:colOff>
      <xdr:row>45</xdr:row>
      <xdr:rowOff>13612</xdr:rowOff>
    </xdr:from>
    <xdr:to>
      <xdr:col>17</xdr:col>
      <xdr:colOff>182880</xdr:colOff>
      <xdr:row>55</xdr:row>
      <xdr:rowOff>56871</xdr:rowOff>
    </xdr:to>
    <xdr:pic>
      <xdr:nvPicPr>
        <xdr:cNvPr id="6" name="Picture 5"/>
        <xdr:cNvPicPr>
          <a:picLocks noChangeAspect="1"/>
        </xdr:cNvPicPr>
      </xdr:nvPicPr>
      <xdr:blipFill>
        <a:blip xmlns:r="http://schemas.openxmlformats.org/officeDocument/2006/relationships" r:embed="rId6"/>
        <a:stretch>
          <a:fillRect/>
        </a:stretch>
      </xdr:blipFill>
      <xdr:spPr>
        <a:xfrm>
          <a:off x="2156459" y="8380372"/>
          <a:ext cx="8077201" cy="1872059"/>
        </a:xfrm>
        <a:prstGeom prst="rect">
          <a:avLst/>
        </a:prstGeom>
      </xdr:spPr>
    </xdr:pic>
    <xdr:clientData/>
  </xdr:twoCellAnchor>
  <xdr:twoCellAnchor editAs="oneCell">
    <xdr:from>
      <xdr:col>17</xdr:col>
      <xdr:colOff>464820</xdr:colOff>
      <xdr:row>27</xdr:row>
      <xdr:rowOff>167718</xdr:rowOff>
    </xdr:from>
    <xdr:to>
      <xdr:col>29</xdr:col>
      <xdr:colOff>442716</xdr:colOff>
      <xdr:row>49</xdr:row>
      <xdr:rowOff>62239</xdr:rowOff>
    </xdr:to>
    <xdr:pic>
      <xdr:nvPicPr>
        <xdr:cNvPr id="7" name="Picture 6"/>
        <xdr:cNvPicPr>
          <a:picLocks noChangeAspect="1"/>
        </xdr:cNvPicPr>
      </xdr:nvPicPr>
      <xdr:blipFill>
        <a:blip xmlns:r="http://schemas.openxmlformats.org/officeDocument/2006/relationships" r:embed="rId7"/>
        <a:stretch>
          <a:fillRect/>
        </a:stretch>
      </xdr:blipFill>
      <xdr:spPr>
        <a:xfrm>
          <a:off x="10515600" y="5196918"/>
          <a:ext cx="7285476" cy="39636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306939</xdr:colOff>
      <xdr:row>20</xdr:row>
      <xdr:rowOff>129540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793339" cy="3787140"/>
        </a:xfrm>
        <a:prstGeom prst="rect">
          <a:avLst/>
        </a:prstGeom>
      </xdr:spPr>
    </xdr:pic>
    <xdr:clientData/>
  </xdr:twoCellAnchor>
  <xdr:twoCellAnchor editAs="oneCell">
    <xdr:from>
      <xdr:col>0</xdr:col>
      <xdr:colOff>22860</xdr:colOff>
      <xdr:row>20</xdr:row>
      <xdr:rowOff>74215</xdr:rowOff>
    </xdr:from>
    <xdr:to>
      <xdr:col>9</xdr:col>
      <xdr:colOff>396240</xdr:colOff>
      <xdr:row>61</xdr:row>
      <xdr:rowOff>44482</xdr:rowOff>
    </xdr:to>
    <xdr:pic>
      <xdr:nvPicPr>
        <xdr:cNvPr id="3" name="Picture 2"/>
        <xdr:cNvPicPr>
          <a:picLocks noChangeAspect="1"/>
        </xdr:cNvPicPr>
      </xdr:nvPicPr>
      <xdr:blipFill>
        <a:blip xmlns:r="http://schemas.openxmlformats.org/officeDocument/2006/relationships" r:embed="rId2"/>
        <a:stretch>
          <a:fillRect/>
        </a:stretch>
      </xdr:blipFill>
      <xdr:spPr>
        <a:xfrm>
          <a:off x="22860" y="3731815"/>
          <a:ext cx="5859780" cy="74683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167640</xdr:colOff>
      <xdr:row>1</xdr:row>
      <xdr:rowOff>41910</xdr:rowOff>
    </xdr:from>
    <xdr:to>
      <xdr:col>9</xdr:col>
      <xdr:colOff>472440</xdr:colOff>
      <xdr:row>16</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243840</xdr:colOff>
      <xdr:row>25</xdr:row>
      <xdr:rowOff>0</xdr:rowOff>
    </xdr:from>
    <xdr:to>
      <xdr:col>17</xdr:col>
      <xdr:colOff>220980</xdr:colOff>
      <xdr:row>51</xdr:row>
      <xdr:rowOff>7620</xdr:rowOff>
    </xdr:to>
    <xdr:pic>
      <xdr:nvPicPr>
        <xdr:cNvPr id="2" name="Picture 7"/>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0640" y="4213860"/>
          <a:ext cx="5463540" cy="4366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68580</xdr:colOff>
      <xdr:row>25</xdr:row>
      <xdr:rowOff>0</xdr:rowOff>
    </xdr:from>
    <xdr:to>
      <xdr:col>8</xdr:col>
      <xdr:colOff>30480</xdr:colOff>
      <xdr:row>51</xdr:row>
      <xdr:rowOff>0</xdr:rowOff>
    </xdr:to>
    <xdr:pic>
      <xdr:nvPicPr>
        <xdr:cNvPr id="3" name="Picture 11"/>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 y="4213860"/>
          <a:ext cx="4838700" cy="435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69458</xdr:colOff>
      <xdr:row>0</xdr:row>
      <xdr:rowOff>0</xdr:rowOff>
    </xdr:from>
    <xdr:to>
      <xdr:col>19</xdr:col>
      <xdr:colOff>480059</xdr:colOff>
      <xdr:row>44</xdr:row>
      <xdr:rowOff>105848</xdr:rowOff>
    </xdr:to>
    <xdr:pic>
      <xdr:nvPicPr>
        <xdr:cNvPr id="2" name="Picture 1"/>
        <xdr:cNvPicPr>
          <a:picLocks noChangeAspect="1"/>
        </xdr:cNvPicPr>
      </xdr:nvPicPr>
      <xdr:blipFill>
        <a:blip xmlns:r="http://schemas.openxmlformats.org/officeDocument/2006/relationships" r:embed="rId1"/>
        <a:stretch>
          <a:fillRect/>
        </a:stretch>
      </xdr:blipFill>
      <xdr:spPr>
        <a:xfrm>
          <a:off x="5723498" y="0"/>
          <a:ext cx="5897001" cy="815256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205740</xdr:colOff>
      <xdr:row>2</xdr:row>
      <xdr:rowOff>38100</xdr:rowOff>
    </xdr:from>
    <xdr:to>
      <xdr:col>10</xdr:col>
      <xdr:colOff>434340</xdr:colOff>
      <xdr:row>12</xdr:row>
      <xdr:rowOff>15240</xdr:rowOff>
    </xdr:to>
    <xdr:pic>
      <xdr:nvPicPr>
        <xdr:cNvPr id="2" name="Picture 1" descr="cid:image004.jpg@01D185D0.357A630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872740" y="373380"/>
          <a:ext cx="5105400" cy="165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30</xdr:row>
      <xdr:rowOff>99060</xdr:rowOff>
    </xdr:from>
    <xdr:to>
      <xdr:col>15</xdr:col>
      <xdr:colOff>647700</xdr:colOff>
      <xdr:row>53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441960</xdr:colOff>
      <xdr:row>14</xdr:row>
      <xdr:rowOff>99060</xdr:rowOff>
    </xdr:from>
    <xdr:to>
      <xdr:col>26</xdr:col>
      <xdr:colOff>512268</xdr:colOff>
      <xdr:row>35</xdr:row>
      <xdr:rowOff>22860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8983980" y="2743200"/>
          <a:ext cx="4931868" cy="378714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373380</xdr:colOff>
      <xdr:row>0</xdr:row>
      <xdr:rowOff>114300</xdr:rowOff>
    </xdr:from>
    <xdr:to>
      <xdr:col>15</xdr:col>
      <xdr:colOff>68580</xdr:colOff>
      <xdr:row>15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365760</xdr:colOff>
      <xdr:row>0</xdr:row>
      <xdr:rowOff>160020</xdr:rowOff>
    </xdr:from>
    <xdr:to>
      <xdr:col>12</xdr:col>
      <xdr:colOff>198120</xdr:colOff>
      <xdr:row>23</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281940</xdr:colOff>
      <xdr:row>25</xdr:row>
      <xdr:rowOff>137160</xdr:rowOff>
    </xdr:from>
    <xdr:to>
      <xdr:col>9</xdr:col>
      <xdr:colOff>388620</xdr:colOff>
      <xdr:row>43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510540</xdr:colOff>
      <xdr:row>0</xdr:row>
      <xdr:rowOff>243840</xdr:rowOff>
    </xdr:from>
    <xdr:to>
      <xdr:col>25</xdr:col>
      <xdr:colOff>204788</xdr:colOff>
      <xdr:row>22</xdr:row>
      <xdr:rowOff>131491</xdr:rowOff>
    </xdr:to>
    <xdr:pic>
      <xdr:nvPicPr>
        <xdr:cNvPr id="2" name="Picture 1" descr="air_temperature_density.png"/>
        <xdr:cNvPicPr>
          <a:picLocks noChangeAspect="1"/>
        </xdr:cNvPicPr>
      </xdr:nvPicPr>
      <xdr:blipFill>
        <a:blip xmlns:r="http://schemas.openxmlformats.org/officeDocument/2006/relationships" r:embed="rId1" cstate="print"/>
        <a:stretch>
          <a:fillRect/>
        </a:stretch>
      </xdr:blipFill>
      <xdr:spPr>
        <a:xfrm>
          <a:off x="9502140" y="243840"/>
          <a:ext cx="7619048" cy="4711111"/>
        </a:xfrm>
        <a:prstGeom prst="rect">
          <a:avLst/>
        </a:prstGeom>
      </xdr:spPr>
    </xdr:pic>
    <xdr:clientData/>
  </xdr:twoCellAnchor>
  <xdr:twoCellAnchor editAs="oneCell">
    <xdr:from>
      <xdr:col>13</xdr:col>
      <xdr:colOff>22860</xdr:colOff>
      <xdr:row>24</xdr:row>
      <xdr:rowOff>15240</xdr:rowOff>
    </xdr:from>
    <xdr:to>
      <xdr:col>18</xdr:col>
      <xdr:colOff>165735</xdr:colOff>
      <xdr:row>35</xdr:row>
      <xdr:rowOff>91440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93680" y="5204460"/>
          <a:ext cx="3190875" cy="20955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xdr:colOff>
      <xdr:row>4</xdr:row>
      <xdr:rowOff>15240</xdr:rowOff>
    </xdr:from>
    <xdr:to>
      <xdr:col>3</xdr:col>
      <xdr:colOff>0</xdr:colOff>
      <xdr:row>13</xdr:row>
      <xdr:rowOff>175260</xdr:rowOff>
    </xdr:to>
    <xdr:sp macro="" textlink="">
      <xdr:nvSpPr>
        <xdr:cNvPr id="2" name="Rectangle 1"/>
        <xdr:cNvSpPr/>
      </xdr:nvSpPr>
      <xdr:spPr>
        <a:xfrm>
          <a:off x="617220" y="381000"/>
          <a:ext cx="1211580" cy="180594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1</xdr:col>
      <xdr:colOff>101600</xdr:colOff>
      <xdr:row>9</xdr:row>
      <xdr:rowOff>27940</xdr:rowOff>
    </xdr:from>
    <xdr:to>
      <xdr:col>1</xdr:col>
      <xdr:colOff>101600</xdr:colOff>
      <xdr:row>9</xdr:row>
      <xdr:rowOff>96520</xdr:rowOff>
    </xdr:to>
    <xdr:cxnSp macro="">
      <xdr:nvCxnSpPr>
        <xdr:cNvPr id="11" name="Straight Connector 10"/>
        <xdr:cNvCxnSpPr/>
      </xdr:nvCxnSpPr>
      <xdr:spPr>
        <a:xfrm flipV="1">
          <a:off x="711200" y="1308100"/>
          <a:ext cx="0" cy="6858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96520</xdr:colOff>
      <xdr:row>9</xdr:row>
      <xdr:rowOff>20320</xdr:rowOff>
    </xdr:from>
    <xdr:to>
      <xdr:col>1</xdr:col>
      <xdr:colOff>208280</xdr:colOff>
      <xdr:row>9</xdr:row>
      <xdr:rowOff>20320</xdr:rowOff>
    </xdr:to>
    <xdr:cxnSp macro="">
      <xdr:nvCxnSpPr>
        <xdr:cNvPr id="13" name="Straight Connector 12"/>
        <xdr:cNvCxnSpPr/>
      </xdr:nvCxnSpPr>
      <xdr:spPr>
        <a:xfrm>
          <a:off x="706120" y="1300480"/>
          <a:ext cx="11176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711200</xdr:colOff>
      <xdr:row>2</xdr:row>
      <xdr:rowOff>129540</xdr:rowOff>
    </xdr:from>
    <xdr:to>
      <xdr:col>2</xdr:col>
      <xdr:colOff>711200</xdr:colOff>
      <xdr:row>15</xdr:row>
      <xdr:rowOff>76200</xdr:rowOff>
    </xdr:to>
    <xdr:cxnSp macro="">
      <xdr:nvCxnSpPr>
        <xdr:cNvPr id="23" name="Straight Connector 22"/>
        <xdr:cNvCxnSpPr/>
      </xdr:nvCxnSpPr>
      <xdr:spPr>
        <a:xfrm>
          <a:off x="2174240" y="502920"/>
          <a:ext cx="0" cy="23622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655320</xdr:colOff>
      <xdr:row>3</xdr:row>
      <xdr:rowOff>88900</xdr:rowOff>
    </xdr:from>
    <xdr:to>
      <xdr:col>2</xdr:col>
      <xdr:colOff>655320</xdr:colOff>
      <xdr:row>4</xdr:row>
      <xdr:rowOff>83820</xdr:rowOff>
    </xdr:to>
    <xdr:cxnSp macro="">
      <xdr:nvCxnSpPr>
        <xdr:cNvPr id="24" name="Straight Connector 23"/>
        <xdr:cNvCxnSpPr/>
      </xdr:nvCxnSpPr>
      <xdr:spPr>
        <a:xfrm>
          <a:off x="1874520" y="652780"/>
          <a:ext cx="0" cy="177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xdr:colOff>
      <xdr:row>3</xdr:row>
      <xdr:rowOff>88900</xdr:rowOff>
    </xdr:from>
    <xdr:to>
      <xdr:col>3</xdr:col>
      <xdr:colOff>20320</xdr:colOff>
      <xdr:row>4</xdr:row>
      <xdr:rowOff>83820</xdr:rowOff>
    </xdr:to>
    <xdr:cxnSp macro="">
      <xdr:nvCxnSpPr>
        <xdr:cNvPr id="26" name="Straight Connector 25"/>
        <xdr:cNvCxnSpPr/>
      </xdr:nvCxnSpPr>
      <xdr:spPr>
        <a:xfrm>
          <a:off x="1894840" y="652780"/>
          <a:ext cx="0" cy="177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662940</xdr:colOff>
      <xdr:row>13</xdr:row>
      <xdr:rowOff>99060</xdr:rowOff>
    </xdr:from>
    <xdr:to>
      <xdr:col>2</xdr:col>
      <xdr:colOff>662940</xdr:colOff>
      <xdr:row>14</xdr:row>
      <xdr:rowOff>93980</xdr:rowOff>
    </xdr:to>
    <xdr:cxnSp macro="">
      <xdr:nvCxnSpPr>
        <xdr:cNvPr id="27" name="Straight Connector 26"/>
        <xdr:cNvCxnSpPr/>
      </xdr:nvCxnSpPr>
      <xdr:spPr>
        <a:xfrm>
          <a:off x="1882140" y="2522220"/>
          <a:ext cx="0" cy="177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xdr:colOff>
      <xdr:row>13</xdr:row>
      <xdr:rowOff>99060</xdr:rowOff>
    </xdr:from>
    <xdr:to>
      <xdr:col>3</xdr:col>
      <xdr:colOff>20320</xdr:colOff>
      <xdr:row>14</xdr:row>
      <xdr:rowOff>93980</xdr:rowOff>
    </xdr:to>
    <xdr:cxnSp macro="">
      <xdr:nvCxnSpPr>
        <xdr:cNvPr id="28" name="Straight Connector 27"/>
        <xdr:cNvCxnSpPr/>
      </xdr:nvCxnSpPr>
      <xdr:spPr>
        <a:xfrm>
          <a:off x="1894840" y="2522220"/>
          <a:ext cx="0" cy="177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510540</xdr:colOff>
      <xdr:row>6</xdr:row>
      <xdr:rowOff>76200</xdr:rowOff>
    </xdr:from>
    <xdr:to>
      <xdr:col>2</xdr:col>
      <xdr:colOff>266700</xdr:colOff>
      <xdr:row>8</xdr:row>
      <xdr:rowOff>45720</xdr:rowOff>
    </xdr:to>
    <xdr:cxnSp macro="">
      <xdr:nvCxnSpPr>
        <xdr:cNvPr id="37" name="Straight Arrow Connector 36"/>
        <xdr:cNvCxnSpPr/>
      </xdr:nvCxnSpPr>
      <xdr:spPr>
        <a:xfrm flipH="1" flipV="1">
          <a:off x="1120140" y="1188720"/>
          <a:ext cx="365760" cy="342900"/>
        </a:xfrm>
        <a:prstGeom prst="straightConnector1">
          <a:avLst/>
        </a:prstGeom>
        <a:ln w="508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14</xdr:row>
      <xdr:rowOff>137160</xdr:rowOff>
    </xdr:from>
    <xdr:to>
      <xdr:col>2</xdr:col>
      <xdr:colOff>640080</xdr:colOff>
      <xdr:row>14</xdr:row>
      <xdr:rowOff>137160</xdr:rowOff>
    </xdr:to>
    <xdr:cxnSp macro="">
      <xdr:nvCxnSpPr>
        <xdr:cNvPr id="39" name="Straight Arrow Connector 38"/>
        <xdr:cNvCxnSpPr/>
      </xdr:nvCxnSpPr>
      <xdr:spPr>
        <a:xfrm>
          <a:off x="609600" y="2743200"/>
          <a:ext cx="124968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4</xdr:row>
      <xdr:rowOff>15240</xdr:rowOff>
    </xdr:from>
    <xdr:to>
      <xdr:col>3</xdr:col>
      <xdr:colOff>266700</xdr:colOff>
      <xdr:row>13</xdr:row>
      <xdr:rowOff>167640</xdr:rowOff>
    </xdr:to>
    <xdr:cxnSp macro="">
      <xdr:nvCxnSpPr>
        <xdr:cNvPr id="41" name="Straight Arrow Connector 40"/>
        <xdr:cNvCxnSpPr/>
      </xdr:nvCxnSpPr>
      <xdr:spPr>
        <a:xfrm>
          <a:off x="2141220" y="762000"/>
          <a:ext cx="0" cy="1828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160020</xdr:colOff>
      <xdr:row>9</xdr:row>
      <xdr:rowOff>95250</xdr:rowOff>
    </xdr:from>
    <xdr:to>
      <xdr:col>1</xdr:col>
      <xdr:colOff>426720</xdr:colOff>
      <xdr:row>10</xdr:row>
      <xdr:rowOff>175260</xdr:rowOff>
    </xdr:to>
    <xdr:cxnSp macro="">
      <xdr:nvCxnSpPr>
        <xdr:cNvPr id="43" name="Straight Arrow Connector 42"/>
        <xdr:cNvCxnSpPr/>
      </xdr:nvCxnSpPr>
      <xdr:spPr>
        <a:xfrm>
          <a:off x="769620" y="1390650"/>
          <a:ext cx="266700" cy="262890"/>
        </a:xfrm>
        <a:prstGeom prst="straightConnector1">
          <a:avLst/>
        </a:prstGeom>
        <a:ln w="28575">
          <a:solidFill>
            <a:schemeClr val="accent2">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2</xdr:row>
      <xdr:rowOff>144780</xdr:rowOff>
    </xdr:from>
    <xdr:to>
      <xdr:col>1</xdr:col>
      <xdr:colOff>152400</xdr:colOff>
      <xdr:row>14</xdr:row>
      <xdr:rowOff>91440</xdr:rowOff>
    </xdr:to>
    <xdr:cxnSp macro="">
      <xdr:nvCxnSpPr>
        <xdr:cNvPr id="45" name="Straight Connector 44"/>
        <xdr:cNvCxnSpPr/>
      </xdr:nvCxnSpPr>
      <xdr:spPr>
        <a:xfrm>
          <a:off x="762000" y="518160"/>
          <a:ext cx="0" cy="2179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670560</xdr:colOff>
      <xdr:row>3</xdr:row>
      <xdr:rowOff>76200</xdr:rowOff>
    </xdr:from>
    <xdr:to>
      <xdr:col>1</xdr:col>
      <xdr:colOff>167640</xdr:colOff>
      <xdr:row>3</xdr:row>
      <xdr:rowOff>76200</xdr:rowOff>
    </xdr:to>
    <xdr:cxnSp macro="">
      <xdr:nvCxnSpPr>
        <xdr:cNvPr id="50" name="Straight Arrow Connector 49"/>
        <xdr:cNvCxnSpPr/>
      </xdr:nvCxnSpPr>
      <xdr:spPr>
        <a:xfrm>
          <a:off x="670560" y="640080"/>
          <a:ext cx="22098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541020</xdr:colOff>
      <xdr:row>8</xdr:row>
      <xdr:rowOff>45720</xdr:rowOff>
    </xdr:from>
    <xdr:to>
      <xdr:col>2</xdr:col>
      <xdr:colOff>297180</xdr:colOff>
      <xdr:row>10</xdr:row>
      <xdr:rowOff>15240</xdr:rowOff>
    </xdr:to>
    <xdr:cxnSp macro="">
      <xdr:nvCxnSpPr>
        <xdr:cNvPr id="57" name="Straight Arrow Connector 56"/>
        <xdr:cNvCxnSpPr/>
      </xdr:nvCxnSpPr>
      <xdr:spPr>
        <a:xfrm flipH="1" flipV="1">
          <a:off x="1150620" y="1531620"/>
          <a:ext cx="365760" cy="342900"/>
        </a:xfrm>
        <a:prstGeom prst="straightConnector1">
          <a:avLst/>
        </a:prstGeom>
        <a:ln w="508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548640</xdr:colOff>
      <xdr:row>10</xdr:row>
      <xdr:rowOff>0</xdr:rowOff>
    </xdr:from>
    <xdr:to>
      <xdr:col>2</xdr:col>
      <xdr:colOff>304800</xdr:colOff>
      <xdr:row>11</xdr:row>
      <xdr:rowOff>152400</xdr:rowOff>
    </xdr:to>
    <xdr:cxnSp macro="">
      <xdr:nvCxnSpPr>
        <xdr:cNvPr id="58" name="Straight Arrow Connector 57"/>
        <xdr:cNvCxnSpPr/>
      </xdr:nvCxnSpPr>
      <xdr:spPr>
        <a:xfrm flipH="1" flipV="1">
          <a:off x="1158240" y="1859280"/>
          <a:ext cx="365760" cy="342900"/>
        </a:xfrm>
        <a:prstGeom prst="straightConnector1">
          <a:avLst/>
        </a:prstGeom>
        <a:ln w="508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22</xdr:row>
      <xdr:rowOff>0</xdr:rowOff>
    </xdr:from>
    <xdr:to>
      <xdr:col>5</xdr:col>
      <xdr:colOff>723900</xdr:colOff>
      <xdr:row>32</xdr:row>
      <xdr:rowOff>144780</xdr:rowOff>
    </xdr:to>
    <xdr:sp macro="" textlink="">
      <xdr:nvSpPr>
        <xdr:cNvPr id="18" name="Rectangle 17"/>
        <xdr:cNvSpPr/>
      </xdr:nvSpPr>
      <xdr:spPr>
        <a:xfrm>
          <a:off x="1470660" y="4114800"/>
          <a:ext cx="2910840" cy="20345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3</xdr:col>
      <xdr:colOff>0</xdr:colOff>
      <xdr:row>26</xdr:row>
      <xdr:rowOff>175260</xdr:rowOff>
    </xdr:from>
    <xdr:to>
      <xdr:col>5</xdr:col>
      <xdr:colOff>0</xdr:colOff>
      <xdr:row>32</xdr:row>
      <xdr:rowOff>0</xdr:rowOff>
    </xdr:to>
    <xdr:sp macro="" textlink="">
      <xdr:nvSpPr>
        <xdr:cNvPr id="19" name="Rectangle 18"/>
        <xdr:cNvSpPr/>
      </xdr:nvSpPr>
      <xdr:spPr>
        <a:xfrm>
          <a:off x="2194560" y="4846320"/>
          <a:ext cx="1463040" cy="944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7</xdr:col>
      <xdr:colOff>0</xdr:colOff>
      <xdr:row>21</xdr:row>
      <xdr:rowOff>175260</xdr:rowOff>
    </xdr:from>
    <xdr:to>
      <xdr:col>9</xdr:col>
      <xdr:colOff>0</xdr:colOff>
      <xdr:row>26</xdr:row>
      <xdr:rowOff>182880</xdr:rowOff>
    </xdr:to>
    <xdr:sp macro="" textlink="">
      <xdr:nvSpPr>
        <xdr:cNvPr id="20" name="Rectangle 19"/>
        <xdr:cNvSpPr/>
      </xdr:nvSpPr>
      <xdr:spPr>
        <a:xfrm>
          <a:off x="5120640" y="3901440"/>
          <a:ext cx="1463040" cy="95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10</xdr:col>
      <xdr:colOff>0</xdr:colOff>
      <xdr:row>21</xdr:row>
      <xdr:rowOff>175260</xdr:rowOff>
    </xdr:from>
    <xdr:to>
      <xdr:col>12</xdr:col>
      <xdr:colOff>0</xdr:colOff>
      <xdr:row>27</xdr:row>
      <xdr:rowOff>0</xdr:rowOff>
    </xdr:to>
    <xdr:sp macro="" textlink="">
      <xdr:nvSpPr>
        <xdr:cNvPr id="21" name="Rectangle 20"/>
        <xdr:cNvSpPr/>
      </xdr:nvSpPr>
      <xdr:spPr>
        <a:xfrm>
          <a:off x="7315200" y="3901440"/>
          <a:ext cx="1463040" cy="9601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3</xdr:col>
      <xdr:colOff>269631</xdr:colOff>
      <xdr:row>18</xdr:row>
      <xdr:rowOff>117231</xdr:rowOff>
    </xdr:from>
    <xdr:to>
      <xdr:col>3</xdr:col>
      <xdr:colOff>485631</xdr:colOff>
      <xdr:row>19</xdr:row>
      <xdr:rowOff>152400</xdr:rowOff>
    </xdr:to>
    <xdr:sp macro="" textlink="">
      <xdr:nvSpPr>
        <xdr:cNvPr id="34" name="Up Arrow 33"/>
        <xdr:cNvSpPr/>
      </xdr:nvSpPr>
      <xdr:spPr>
        <a:xfrm>
          <a:off x="2467708" y="3300046"/>
          <a:ext cx="216000" cy="21687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8</xdr:col>
      <xdr:colOff>252047</xdr:colOff>
      <xdr:row>18</xdr:row>
      <xdr:rowOff>117230</xdr:rowOff>
    </xdr:from>
    <xdr:to>
      <xdr:col>8</xdr:col>
      <xdr:colOff>468047</xdr:colOff>
      <xdr:row>19</xdr:row>
      <xdr:rowOff>152399</xdr:rowOff>
    </xdr:to>
    <xdr:sp macro="" textlink="">
      <xdr:nvSpPr>
        <xdr:cNvPr id="35" name="Up Arrow 34"/>
        <xdr:cNvSpPr/>
      </xdr:nvSpPr>
      <xdr:spPr>
        <a:xfrm>
          <a:off x="6113585" y="3300045"/>
          <a:ext cx="216000" cy="21687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10</xdr:col>
      <xdr:colOff>244426</xdr:colOff>
      <xdr:row>18</xdr:row>
      <xdr:rowOff>126023</xdr:rowOff>
    </xdr:from>
    <xdr:to>
      <xdr:col>10</xdr:col>
      <xdr:colOff>460426</xdr:colOff>
      <xdr:row>19</xdr:row>
      <xdr:rowOff>160315</xdr:rowOff>
    </xdr:to>
    <xdr:sp macro="" textlink="">
      <xdr:nvSpPr>
        <xdr:cNvPr id="38" name="Down Arrow 37"/>
        <xdr:cNvSpPr/>
      </xdr:nvSpPr>
      <xdr:spPr>
        <a:xfrm>
          <a:off x="7559626" y="3486443"/>
          <a:ext cx="216000" cy="2171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4</xdr:col>
      <xdr:colOff>252047</xdr:colOff>
      <xdr:row>23</xdr:row>
      <xdr:rowOff>134229</xdr:rowOff>
    </xdr:from>
    <xdr:to>
      <xdr:col>4</xdr:col>
      <xdr:colOff>468047</xdr:colOff>
      <xdr:row>24</xdr:row>
      <xdr:rowOff>154744</xdr:rowOff>
    </xdr:to>
    <xdr:sp macro="" textlink="">
      <xdr:nvSpPr>
        <xdr:cNvPr id="44" name="Up Arrow 43"/>
        <xdr:cNvSpPr/>
      </xdr:nvSpPr>
      <xdr:spPr>
        <a:xfrm>
          <a:off x="3178127" y="4241409"/>
          <a:ext cx="216000" cy="21101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l-PL" sz="1100"/>
        </a:p>
      </xdr:txBody>
    </xdr:sp>
    <xdr:clientData/>
  </xdr:twoCellAnchor>
  <xdr:twoCellAnchor>
    <xdr:from>
      <xdr:col>4</xdr:col>
      <xdr:colOff>30480</xdr:colOff>
      <xdr:row>20</xdr:row>
      <xdr:rowOff>83820</xdr:rowOff>
    </xdr:from>
    <xdr:to>
      <xdr:col>6</xdr:col>
      <xdr:colOff>662940</xdr:colOff>
      <xdr:row>22</xdr:row>
      <xdr:rowOff>167640</xdr:rowOff>
    </xdr:to>
    <xdr:cxnSp macro="">
      <xdr:nvCxnSpPr>
        <xdr:cNvPr id="47" name="Elbow Connector 46"/>
        <xdr:cNvCxnSpPr/>
      </xdr:nvCxnSpPr>
      <xdr:spPr>
        <a:xfrm rot="10800000">
          <a:off x="2956560" y="3627120"/>
          <a:ext cx="2095500" cy="457200"/>
        </a:xfrm>
        <a:prstGeom prst="bentConnector3">
          <a:avLst>
            <a:gd name="adj1" fmla="val 180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xdr:colOff>
      <xdr:row>20</xdr:row>
      <xdr:rowOff>121920</xdr:rowOff>
    </xdr:from>
    <xdr:to>
      <xdr:col>9</xdr:col>
      <xdr:colOff>594360</xdr:colOff>
      <xdr:row>22</xdr:row>
      <xdr:rowOff>175260</xdr:rowOff>
    </xdr:to>
    <xdr:cxnSp macro="">
      <xdr:nvCxnSpPr>
        <xdr:cNvPr id="54" name="Elbow Connector 53"/>
        <xdr:cNvCxnSpPr/>
      </xdr:nvCxnSpPr>
      <xdr:spPr>
        <a:xfrm rot="10800000">
          <a:off x="6598920" y="3665220"/>
          <a:ext cx="579120" cy="4267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182880</xdr:colOff>
      <xdr:row>25</xdr:row>
      <xdr:rowOff>76200</xdr:rowOff>
    </xdr:from>
    <xdr:to>
      <xdr:col>3</xdr:col>
      <xdr:colOff>15240</xdr:colOff>
      <xdr:row>27</xdr:row>
      <xdr:rowOff>144780</xdr:rowOff>
    </xdr:to>
    <xdr:cxnSp macro="">
      <xdr:nvCxnSpPr>
        <xdr:cNvPr id="67" name="Elbow Connector 66"/>
        <xdr:cNvCxnSpPr/>
      </xdr:nvCxnSpPr>
      <xdr:spPr>
        <a:xfrm flipV="1">
          <a:off x="1645920" y="4572000"/>
          <a:ext cx="563880" cy="449580"/>
        </a:xfrm>
        <a:prstGeom prst="bentConnector3">
          <a:avLst>
            <a:gd name="adj1" fmla="val 2027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114300</xdr:colOff>
      <xdr:row>21</xdr:row>
      <xdr:rowOff>53340</xdr:rowOff>
    </xdr:from>
    <xdr:to>
      <xdr:col>11</xdr:col>
      <xdr:colOff>53340</xdr:colOff>
      <xdr:row>44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38100</xdr:colOff>
      <xdr:row>1</xdr:row>
      <xdr:rowOff>0</xdr:rowOff>
    </xdr:from>
    <xdr:to>
      <xdr:col>13</xdr:col>
      <xdr:colOff>7626</xdr:colOff>
      <xdr:row>14</xdr:row>
      <xdr:rowOff>156977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24600" y="182880"/>
          <a:ext cx="3017526" cy="2542037"/>
        </a:xfrm>
        <a:prstGeom prst="rect">
          <a:avLst/>
        </a:prstGeom>
      </xdr:spPr>
    </xdr:pic>
    <xdr:clientData/>
  </xdr:twoCellAnchor>
  <xdr:twoCellAnchor editAs="oneCell">
    <xdr:from>
      <xdr:col>13</xdr:col>
      <xdr:colOff>83820</xdr:colOff>
      <xdr:row>0</xdr:row>
      <xdr:rowOff>0</xdr:rowOff>
    </xdr:from>
    <xdr:to>
      <xdr:col>16</xdr:col>
      <xdr:colOff>495304</xdr:colOff>
      <xdr:row>14</xdr:row>
      <xdr:rowOff>166121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18320" y="0"/>
          <a:ext cx="2240284" cy="2734061"/>
        </a:xfrm>
        <a:prstGeom prst="rect">
          <a:avLst/>
        </a:prstGeom>
      </xdr:spPr>
    </xdr:pic>
    <xdr:clientData/>
  </xdr:twoCellAnchor>
  <xdr:twoCellAnchor editAs="oneCell">
    <xdr:from>
      <xdr:col>7</xdr:col>
      <xdr:colOff>220980</xdr:colOff>
      <xdr:row>15</xdr:row>
      <xdr:rowOff>38100</xdr:rowOff>
    </xdr:from>
    <xdr:to>
      <xdr:col>12</xdr:col>
      <xdr:colOff>160020</xdr:colOff>
      <xdr:row>28</xdr:row>
      <xdr:rowOff>161048</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97880" y="2788920"/>
          <a:ext cx="2987040" cy="2500388"/>
        </a:xfrm>
        <a:prstGeom prst="rect">
          <a:avLst/>
        </a:prstGeom>
      </xdr:spPr>
    </xdr:pic>
    <xdr:clientData/>
  </xdr:twoCellAnchor>
  <xdr:twoCellAnchor editAs="oneCell">
    <xdr:from>
      <xdr:col>12</xdr:col>
      <xdr:colOff>96682</xdr:colOff>
      <xdr:row>15</xdr:row>
      <xdr:rowOff>38101</xdr:rowOff>
    </xdr:from>
    <xdr:to>
      <xdr:col>17</xdr:col>
      <xdr:colOff>34493</xdr:colOff>
      <xdr:row>28</xdr:row>
      <xdr:rowOff>160020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21582" y="2788921"/>
          <a:ext cx="2985811" cy="2499359"/>
        </a:xfrm>
        <a:prstGeom prst="rect">
          <a:avLst/>
        </a:prstGeom>
      </xdr:spPr>
    </xdr:pic>
    <xdr:clientData/>
  </xdr:twoCellAnchor>
  <xdr:twoCellAnchor editAs="oneCell">
    <xdr:from>
      <xdr:col>23</xdr:col>
      <xdr:colOff>472440</xdr:colOff>
      <xdr:row>23</xdr:row>
      <xdr:rowOff>7620</xdr:rowOff>
    </xdr:from>
    <xdr:to>
      <xdr:col>28</xdr:col>
      <xdr:colOff>286518</xdr:colOff>
      <xdr:row>42</xdr:row>
      <xdr:rowOff>144787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902940" y="4221480"/>
          <a:ext cx="2862078" cy="3611887"/>
        </a:xfrm>
        <a:prstGeom prst="rect">
          <a:avLst/>
        </a:prstGeom>
      </xdr:spPr>
    </xdr:pic>
    <xdr:clientData/>
  </xdr:twoCellAnchor>
  <xdr:twoCellAnchor editAs="oneCell">
    <xdr:from>
      <xdr:col>16</xdr:col>
      <xdr:colOff>464820</xdr:colOff>
      <xdr:row>0</xdr:row>
      <xdr:rowOff>0</xdr:rowOff>
    </xdr:from>
    <xdr:to>
      <xdr:col>23</xdr:col>
      <xdr:colOff>112395</xdr:colOff>
      <xdr:row>12</xdr:row>
      <xdr:rowOff>83820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628120" y="0"/>
          <a:ext cx="3914775" cy="2286000"/>
        </a:xfrm>
        <a:prstGeom prst="rect">
          <a:avLst/>
        </a:prstGeom>
      </xdr:spPr>
    </xdr:pic>
    <xdr:clientData/>
  </xdr:twoCellAnchor>
  <xdr:twoCellAnchor editAs="oneCell">
    <xdr:from>
      <xdr:col>16</xdr:col>
      <xdr:colOff>472440</xdr:colOff>
      <xdr:row>10</xdr:row>
      <xdr:rowOff>111899</xdr:rowOff>
    </xdr:from>
    <xdr:to>
      <xdr:col>23</xdr:col>
      <xdr:colOff>94755</xdr:colOff>
      <xdr:row>23</xdr:row>
      <xdr:rowOff>5708</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635740" y="1948319"/>
          <a:ext cx="3889515" cy="2271249"/>
        </a:xfrm>
        <a:prstGeom prst="rect">
          <a:avLst/>
        </a:prstGeom>
      </xdr:spPr>
    </xdr:pic>
    <xdr:clientData/>
  </xdr:twoCellAnchor>
  <xdr:twoCellAnchor editAs="oneCell">
    <xdr:from>
      <xdr:col>17</xdr:col>
      <xdr:colOff>7620</xdr:colOff>
      <xdr:row>22</xdr:row>
      <xdr:rowOff>106680</xdr:rowOff>
    </xdr:from>
    <xdr:to>
      <xdr:col>23</xdr:col>
      <xdr:colOff>369570</xdr:colOff>
      <xdr:row>37</xdr:row>
      <xdr:rowOff>11430</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780520" y="4137660"/>
          <a:ext cx="4019550" cy="2647950"/>
        </a:xfrm>
        <a:prstGeom prst="rect">
          <a:avLst/>
        </a:prstGeom>
      </xdr:spPr>
    </xdr:pic>
    <xdr:clientData/>
  </xdr:twoCellAnchor>
  <xdr:twoCellAnchor editAs="oneCell">
    <xdr:from>
      <xdr:col>23</xdr:col>
      <xdr:colOff>470041</xdr:colOff>
      <xdr:row>11</xdr:row>
      <xdr:rowOff>66180</xdr:rowOff>
    </xdr:from>
    <xdr:to>
      <xdr:col>29</xdr:col>
      <xdr:colOff>535587</xdr:colOff>
      <xdr:row>23</xdr:row>
      <xdr:rowOff>45720</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900541" y="2085480"/>
          <a:ext cx="3723146" cy="2174100"/>
        </a:xfrm>
        <a:prstGeom prst="rect">
          <a:avLst/>
        </a:prstGeom>
      </xdr:spPr>
    </xdr:pic>
    <xdr:clientData/>
  </xdr:twoCellAnchor>
  <xdr:twoCellAnchor editAs="oneCell">
    <xdr:from>
      <xdr:col>22</xdr:col>
      <xdr:colOff>566700</xdr:colOff>
      <xdr:row>0</xdr:row>
      <xdr:rowOff>33300</xdr:rowOff>
    </xdr:from>
    <xdr:to>
      <xdr:col>29</xdr:col>
      <xdr:colOff>414300</xdr:colOff>
      <xdr:row>12</xdr:row>
      <xdr:rowOff>117120</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387600" y="33300"/>
          <a:ext cx="4114800" cy="2286000"/>
        </a:xfrm>
        <a:prstGeom prst="rect">
          <a:avLst/>
        </a:prstGeom>
      </xdr:spPr>
    </xdr:pic>
    <xdr:clientData/>
  </xdr:twoCellAnchor>
  <xdr:twoCellAnchor editAs="oneCell">
    <xdr:from>
      <xdr:col>6</xdr:col>
      <xdr:colOff>472860</xdr:colOff>
      <xdr:row>29</xdr:row>
      <xdr:rowOff>23280</xdr:rowOff>
    </xdr:from>
    <xdr:to>
      <xdr:col>14</xdr:col>
      <xdr:colOff>427188</xdr:colOff>
      <xdr:row>59</xdr:row>
      <xdr:rowOff>130316</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540160" y="5334420"/>
          <a:ext cx="4831128" cy="5593436"/>
        </a:xfrm>
        <a:prstGeom prst="rect">
          <a:avLst/>
        </a:prstGeom>
      </xdr:spPr>
    </xdr:pic>
    <xdr:clientData/>
  </xdr:twoCellAnchor>
  <xdr:twoCellAnchor editAs="oneCell">
    <xdr:from>
      <xdr:col>15</xdr:col>
      <xdr:colOff>20880</xdr:colOff>
      <xdr:row>41</xdr:row>
      <xdr:rowOff>74220</xdr:rowOff>
    </xdr:from>
    <xdr:to>
      <xdr:col>29</xdr:col>
      <xdr:colOff>577832</xdr:colOff>
      <xdr:row>83</xdr:row>
      <xdr:rowOff>165660</xdr:rowOff>
    </xdr:to>
    <xdr:pic>
      <xdr:nvPicPr>
        <xdr:cNvPr id="13" name="Pictur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574580" y="7579920"/>
          <a:ext cx="9091352" cy="7772400"/>
        </a:xfrm>
        <a:prstGeom prst="rect">
          <a:avLst/>
        </a:prstGeom>
      </xdr:spPr>
    </xdr:pic>
    <xdr:clientData/>
  </xdr:twoCellAnchor>
  <xdr:twoCellAnchor editAs="oneCell">
    <xdr:from>
      <xdr:col>0</xdr:col>
      <xdr:colOff>0</xdr:colOff>
      <xdr:row>38</xdr:row>
      <xdr:rowOff>68580</xdr:rowOff>
    </xdr:from>
    <xdr:to>
      <xdr:col>6</xdr:col>
      <xdr:colOff>474449</xdr:colOff>
      <xdr:row>64</xdr:row>
      <xdr:rowOff>175260</xdr:rowOff>
    </xdr:to>
    <xdr:pic>
      <xdr:nvPicPr>
        <xdr:cNvPr id="14" name="Picture 13" descr="singular pressure loss, local resistance, oblong duct, equivalent diameter, surface roughness facto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7025640"/>
          <a:ext cx="5541749" cy="486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Data_files\4615\4615_ventilation_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Blank"/>
      <sheetName val="Rules &amp; Regulations"/>
      <sheetName val="All rooms"/>
      <sheetName val="Wh AC room"/>
      <sheetName val="Acc. AC room 1"/>
      <sheetName val="Acc. AC room 2"/>
      <sheetName val="HPU room"/>
      <sheetName val="Instruments room"/>
      <sheetName val="Em. gen. room"/>
      <sheetName val="Winch hang. PS"/>
      <sheetName val="Bell hangar"/>
      <sheetName val="Winch hang. SB"/>
      <sheetName val="Provision cooling plant"/>
      <sheetName val="HPP Davit PS,SB"/>
      <sheetName val="Drive cont. room PS,SB"/>
      <sheetName val="Diving control room"/>
      <sheetName val="Thruster room 1"/>
      <sheetName val="Thruster room 2"/>
      <sheetName val="Thruster room 3"/>
      <sheetName val="General store"/>
      <sheetName val="Forecastle stores"/>
      <sheetName val="Paint store"/>
      <sheetName val="COSHH"/>
      <sheetName val="Store on A-deck SB"/>
      <sheetName val="Dive tech. mech. workshop"/>
      <sheetName val="Incinerator room"/>
      <sheetName val="Store on A-deck fore"/>
      <sheetName val="Store on 1st deck fore"/>
      <sheetName val="ER1"/>
      <sheetName val="ER2"/>
      <sheetName val="ER3"/>
      <sheetName val="Provision plant room"/>
      <sheetName val="Aux. machinery room"/>
      <sheetName val="ECU's room"/>
      <sheetName val="Switchboard 2,3"/>
      <sheetName val="Dive chamber room"/>
      <sheetName val="Gas management room"/>
      <sheetName val="Bottles store"/>
      <sheetName val="Project rov gen store"/>
      <sheetName val="Propulsion sea chest"/>
      <sheetName val="Prop. room 1"/>
      <sheetName val="Prop. room 2"/>
      <sheetName val="Prop. room 3"/>
      <sheetName val="OBSROV hangar"/>
      <sheetName val="Stairway #148"/>
      <sheetName val="Ship laundry"/>
      <sheetName val="cable heat load"/>
      <sheetName val="2.1"/>
      <sheetName val="2.2"/>
      <sheetName val="2.3"/>
      <sheetName val="2.4"/>
      <sheetName val="2.5"/>
      <sheetName val="3.2"/>
      <sheetName val="3.3"/>
      <sheetName val="3.4"/>
      <sheetName val="3.5"/>
    </sheetNames>
    <sheetDataSet>
      <sheetData sheetId="0">
        <row r="1">
          <cell r="A1" t="str">
            <v>Supply</v>
          </cell>
          <cell r="C1" t="str">
            <v>T-Top</v>
          </cell>
        </row>
        <row r="2">
          <cell r="C2" t="str">
            <v>3rd deck</v>
          </cell>
        </row>
        <row r="3">
          <cell r="C3" t="str">
            <v>2nd deck</v>
          </cell>
        </row>
        <row r="4">
          <cell r="C4" t="str">
            <v>1st deck</v>
          </cell>
        </row>
        <row r="5">
          <cell r="C5" t="str">
            <v>A - deck</v>
          </cell>
        </row>
        <row r="6">
          <cell r="C6" t="str">
            <v>B - deck</v>
          </cell>
        </row>
        <row r="7">
          <cell r="C7" t="str">
            <v>C - deck</v>
          </cell>
        </row>
        <row r="8">
          <cell r="C8" t="str">
            <v>D - deck</v>
          </cell>
        </row>
        <row r="9">
          <cell r="C9" t="str">
            <v>E - deck</v>
          </cell>
        </row>
        <row r="10">
          <cell r="C10" t="str">
            <v>F - deck</v>
          </cell>
        </row>
        <row r="11">
          <cell r="C11" t="str">
            <v>Bridge deck</v>
          </cell>
        </row>
        <row r="12">
          <cell r="C12" t="str">
            <v>TOW</v>
          </cell>
        </row>
        <row r="13">
          <cell r="C13" t="str">
            <v>Above TOW</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7.bin"/><Relationship Id="rId5" Type="http://schemas.openxmlformats.org/officeDocument/2006/relationships/image" Target="../media/image17.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cubaengineer.com/"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0.bin"/><Relationship Id="rId1" Type="http://schemas.openxmlformats.org/officeDocument/2006/relationships/hyperlink" Target="http://webbook.nist.gov/cgi/fluid.cgi?ID=C1333740&amp;Action=Page"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3" Type="http://schemas.openxmlformats.org/officeDocument/2006/relationships/hyperlink" Target="http://www.kummetat.de/download/DIN488-1.pdf" TargetMode="External"/><Relationship Id="rId2" Type="http://schemas.openxmlformats.org/officeDocument/2006/relationships/hyperlink" Target="http://www.metallograf.de/start.htm?werkstoffkartei/0116/0116.htm" TargetMode="External"/><Relationship Id="rId1" Type="http://schemas.openxmlformats.org/officeDocument/2006/relationships/hyperlink" Target="http://www.metallograf.de/start.htm?werkstoffkartei/0037/0037.htm" TargetMode="External"/><Relationship Id="rId6" Type="http://schemas.openxmlformats.org/officeDocument/2006/relationships/hyperlink" Target="http://www.metallograf.de/start.htm?werkstoffkartei/0569/0569.htm" TargetMode="External"/><Relationship Id="rId5" Type="http://schemas.openxmlformats.org/officeDocument/2006/relationships/hyperlink" Target="http://www.metallograf.de/start.htm?werkstoffkartei/0562/0562.htm" TargetMode="External"/><Relationship Id="rId4" Type="http://schemas.openxmlformats.org/officeDocument/2006/relationships/hyperlink" Target="http://www.metallograf.de/start.htm?werkstoffkartei/0511/0511.htm"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www.engineeringtoolbox.com/conductive-heat-transfer-d_428.html" TargetMode="External"/><Relationship Id="rId7" Type="http://schemas.openxmlformats.org/officeDocument/2006/relationships/hyperlink" Target="http://www.engineeringtoolbox.com/temperature-d_291.html" TargetMode="External"/><Relationship Id="rId2" Type="http://schemas.openxmlformats.org/officeDocument/2006/relationships/hyperlink" Target="http://www.engineeringtoolbox.com/dynamic-absolute-kinematic-viscosity-d_412.html" TargetMode="External"/><Relationship Id="rId1" Type="http://schemas.openxmlformats.org/officeDocument/2006/relationships/hyperlink" Target="http://www.engineeringtoolbox.com/specific-heat-ratio-d_608.html" TargetMode="External"/><Relationship Id="rId6" Type="http://schemas.openxmlformats.org/officeDocument/2006/relationships/hyperlink" Target="http://www.engineeringtoolbox.com/temperature-d_291.html" TargetMode="External"/><Relationship Id="rId5" Type="http://schemas.openxmlformats.org/officeDocument/2006/relationships/hyperlink" Target="http://www.engineeringtoolbox.com/density-specific-weight-gravity-d_290.html" TargetMode="External"/><Relationship Id="rId4" Type="http://schemas.openxmlformats.org/officeDocument/2006/relationships/hyperlink" Target="http://www.engineeringtoolbox.com/dynamic-absolute-kinematic-viscosity-d_412.html" TargetMode="Externa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8"/>
  <sheetViews>
    <sheetView topLeftCell="D1" workbookViewId="0">
      <selection activeCell="F3" sqref="F3"/>
    </sheetView>
  </sheetViews>
  <sheetFormatPr defaultRowHeight="14.4"/>
  <cols>
    <col min="1" max="3" width="8.88671875" hidden="1" customWidth="1"/>
  </cols>
  <sheetData>
    <row r="1" spans="1:10">
      <c r="A1" t="s">
        <v>2</v>
      </c>
      <c r="B1">
        <v>0</v>
      </c>
      <c r="C1">
        <v>1000</v>
      </c>
    </row>
    <row r="2" spans="1:10">
      <c r="A2" t="s">
        <v>3</v>
      </c>
      <c r="B2">
        <v>1500</v>
      </c>
      <c r="C2">
        <v>3000</v>
      </c>
      <c r="E2">
        <v>3000</v>
      </c>
      <c r="F2" s="172">
        <f>E2-E7</f>
        <v>416.51882143492276</v>
      </c>
    </row>
    <row r="3" spans="1:10">
      <c r="A3" t="s">
        <v>4</v>
      </c>
      <c r="B3">
        <v>3000</v>
      </c>
      <c r="C3">
        <v>4500</v>
      </c>
    </row>
    <row r="4" spans="1:10" ht="15" thickBot="1">
      <c r="A4" t="s">
        <v>5</v>
      </c>
      <c r="B4">
        <v>6000</v>
      </c>
      <c r="C4">
        <v>7500</v>
      </c>
    </row>
    <row r="5" spans="1:10" ht="15" thickBot="1">
      <c r="H5" s="1" t="s">
        <v>6</v>
      </c>
      <c r="I5" s="3" t="s">
        <v>3</v>
      </c>
    </row>
    <row r="6" spans="1:10" ht="15" thickBot="1">
      <c r="F6" s="11">
        <f>G10-J9+E10</f>
        <v>1475</v>
      </c>
    </row>
    <row r="7" spans="1:10" ht="15" thickBot="1">
      <c r="D7" s="9" t="s">
        <v>9</v>
      </c>
      <c r="E7" s="12">
        <f>SQRT((G10^2)-((J9-E10)^2))</f>
        <v>2583.4811785650772</v>
      </c>
      <c r="I7" s="2"/>
      <c r="J7" t="s">
        <v>7</v>
      </c>
    </row>
    <row r="8" spans="1:10" ht="15" thickBot="1"/>
    <row r="9" spans="1:10" ht="15" thickBot="1">
      <c r="F9" s="1" t="s">
        <v>0</v>
      </c>
      <c r="G9" s="7">
        <f>VLOOKUP(I5,A1:C4,2,FALSE)</f>
        <v>1500</v>
      </c>
      <c r="H9" s="1" t="s">
        <v>11</v>
      </c>
      <c r="I9" s="4">
        <v>3575</v>
      </c>
      <c r="J9" s="6">
        <f>IF(I9&gt;0,I9,I7-I11)</f>
        <v>3575</v>
      </c>
    </row>
    <row r="10" spans="1:10" ht="15" thickBot="1">
      <c r="D10" s="1" t="s">
        <v>8</v>
      </c>
      <c r="E10" s="10">
        <v>2050</v>
      </c>
      <c r="F10" s="1" t="s">
        <v>1</v>
      </c>
      <c r="G10" s="8">
        <f>VLOOKUP(I5,A1:C4,3,FALSE)</f>
        <v>3000</v>
      </c>
    </row>
    <row r="11" spans="1:10" ht="15" thickBot="1">
      <c r="I11" s="2"/>
      <c r="J11" t="s">
        <v>7</v>
      </c>
    </row>
    <row r="12" spans="1:10" ht="15" thickBot="1">
      <c r="D12" s="9" t="s">
        <v>10</v>
      </c>
      <c r="E12" s="12">
        <f>SQRT((G10^2)-(E10^2))</f>
        <v>2190.3196113809508</v>
      </c>
    </row>
    <row r="13" spans="1:10" ht="15" thickBot="1">
      <c r="F13" s="6">
        <f>G10-E10</f>
        <v>950</v>
      </c>
    </row>
    <row r="18" spans="9:9">
      <c r="I18" s="5"/>
    </row>
  </sheetData>
  <dataValidations disablePrompts="1" count="1">
    <dataValidation type="list" allowBlank="1" showInputMessage="1" showErrorMessage="1" sqref="I5">
      <formula1>$A$1:$A$4</formula1>
    </dataValidation>
  </dataValidations>
  <pageMargins left="0.7" right="0.7" top="0.75" bottom="0.75" header="0.3" footer="0.3"/>
  <pageSetup paperSize="9" orientation="portrait" horizont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Q35"/>
  <sheetViews>
    <sheetView zoomScale="88" zoomScaleNormal="88" workbookViewId="0">
      <selection activeCell="K38" sqref="K38"/>
    </sheetView>
  </sheetViews>
  <sheetFormatPr defaultRowHeight="13.2"/>
  <cols>
    <col min="1" max="1" width="36" style="417" bestFit="1" customWidth="1"/>
    <col min="2" max="7" width="9.77734375" style="417" customWidth="1"/>
    <col min="8" max="8" width="8.88671875" style="417"/>
    <col min="9" max="17" width="9.33203125" style="417" bestFit="1" customWidth="1"/>
    <col min="18" max="16384" width="8.88671875" style="417"/>
  </cols>
  <sheetData>
    <row r="1" spans="1:17" ht="13.8" thickBot="1">
      <c r="A1" s="433"/>
    </row>
    <row r="2" spans="1:17" ht="13.8" thickBot="1">
      <c r="A2" s="431" t="s">
        <v>854</v>
      </c>
      <c r="B2" s="480">
        <v>101.3</v>
      </c>
      <c r="C2" s="417" t="s">
        <v>855</v>
      </c>
    </row>
    <row r="3" spans="1:17" ht="13.8" thickBot="1">
      <c r="A3" s="431" t="s">
        <v>854</v>
      </c>
      <c r="B3" s="481">
        <f>B2*1000</f>
        <v>101300</v>
      </c>
      <c r="C3" s="417" t="s">
        <v>853</v>
      </c>
    </row>
    <row r="4" spans="1:17">
      <c r="A4" s="474" t="s">
        <v>852</v>
      </c>
      <c r="B4" s="442"/>
    </row>
    <row r="5" spans="1:17">
      <c r="A5" s="431"/>
      <c r="B5" s="442"/>
    </row>
    <row r="6" spans="1:17">
      <c r="A6" s="471" t="s">
        <v>849</v>
      </c>
      <c r="B6" s="473">
        <v>33</v>
      </c>
      <c r="C6" s="473">
        <v>33</v>
      </c>
      <c r="D6" s="473">
        <v>33</v>
      </c>
      <c r="E6" s="473">
        <v>33</v>
      </c>
      <c r="F6" s="473">
        <v>33</v>
      </c>
      <c r="G6" s="473">
        <v>33</v>
      </c>
    </row>
    <row r="7" spans="1:17">
      <c r="A7" s="471" t="s">
        <v>846</v>
      </c>
      <c r="B7" s="473">
        <v>23</v>
      </c>
      <c r="C7" s="473">
        <v>21</v>
      </c>
      <c r="D7" s="473">
        <v>25</v>
      </c>
      <c r="E7" s="473">
        <v>23</v>
      </c>
      <c r="F7" s="473">
        <v>23</v>
      </c>
      <c r="G7" s="473">
        <v>23</v>
      </c>
    </row>
    <row r="8" spans="1:17">
      <c r="A8" s="465" t="s">
        <v>848</v>
      </c>
      <c r="B8" s="469">
        <f t="shared" ref="B8:G8" si="0">Patm</f>
        <v>101300</v>
      </c>
      <c r="C8" s="469">
        <f t="shared" si="0"/>
        <v>101300</v>
      </c>
      <c r="D8" s="469">
        <f t="shared" si="0"/>
        <v>101300</v>
      </c>
      <c r="E8" s="469">
        <f t="shared" si="0"/>
        <v>101300</v>
      </c>
      <c r="F8" s="469">
        <f t="shared" si="0"/>
        <v>101300</v>
      </c>
      <c r="G8" s="469">
        <f t="shared" si="0"/>
        <v>101300</v>
      </c>
    </row>
    <row r="9" spans="1:17">
      <c r="A9" s="465" t="s">
        <v>847</v>
      </c>
      <c r="B9" s="476" t="e">
        <f t="shared" ref="B9:G9" ca="1" si="1">fW_DBT_WBT_P(B$6,B$7,Patm)</f>
        <v>#NAME?</v>
      </c>
      <c r="C9" s="476" t="e">
        <f t="shared" ca="1" si="1"/>
        <v>#NAME?</v>
      </c>
      <c r="D9" s="476" t="e">
        <f t="shared" ca="1" si="1"/>
        <v>#NAME?</v>
      </c>
      <c r="E9" s="476" t="e">
        <f t="shared" ca="1" si="1"/>
        <v>#NAME?</v>
      </c>
      <c r="F9" s="476" t="e">
        <f t="shared" ca="1" si="1"/>
        <v>#NAME?</v>
      </c>
      <c r="G9" s="476" t="e">
        <f t="shared" ca="1" si="1"/>
        <v>#NAME?</v>
      </c>
    </row>
    <row r="10" spans="1:17">
      <c r="A10" s="465" t="s">
        <v>842</v>
      </c>
      <c r="B10" s="464" t="e">
        <f t="shared" ref="B10:G10" ca="1" si="2">100*fRHdec_DBT_WBT_P(B$6,B$7,Patm)</f>
        <v>#NAME?</v>
      </c>
      <c r="C10" s="464" t="e">
        <f t="shared" ca="1" si="2"/>
        <v>#NAME?</v>
      </c>
      <c r="D10" s="464" t="e">
        <f t="shared" ca="1" si="2"/>
        <v>#NAME?</v>
      </c>
      <c r="E10" s="464" t="e">
        <f t="shared" ca="1" si="2"/>
        <v>#NAME?</v>
      </c>
      <c r="F10" s="464" t="e">
        <f t="shared" ca="1" si="2"/>
        <v>#NAME?</v>
      </c>
      <c r="G10" s="464" t="e">
        <f t="shared" ca="1" si="2"/>
        <v>#NAME?</v>
      </c>
    </row>
    <row r="11" spans="1:17">
      <c r="A11" s="465" t="s">
        <v>845</v>
      </c>
      <c r="B11" s="464" t="e">
        <f t="shared" ref="B11:G11" ca="1" si="3">fDPT_DBT_WBT_P(B$6,B$7,Patm)</f>
        <v>#NAME?</v>
      </c>
      <c r="C11" s="464" t="e">
        <f t="shared" ca="1" si="3"/>
        <v>#NAME?</v>
      </c>
      <c r="D11" s="464" t="e">
        <f t="shared" ca="1" si="3"/>
        <v>#NAME?</v>
      </c>
      <c r="E11" s="464" t="e">
        <f t="shared" ca="1" si="3"/>
        <v>#NAME?</v>
      </c>
      <c r="F11" s="464" t="e">
        <f t="shared" ca="1" si="3"/>
        <v>#NAME?</v>
      </c>
      <c r="G11" s="464" t="e">
        <f t="shared" ca="1" si="3"/>
        <v>#NAME?</v>
      </c>
    </row>
    <row r="12" spans="1:17">
      <c r="A12" s="465" t="s">
        <v>844</v>
      </c>
      <c r="B12" s="466" t="e">
        <f t="shared" ref="B12:G12" ca="1" si="4">fv_DBT_WBT_P(B$6,B$7,Patm)</f>
        <v>#NAME?</v>
      </c>
      <c r="C12" s="466" t="e">
        <f t="shared" ca="1" si="4"/>
        <v>#NAME?</v>
      </c>
      <c r="D12" s="466" t="e">
        <f t="shared" ca="1" si="4"/>
        <v>#NAME?</v>
      </c>
      <c r="E12" s="466" t="e">
        <f t="shared" ca="1" si="4"/>
        <v>#NAME?</v>
      </c>
      <c r="F12" s="466" t="e">
        <f t="shared" ca="1" si="4"/>
        <v>#NAME?</v>
      </c>
      <c r="G12" s="466" t="e">
        <f t="shared" ca="1" si="4"/>
        <v>#NAME?</v>
      </c>
    </row>
    <row r="13" spans="1:17">
      <c r="A13" s="465" t="s">
        <v>843</v>
      </c>
      <c r="B13" s="466" t="e">
        <f t="shared" ref="B13:G13" ca="1" si="5">fh_DBT_WBT_P(B$6,B$7,Patm)</f>
        <v>#NAME?</v>
      </c>
      <c r="C13" s="466" t="e">
        <f t="shared" ca="1" si="5"/>
        <v>#NAME?</v>
      </c>
      <c r="D13" s="466" t="e">
        <f t="shared" ca="1" si="5"/>
        <v>#NAME?</v>
      </c>
      <c r="E13" s="466" t="e">
        <f t="shared" ca="1" si="5"/>
        <v>#NAME?</v>
      </c>
      <c r="F13" s="466" t="e">
        <f t="shared" ca="1" si="5"/>
        <v>#NAME?</v>
      </c>
      <c r="G13" s="466" t="e">
        <f t="shared" ca="1" si="5"/>
        <v>#NAME?</v>
      </c>
    </row>
    <row r="14" spans="1:17" s="442" customFormat="1"/>
    <row r="15" spans="1:17">
      <c r="A15" s="474" t="s">
        <v>850</v>
      </c>
      <c r="B15" s="442"/>
      <c r="C15" s="462"/>
      <c r="D15" s="478"/>
      <c r="E15" s="479"/>
      <c r="F15" s="462"/>
      <c r="G15" s="462"/>
      <c r="H15" s="462"/>
      <c r="I15" s="462"/>
      <c r="J15" s="462"/>
      <c r="K15" s="462"/>
      <c r="L15" s="462"/>
      <c r="M15" s="462"/>
      <c r="N15" s="462"/>
      <c r="O15" s="462"/>
      <c r="P15" s="462"/>
      <c r="Q15" s="462"/>
    </row>
    <row r="16" spans="1:17">
      <c r="A16" s="431"/>
      <c r="B16" s="442"/>
      <c r="D16" s="419"/>
      <c r="E16" s="479"/>
    </row>
    <row r="17" spans="1:17">
      <c r="A17" s="471" t="s">
        <v>849</v>
      </c>
      <c r="B17" s="473">
        <v>35</v>
      </c>
      <c r="C17" s="473">
        <v>35</v>
      </c>
      <c r="D17" s="473">
        <v>35</v>
      </c>
      <c r="E17" s="473">
        <v>35</v>
      </c>
      <c r="F17" s="473">
        <v>35</v>
      </c>
      <c r="G17" s="473">
        <v>35</v>
      </c>
    </row>
    <row r="18" spans="1:17">
      <c r="A18" s="471" t="s">
        <v>847</v>
      </c>
      <c r="B18" s="472">
        <v>0.01</v>
      </c>
      <c r="C18" s="472">
        <v>0.02</v>
      </c>
      <c r="D18" s="472">
        <v>0.01</v>
      </c>
      <c r="E18" s="472">
        <v>0.01</v>
      </c>
      <c r="F18" s="472">
        <v>0.01</v>
      </c>
      <c r="G18" s="472">
        <v>0.01</v>
      </c>
      <c r="H18" s="442"/>
      <c r="I18" s="442"/>
      <c r="J18" s="442"/>
      <c r="K18" s="442"/>
      <c r="L18" s="442"/>
      <c r="M18" s="442"/>
      <c r="N18" s="442"/>
      <c r="O18" s="442"/>
      <c r="P18" s="442"/>
      <c r="Q18" s="442"/>
    </row>
    <row r="19" spans="1:17">
      <c r="A19" s="465" t="s">
        <v>848</v>
      </c>
      <c r="B19" s="469">
        <f t="shared" ref="B19:G19" si="6">Patm</f>
        <v>101300</v>
      </c>
      <c r="C19" s="469">
        <f t="shared" si="6"/>
        <v>101300</v>
      </c>
      <c r="D19" s="469">
        <f t="shared" si="6"/>
        <v>101300</v>
      </c>
      <c r="E19" s="469">
        <f t="shared" si="6"/>
        <v>101300</v>
      </c>
      <c r="F19" s="469">
        <f t="shared" si="6"/>
        <v>101300</v>
      </c>
      <c r="G19" s="469">
        <f t="shared" si="6"/>
        <v>101300</v>
      </c>
      <c r="H19" s="470"/>
      <c r="I19" s="470"/>
      <c r="J19" s="470"/>
      <c r="K19" s="470"/>
      <c r="L19" s="470"/>
      <c r="M19" s="470"/>
      <c r="N19" s="470"/>
      <c r="O19" s="470"/>
      <c r="P19" s="470"/>
      <c r="Q19" s="470"/>
    </row>
    <row r="20" spans="1:17">
      <c r="A20" s="465" t="s">
        <v>842</v>
      </c>
      <c r="B20" s="464" t="e">
        <f ca="1">100*fRHdec_DBT_W_P(B$17,B$18,Patm)</f>
        <v>#NAME?</v>
      </c>
      <c r="C20" s="464" t="e">
        <f t="shared" ref="C20:G20" ca="1" si="7">100*fRHdec_DBT_W_P(C$17,C$18,Patm)</f>
        <v>#NAME?</v>
      </c>
      <c r="D20" s="464" t="e">
        <f t="shared" ca="1" si="7"/>
        <v>#NAME?</v>
      </c>
      <c r="E20" s="464" t="e">
        <f t="shared" ca="1" si="7"/>
        <v>#NAME?</v>
      </c>
      <c r="F20" s="464" t="e">
        <f t="shared" ca="1" si="7"/>
        <v>#NAME?</v>
      </c>
      <c r="G20" s="464" t="e">
        <f t="shared" ca="1" si="7"/>
        <v>#NAME?</v>
      </c>
    </row>
    <row r="21" spans="1:17">
      <c r="A21" s="468" t="s">
        <v>846</v>
      </c>
      <c r="B21" s="464"/>
      <c r="C21" s="464"/>
      <c r="D21" s="464"/>
      <c r="E21" s="464"/>
      <c r="F21" s="464"/>
      <c r="G21" s="464"/>
      <c r="H21" s="442"/>
      <c r="I21" s="442"/>
      <c r="J21" s="442"/>
      <c r="K21" s="442"/>
      <c r="L21" s="442"/>
      <c r="M21" s="442"/>
      <c r="N21" s="442"/>
      <c r="O21" s="442"/>
      <c r="P21" s="442"/>
      <c r="Q21" s="442"/>
    </row>
    <row r="22" spans="1:17">
      <c r="A22" s="465" t="s">
        <v>845</v>
      </c>
      <c r="B22" s="464" t="e">
        <f t="shared" ref="B22:G22" ca="1" si="8">fDPT_DBT_W_P(B$17,B$18,Patm)</f>
        <v>#NAME?</v>
      </c>
      <c r="C22" s="464" t="e">
        <f t="shared" ca="1" si="8"/>
        <v>#NAME?</v>
      </c>
      <c r="D22" s="464" t="e">
        <f t="shared" ca="1" si="8"/>
        <v>#NAME?</v>
      </c>
      <c r="E22" s="464" t="e">
        <f t="shared" ca="1" si="8"/>
        <v>#NAME?</v>
      </c>
      <c r="F22" s="464" t="e">
        <f t="shared" ca="1" si="8"/>
        <v>#NAME?</v>
      </c>
      <c r="G22" s="464" t="e">
        <f t="shared" ca="1" si="8"/>
        <v>#NAME?</v>
      </c>
      <c r="H22" s="467"/>
      <c r="I22" s="467"/>
      <c r="J22" s="467"/>
      <c r="K22" s="467"/>
      <c r="L22" s="467"/>
      <c r="M22" s="467"/>
      <c r="N22" s="467"/>
      <c r="O22" s="467"/>
      <c r="P22" s="467"/>
      <c r="Q22" s="467"/>
    </row>
    <row r="23" spans="1:17">
      <c r="A23" s="465" t="s">
        <v>844</v>
      </c>
      <c r="B23" s="466" t="e">
        <f t="shared" ref="B23:G23" ca="1" si="9">fv_DBT_W_P(B$17,B$18,Patm)</f>
        <v>#NAME?</v>
      </c>
      <c r="C23" s="466" t="e">
        <f t="shared" ca="1" si="9"/>
        <v>#NAME?</v>
      </c>
      <c r="D23" s="466" t="e">
        <f t="shared" ca="1" si="9"/>
        <v>#NAME?</v>
      </c>
      <c r="E23" s="466" t="e">
        <f t="shared" ca="1" si="9"/>
        <v>#NAME?</v>
      </c>
      <c r="F23" s="466" t="e">
        <f t="shared" ca="1" si="9"/>
        <v>#NAME?</v>
      </c>
      <c r="G23" s="466" t="e">
        <f t="shared" ca="1" si="9"/>
        <v>#NAME?</v>
      </c>
    </row>
    <row r="24" spans="1:17">
      <c r="A24" s="465" t="s">
        <v>843</v>
      </c>
      <c r="B24" s="464" t="e">
        <f t="shared" ref="B24:G24" ca="1" si="10">fh_DBT_W_P(B$17,B$18,Patm)</f>
        <v>#NAME?</v>
      </c>
      <c r="C24" s="464" t="e">
        <f t="shared" ca="1" si="10"/>
        <v>#NAME?</v>
      </c>
      <c r="D24" s="464" t="e">
        <f t="shared" ca="1" si="10"/>
        <v>#NAME?</v>
      </c>
      <c r="E24" s="464" t="e">
        <f t="shared" ca="1" si="10"/>
        <v>#NAME?</v>
      </c>
      <c r="F24" s="464" t="e">
        <f t="shared" ca="1" si="10"/>
        <v>#NAME?</v>
      </c>
      <c r="G24" s="464" t="e">
        <f t="shared" ca="1" si="10"/>
        <v>#NAME?</v>
      </c>
    </row>
    <row r="25" spans="1:17">
      <c r="A25" s="442"/>
      <c r="B25" s="442"/>
      <c r="C25" s="442"/>
      <c r="D25" s="442"/>
      <c r="E25" s="442"/>
      <c r="F25" s="442"/>
      <c r="G25" s="442"/>
      <c r="H25" s="442"/>
      <c r="I25" s="442"/>
      <c r="J25" s="442"/>
      <c r="K25" s="442"/>
      <c r="L25" s="442"/>
      <c r="M25" s="442"/>
      <c r="N25" s="442"/>
      <c r="O25" s="442"/>
      <c r="P25" s="442"/>
      <c r="Q25" s="442"/>
    </row>
    <row r="26" spans="1:17">
      <c r="A26" s="474" t="s">
        <v>851</v>
      </c>
      <c r="B26" s="442"/>
      <c r="C26" s="463"/>
      <c r="D26" s="463"/>
      <c r="E26" s="463"/>
      <c r="F26" s="463"/>
      <c r="G26" s="463"/>
      <c r="H26" s="463"/>
      <c r="I26" s="463"/>
      <c r="J26" s="463"/>
      <c r="K26" s="463"/>
      <c r="L26" s="463"/>
      <c r="M26" s="463"/>
      <c r="N26" s="463"/>
      <c r="O26" s="463"/>
      <c r="P26" s="463"/>
      <c r="Q26" s="463"/>
    </row>
    <row r="27" spans="1:17">
      <c r="A27" s="431"/>
      <c r="B27" s="442"/>
      <c r="D27" s="419"/>
    </row>
    <row r="28" spans="1:17">
      <c r="A28" s="471" t="s">
        <v>849</v>
      </c>
      <c r="B28" s="473">
        <v>23</v>
      </c>
      <c r="C28" s="473">
        <v>23</v>
      </c>
      <c r="D28" s="473">
        <v>23</v>
      </c>
      <c r="E28" s="473">
        <v>23</v>
      </c>
      <c r="F28" s="473">
        <v>23</v>
      </c>
      <c r="G28" s="473">
        <v>23</v>
      </c>
      <c r="H28" s="442"/>
      <c r="I28" s="442"/>
      <c r="J28" s="442"/>
      <c r="K28" s="442"/>
      <c r="L28" s="442"/>
      <c r="M28" s="442"/>
      <c r="N28" s="442"/>
      <c r="O28" s="442"/>
      <c r="P28" s="442"/>
      <c r="Q28" s="442"/>
    </row>
    <row r="29" spans="1:17">
      <c r="A29" s="471" t="s">
        <v>842</v>
      </c>
      <c r="B29" s="477">
        <v>70</v>
      </c>
      <c r="C29" s="477">
        <v>65</v>
      </c>
      <c r="D29" s="477">
        <v>55</v>
      </c>
      <c r="E29" s="477">
        <v>56</v>
      </c>
      <c r="F29" s="477">
        <v>70</v>
      </c>
      <c r="G29" s="477">
        <v>70</v>
      </c>
      <c r="H29" s="461"/>
      <c r="I29" s="461"/>
      <c r="J29" s="461"/>
      <c r="K29" s="461"/>
      <c r="L29" s="461"/>
      <c r="M29" s="461"/>
      <c r="N29" s="461"/>
      <c r="O29" s="461"/>
      <c r="P29" s="461"/>
      <c r="Q29" s="461"/>
    </row>
    <row r="30" spans="1:17">
      <c r="A30" s="465" t="s">
        <v>848</v>
      </c>
      <c r="B30" s="469">
        <f t="shared" ref="B30:G30" si="11">Patm</f>
        <v>101300</v>
      </c>
      <c r="C30" s="469">
        <f t="shared" si="11"/>
        <v>101300</v>
      </c>
      <c r="D30" s="469">
        <f t="shared" si="11"/>
        <v>101300</v>
      </c>
      <c r="E30" s="469">
        <f t="shared" si="11"/>
        <v>101300</v>
      </c>
      <c r="F30" s="469">
        <f t="shared" si="11"/>
        <v>101300</v>
      </c>
      <c r="G30" s="469">
        <f t="shared" si="11"/>
        <v>101300</v>
      </c>
    </row>
    <row r="31" spans="1:17">
      <c r="A31" s="465" t="s">
        <v>847</v>
      </c>
      <c r="B31" s="475" t="e">
        <f ca="1">fW_DBT_PHI_P(B$28,B$29,Patm)</f>
        <v>#NAME?</v>
      </c>
      <c r="C31" s="475" t="e">
        <f t="shared" ref="C31:G31" ca="1" si="12">fW_DBT_PHI_P(C$28,C$29,Patm)</f>
        <v>#NAME?</v>
      </c>
      <c r="D31" s="475" t="e">
        <f t="shared" ca="1" si="12"/>
        <v>#NAME?</v>
      </c>
      <c r="E31" s="475" t="e">
        <f t="shared" ca="1" si="12"/>
        <v>#NAME?</v>
      </c>
      <c r="F31" s="475" t="e">
        <f t="shared" ca="1" si="12"/>
        <v>#NAME?</v>
      </c>
      <c r="G31" s="475" t="e">
        <f t="shared" ca="1" si="12"/>
        <v>#NAME?</v>
      </c>
    </row>
    <row r="32" spans="1:17">
      <c r="A32" s="468" t="s">
        <v>846</v>
      </c>
      <c r="B32" s="464"/>
      <c r="C32" s="464"/>
      <c r="D32" s="464"/>
      <c r="E32" s="464"/>
      <c r="F32" s="464"/>
      <c r="G32" s="464"/>
    </row>
    <row r="33" spans="1:7">
      <c r="A33" s="465" t="s">
        <v>845</v>
      </c>
      <c r="B33" s="464" t="e">
        <f t="shared" ref="B33:G33" ca="1" si="13">fDPT_DBT_PHI_P(B$28,B$29,Patm)</f>
        <v>#NAME?</v>
      </c>
      <c r="C33" s="464" t="e">
        <f t="shared" ca="1" si="13"/>
        <v>#NAME?</v>
      </c>
      <c r="D33" s="464" t="e">
        <f t="shared" ca="1" si="13"/>
        <v>#NAME?</v>
      </c>
      <c r="E33" s="464" t="e">
        <f t="shared" ca="1" si="13"/>
        <v>#NAME?</v>
      </c>
      <c r="F33" s="464" t="e">
        <f t="shared" ca="1" si="13"/>
        <v>#NAME?</v>
      </c>
      <c r="G33" s="464" t="e">
        <f t="shared" ca="1" si="13"/>
        <v>#NAME?</v>
      </c>
    </row>
    <row r="34" spans="1:7">
      <c r="A34" s="465" t="s">
        <v>844</v>
      </c>
      <c r="B34" s="466" t="e">
        <f t="shared" ref="B34:G34" ca="1" si="14">fv_DBT_PHI_P(B$28,B$29,Patm)</f>
        <v>#NAME?</v>
      </c>
      <c r="C34" s="466" t="e">
        <f t="shared" ca="1" si="14"/>
        <v>#NAME?</v>
      </c>
      <c r="D34" s="466" t="e">
        <f t="shared" ca="1" si="14"/>
        <v>#NAME?</v>
      </c>
      <c r="E34" s="466" t="e">
        <f t="shared" ca="1" si="14"/>
        <v>#NAME?</v>
      </c>
      <c r="F34" s="466" t="e">
        <f t="shared" ca="1" si="14"/>
        <v>#NAME?</v>
      </c>
      <c r="G34" s="466" t="e">
        <f t="shared" ca="1" si="14"/>
        <v>#NAME?</v>
      </c>
    </row>
    <row r="35" spans="1:7">
      <c r="A35" s="465" t="s">
        <v>843</v>
      </c>
      <c r="B35" s="466" t="e">
        <f t="shared" ref="B35:G35" ca="1" si="15">fh_DBT_PHI_P(B$28,B$29,Patm)</f>
        <v>#NAME?</v>
      </c>
      <c r="C35" s="466" t="e">
        <f t="shared" ca="1" si="15"/>
        <v>#NAME?</v>
      </c>
      <c r="D35" s="466" t="e">
        <f t="shared" ca="1" si="15"/>
        <v>#NAME?</v>
      </c>
      <c r="E35" s="466" t="e">
        <f t="shared" ca="1" si="15"/>
        <v>#NAME?</v>
      </c>
      <c r="F35" s="466" t="e">
        <f t="shared" ca="1" si="15"/>
        <v>#NAME?</v>
      </c>
      <c r="G35" s="466" t="e">
        <f t="shared" ca="1" si="15"/>
        <v>#NAME?</v>
      </c>
    </row>
  </sheetData>
  <pageMargins left="0.25" right="0.43" top="1" bottom="1" header="0.5" footer="0.5"/>
  <pageSetup fitToHeight="99"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L30"/>
  <sheetViews>
    <sheetView zoomScaleNormal="100" workbookViewId="0">
      <selection activeCell="F10" sqref="F10"/>
    </sheetView>
  </sheetViews>
  <sheetFormatPr defaultRowHeight="14.4"/>
  <cols>
    <col min="1" max="13" width="10.6640625" customWidth="1"/>
  </cols>
  <sheetData>
    <row r="2" spans="1:9" ht="15" thickBot="1"/>
    <row r="3" spans="1:9" ht="15" thickBot="1">
      <c r="A3" s="1" t="s">
        <v>617</v>
      </c>
      <c r="B3" s="96">
        <v>100</v>
      </c>
      <c r="H3" s="157" t="s">
        <v>792</v>
      </c>
    </row>
    <row r="4" spans="1:9">
      <c r="E4" s="157" t="s">
        <v>800</v>
      </c>
      <c r="G4" s="157" t="s">
        <v>789</v>
      </c>
      <c r="H4" s="157" t="s">
        <v>790</v>
      </c>
    </row>
    <row r="5" spans="1:9">
      <c r="E5" s="157" t="s">
        <v>791</v>
      </c>
      <c r="G5" s="157" t="s">
        <v>793</v>
      </c>
    </row>
    <row r="6" spans="1:9">
      <c r="E6" s="157"/>
    </row>
    <row r="8" spans="1:9" ht="15" thickBot="1"/>
    <row r="9" spans="1:9" ht="15" thickBot="1">
      <c r="D9" s="1" t="s">
        <v>8</v>
      </c>
      <c r="E9" s="96">
        <v>1800</v>
      </c>
    </row>
    <row r="11" spans="1:9" ht="15" thickBot="1"/>
    <row r="12" spans="1:9" ht="15" thickBot="1">
      <c r="D12" s="1" t="s">
        <v>613</v>
      </c>
      <c r="E12" s="95">
        <v>250</v>
      </c>
    </row>
    <row r="14" spans="1:9">
      <c r="D14" s="1" t="s">
        <v>615</v>
      </c>
      <c r="E14" s="410">
        <f>(E12*E9/1000*C17/1000)*(C17/(2*(C17-B3)))</f>
        <v>205.71428571428569</v>
      </c>
      <c r="F14" s="411" t="s">
        <v>616</v>
      </c>
      <c r="G14" s="412">
        <f>E14/9.81</f>
        <v>20.969855832241151</v>
      </c>
      <c r="H14" s="411" t="s">
        <v>616</v>
      </c>
      <c r="I14" s="413">
        <f>E14*0.22481</f>
        <v>46.246628571428566</v>
      </c>
    </row>
    <row r="16" spans="1:9" ht="15" thickBot="1">
      <c r="D16" s="1" t="s">
        <v>801</v>
      </c>
      <c r="E16" s="97">
        <f>E14+67</f>
        <v>272.71428571428567</v>
      </c>
      <c r="F16" s="98" t="s">
        <v>616</v>
      </c>
      <c r="G16" s="99">
        <f>E16/9.81</f>
        <v>27.799621377603021</v>
      </c>
      <c r="H16" s="98" t="s">
        <v>616</v>
      </c>
      <c r="I16" s="105">
        <f>E16*0.22481</f>
        <v>61.308898571428564</v>
      </c>
    </row>
    <row r="17" spans="2:12" ht="15" thickBot="1">
      <c r="B17" s="1" t="s">
        <v>614</v>
      </c>
      <c r="C17" s="96">
        <v>800</v>
      </c>
    </row>
    <row r="18" spans="2:12" s="157" customFormat="1" ht="15" thickBot="1">
      <c r="B18" s="1"/>
      <c r="C18" s="507"/>
    </row>
    <row r="19" spans="2:12">
      <c r="C19" s="380" t="s">
        <v>876</v>
      </c>
      <c r="H19" s="380" t="s">
        <v>876</v>
      </c>
      <c r="L19" s="380" t="s">
        <v>876</v>
      </c>
    </row>
    <row r="20" spans="2:12" ht="15" thickBot="1">
      <c r="C20" s="512">
        <f>D22+C22</f>
        <v>450</v>
      </c>
      <c r="H20" s="512">
        <f>I22+H22</f>
        <v>100</v>
      </c>
      <c r="L20" s="512">
        <f>K22+L22</f>
        <v>400</v>
      </c>
    </row>
    <row r="21" spans="2:12" ht="15" thickBot="1">
      <c r="C21" s="414" t="s">
        <v>798</v>
      </c>
      <c r="D21" s="415" t="s">
        <v>799</v>
      </c>
      <c r="H21" s="414" t="s">
        <v>798</v>
      </c>
      <c r="I21" s="415" t="s">
        <v>799</v>
      </c>
      <c r="K21" s="414" t="s">
        <v>798</v>
      </c>
      <c r="L21" s="415" t="s">
        <v>799</v>
      </c>
    </row>
    <row r="22" spans="2:12" ht="15" thickBot="1">
      <c r="C22" s="511">
        <v>250</v>
      </c>
      <c r="D22" s="510">
        <v>200</v>
      </c>
      <c r="H22" s="511">
        <v>50</v>
      </c>
      <c r="I22" s="510">
        <v>50</v>
      </c>
      <c r="K22" s="510">
        <v>200</v>
      </c>
      <c r="L22" s="511">
        <v>200</v>
      </c>
    </row>
    <row r="23" spans="2:12" ht="15" thickBot="1">
      <c r="C23" s="574" t="s">
        <v>794</v>
      </c>
      <c r="D23" s="574"/>
      <c r="G23" s="505" t="s">
        <v>874</v>
      </c>
      <c r="H23" s="575" t="s">
        <v>796</v>
      </c>
      <c r="I23" s="575"/>
      <c r="J23" s="505" t="s">
        <v>874</v>
      </c>
      <c r="K23" s="572" t="s">
        <v>797</v>
      </c>
      <c r="L23" s="573"/>
    </row>
    <row r="24" spans="2:12" ht="15" thickBot="1">
      <c r="C24" s="506">
        <v>9100</v>
      </c>
      <c r="D24" s="515">
        <f>-C22</f>
        <v>-250</v>
      </c>
      <c r="F24" s="380" t="s">
        <v>876</v>
      </c>
      <c r="G24" s="409">
        <f>I24-D24</f>
        <v>200</v>
      </c>
      <c r="H24" s="506">
        <v>100</v>
      </c>
      <c r="I24" s="515">
        <f>-H22</f>
        <v>-50</v>
      </c>
      <c r="J24" s="513">
        <f>L24-I24</f>
        <v>250</v>
      </c>
      <c r="K24" s="509">
        <v>6300</v>
      </c>
      <c r="L24" s="515">
        <f>L22</f>
        <v>200</v>
      </c>
    </row>
    <row r="25" spans="2:12" ht="15" thickBot="1">
      <c r="D25" s="516" t="s">
        <v>875</v>
      </c>
      <c r="F25" s="512">
        <f>E27+D27</f>
        <v>700</v>
      </c>
      <c r="G25" s="52"/>
      <c r="I25" s="516" t="s">
        <v>875</v>
      </c>
      <c r="K25" s="223"/>
      <c r="L25" s="516" t="s">
        <v>875</v>
      </c>
    </row>
    <row r="26" spans="2:12" ht="15" thickBot="1">
      <c r="D26" s="514" t="s">
        <v>798</v>
      </c>
      <c r="E26" s="415" t="s">
        <v>799</v>
      </c>
      <c r="K26" s="223"/>
      <c r="L26" s="224"/>
    </row>
    <row r="27" spans="2:12" ht="15" thickBot="1">
      <c r="D27" s="511">
        <v>500</v>
      </c>
      <c r="E27" s="508">
        <v>200</v>
      </c>
      <c r="K27" s="368"/>
      <c r="L27" s="234"/>
    </row>
    <row r="28" spans="2:12" ht="15" thickBot="1">
      <c r="C28" s="505" t="s">
        <v>874</v>
      </c>
      <c r="D28" s="574" t="s">
        <v>795</v>
      </c>
      <c r="E28" s="574"/>
    </row>
    <row r="29" spans="2:12" ht="15" thickBot="1">
      <c r="C29" s="409">
        <f>E29-D24</f>
        <v>-250</v>
      </c>
      <c r="D29" s="506">
        <v>3200</v>
      </c>
      <c r="E29" s="515">
        <f>-D27</f>
        <v>-500</v>
      </c>
    </row>
    <row r="30" spans="2:12" ht="15" thickBot="1">
      <c r="E30" s="516" t="s">
        <v>875</v>
      </c>
    </row>
  </sheetData>
  <mergeCells count="4">
    <mergeCell ref="K23:L23"/>
    <mergeCell ref="D28:E28"/>
    <mergeCell ref="C23:D23"/>
    <mergeCell ref="H23:I23"/>
  </mergeCells>
  <pageMargins left="0.7" right="0.7" top="0.75" bottom="0.75" header="0.3" footer="0.3"/>
  <pageSetup paperSize="9" orientation="portrait" horizontalDpi="30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4:L40"/>
  <sheetViews>
    <sheetView topLeftCell="A10" zoomScale="80" zoomScaleNormal="80" workbookViewId="0">
      <selection activeCell="H39" sqref="H39"/>
    </sheetView>
  </sheetViews>
  <sheetFormatPr defaultRowHeight="14.4"/>
  <cols>
    <col min="1" max="1" width="18.77734375" customWidth="1"/>
    <col min="9" max="9" width="14.33203125" customWidth="1"/>
  </cols>
  <sheetData>
    <row r="4" spans="5:12">
      <c r="F4" s="13"/>
      <c r="J4" s="13"/>
      <c r="K4" s="13"/>
      <c r="L4" s="13"/>
    </row>
    <row r="5" spans="5:12">
      <c r="G5" s="157"/>
      <c r="K5" s="13"/>
    </row>
    <row r="7" spans="5:12">
      <c r="E7" s="157"/>
      <c r="F7" s="528"/>
      <c r="G7" s="157"/>
    </row>
    <row r="8" spans="5:12">
      <c r="J8" s="13"/>
    </row>
    <row r="13" spans="5:12">
      <c r="E13" s="157"/>
      <c r="F13" s="157"/>
      <c r="I13" s="157"/>
    </row>
    <row r="26" spans="1:4">
      <c r="A26" s="570"/>
      <c r="B26" s="570"/>
      <c r="C26" s="570"/>
    </row>
    <row r="30" spans="1:4">
      <c r="A30" s="544"/>
      <c r="B30" s="545"/>
      <c r="C30" s="546"/>
      <c r="D30" s="188"/>
    </row>
    <row r="33" spans="1:4">
      <c r="A33" s="157"/>
      <c r="C33" s="157"/>
      <c r="D33" s="157"/>
    </row>
    <row r="36" spans="1:4">
      <c r="B36" s="545"/>
      <c r="C36" s="546"/>
    </row>
    <row r="37" spans="1:4">
      <c r="B37" s="547"/>
    </row>
    <row r="39" spans="1:4">
      <c r="B39" s="172"/>
    </row>
    <row r="40" spans="1:4">
      <c r="A40" s="157"/>
      <c r="B40" s="547"/>
      <c r="C40" s="157"/>
    </row>
  </sheetData>
  <mergeCells count="1">
    <mergeCell ref="A26:C26"/>
  </mergeCells>
  <pageMargins left="0.7" right="0.7" top="0.75" bottom="0.75" header="0.3" footer="0.3"/>
  <pageSetup paperSize="9"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C10"/>
    </sheetView>
  </sheetViews>
  <sheetFormatPr defaultRowHeight="14.4"/>
  <sheetData>
    <row r="1" spans="1:1">
      <c r="A1" t="s">
        <v>2335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4"/>
  <sheetViews>
    <sheetView workbookViewId="0">
      <selection activeCell="G16" sqref="G16"/>
    </sheetView>
  </sheetViews>
  <sheetFormatPr defaultRowHeight="14.4"/>
  <cols>
    <col min="1" max="1" width="21.88671875" customWidth="1"/>
  </cols>
  <sheetData>
    <row r="1" spans="1:11">
      <c r="D1" s="570" t="s">
        <v>623</v>
      </c>
      <c r="E1" s="570"/>
      <c r="F1" s="570"/>
      <c r="G1" s="570"/>
      <c r="H1" s="570"/>
      <c r="I1" s="570"/>
      <c r="J1" s="570"/>
    </row>
    <row r="2" spans="1:11">
      <c r="A2" t="s">
        <v>619</v>
      </c>
      <c r="B2" t="s">
        <v>620</v>
      </c>
      <c r="C2" t="s">
        <v>621</v>
      </c>
      <c r="D2">
        <v>1</v>
      </c>
      <c r="E2">
        <v>2</v>
      </c>
      <c r="F2">
        <v>3</v>
      </c>
      <c r="G2">
        <v>4</v>
      </c>
      <c r="H2">
        <v>5</v>
      </c>
      <c r="I2">
        <v>6</v>
      </c>
      <c r="J2">
        <v>7</v>
      </c>
      <c r="K2">
        <v>8</v>
      </c>
    </row>
    <row r="3" spans="1:11">
      <c r="D3" t="s">
        <v>183</v>
      </c>
      <c r="E3" t="s">
        <v>183</v>
      </c>
      <c r="F3" t="s">
        <v>183</v>
      </c>
      <c r="G3" t="s">
        <v>183</v>
      </c>
      <c r="H3" t="s">
        <v>183</v>
      </c>
      <c r="I3" t="s">
        <v>183</v>
      </c>
      <c r="J3" t="s">
        <v>183</v>
      </c>
      <c r="K3" t="s">
        <v>183</v>
      </c>
    </row>
    <row r="4" spans="1:11">
      <c r="A4" t="s">
        <v>618</v>
      </c>
    </row>
    <row r="5" spans="1:11">
      <c r="A5" t="s">
        <v>626</v>
      </c>
      <c r="B5" s="100" t="s">
        <v>622</v>
      </c>
      <c r="C5" s="100" t="s">
        <v>622</v>
      </c>
      <c r="D5">
        <v>11.5</v>
      </c>
      <c r="E5">
        <v>45</v>
      </c>
      <c r="F5">
        <v>100</v>
      </c>
      <c r="G5">
        <v>160</v>
      </c>
      <c r="H5">
        <v>270</v>
      </c>
    </row>
    <row r="6" spans="1:11">
      <c r="A6" s="101" t="s">
        <v>627</v>
      </c>
      <c r="B6" s="104" t="s">
        <v>622</v>
      </c>
      <c r="C6" s="104" t="s">
        <v>622</v>
      </c>
      <c r="D6" s="101">
        <v>5</v>
      </c>
      <c r="E6" s="101">
        <v>22</v>
      </c>
      <c r="F6" s="101">
        <v>50</v>
      </c>
      <c r="G6" s="101">
        <v>90</v>
      </c>
      <c r="H6" s="101">
        <v>140</v>
      </c>
      <c r="I6" s="101">
        <v>220</v>
      </c>
      <c r="J6" s="101">
        <v>330</v>
      </c>
      <c r="K6" s="101"/>
    </row>
    <row r="7" spans="1:11">
      <c r="A7" s="101" t="s">
        <v>633</v>
      </c>
      <c r="B7" s="104" t="s">
        <v>622</v>
      </c>
      <c r="C7" s="104" t="s">
        <v>622</v>
      </c>
      <c r="D7" s="101">
        <v>5</v>
      </c>
      <c r="E7" s="101">
        <v>13</v>
      </c>
      <c r="F7" s="101">
        <v>30</v>
      </c>
      <c r="G7" s="101">
        <v>52</v>
      </c>
      <c r="H7" s="101">
        <v>82</v>
      </c>
      <c r="I7" s="101">
        <v>125</v>
      </c>
      <c r="J7" s="101">
        <v>190</v>
      </c>
      <c r="K7" s="101">
        <v>280</v>
      </c>
    </row>
    <row r="8" spans="1:11">
      <c r="A8" t="s">
        <v>628</v>
      </c>
      <c r="B8" s="100" t="s">
        <v>622</v>
      </c>
      <c r="C8" s="100" t="s">
        <v>622</v>
      </c>
      <c r="D8">
        <v>2</v>
      </c>
      <c r="E8">
        <v>8</v>
      </c>
      <c r="F8">
        <v>18</v>
      </c>
      <c r="G8">
        <v>32</v>
      </c>
      <c r="H8">
        <v>50</v>
      </c>
      <c r="I8">
        <v>72</v>
      </c>
      <c r="J8">
        <v>96</v>
      </c>
      <c r="K8">
        <v>124</v>
      </c>
    </row>
    <row r="9" spans="1:11">
      <c r="A9" t="s">
        <v>625</v>
      </c>
      <c r="B9" s="100" t="s">
        <v>622</v>
      </c>
      <c r="C9" s="100" t="s">
        <v>622</v>
      </c>
      <c r="D9">
        <v>2</v>
      </c>
      <c r="E9">
        <v>7</v>
      </c>
      <c r="F9">
        <v>15</v>
      </c>
      <c r="G9">
        <v>26</v>
      </c>
      <c r="H9">
        <v>40</v>
      </c>
      <c r="I9">
        <v>58</v>
      </c>
      <c r="J9">
        <v>80</v>
      </c>
      <c r="K9">
        <v>108</v>
      </c>
    </row>
    <row r="10" spans="1:11">
      <c r="A10" t="s">
        <v>624</v>
      </c>
      <c r="B10" s="100" t="s">
        <v>622</v>
      </c>
      <c r="C10" s="100" t="s">
        <v>622</v>
      </c>
      <c r="D10">
        <v>2</v>
      </c>
      <c r="E10">
        <v>6</v>
      </c>
      <c r="F10">
        <v>15</v>
      </c>
      <c r="G10">
        <v>26</v>
      </c>
      <c r="H10">
        <v>41</v>
      </c>
      <c r="I10">
        <v>58</v>
      </c>
      <c r="J10">
        <v>80</v>
      </c>
      <c r="K10">
        <v>103</v>
      </c>
    </row>
    <row r="11" spans="1:11">
      <c r="A11" t="s">
        <v>629</v>
      </c>
      <c r="B11" s="100" t="s">
        <v>622</v>
      </c>
      <c r="C11" s="100" t="s">
        <v>622</v>
      </c>
      <c r="D11">
        <v>7.5</v>
      </c>
      <c r="E11">
        <v>17.5</v>
      </c>
      <c r="F11">
        <v>32</v>
      </c>
      <c r="G11">
        <v>50</v>
      </c>
      <c r="H11">
        <v>75</v>
      </c>
      <c r="I11">
        <v>100</v>
      </c>
      <c r="J11">
        <v>140</v>
      </c>
      <c r="K11">
        <v>200</v>
      </c>
    </row>
    <row r="12" spans="1:11">
      <c r="A12" s="103" t="s">
        <v>631</v>
      </c>
      <c r="B12" s="103"/>
      <c r="C12" s="103"/>
      <c r="D12" s="103">
        <f>D6</f>
        <v>5</v>
      </c>
      <c r="E12" s="103">
        <f t="shared" ref="E12:J12" si="0">E6</f>
        <v>22</v>
      </c>
      <c r="F12" s="103">
        <f t="shared" si="0"/>
        <v>50</v>
      </c>
      <c r="G12" s="103">
        <f t="shared" si="0"/>
        <v>90</v>
      </c>
      <c r="H12" s="103">
        <f t="shared" si="0"/>
        <v>140</v>
      </c>
      <c r="I12" s="103">
        <f t="shared" si="0"/>
        <v>220</v>
      </c>
      <c r="J12" s="103">
        <f t="shared" si="0"/>
        <v>330</v>
      </c>
      <c r="K12" s="103"/>
    </row>
    <row r="13" spans="1:11">
      <c r="A13" s="103" t="s">
        <v>632</v>
      </c>
      <c r="B13" s="103"/>
      <c r="C13" s="103"/>
      <c r="D13" s="103">
        <f>(D$6+D$7)/2</f>
        <v>5</v>
      </c>
      <c r="E13" s="103">
        <f t="shared" ref="E13:J13" si="1">(E$6+E$7)/2</f>
        <v>17.5</v>
      </c>
      <c r="F13" s="103">
        <f t="shared" si="1"/>
        <v>40</v>
      </c>
      <c r="G13" s="103">
        <f t="shared" si="1"/>
        <v>71</v>
      </c>
      <c r="H13" s="103">
        <f t="shared" si="1"/>
        <v>111</v>
      </c>
      <c r="I13" s="103">
        <f t="shared" si="1"/>
        <v>172.5</v>
      </c>
      <c r="J13" s="103">
        <f t="shared" si="1"/>
        <v>260</v>
      </c>
      <c r="K13" s="103"/>
    </row>
    <row r="14" spans="1:11">
      <c r="A14" s="102" t="s">
        <v>630</v>
      </c>
      <c r="B14" s="102"/>
      <c r="C14" s="102"/>
      <c r="D14" s="102">
        <f>SUM(D5:D11)/7</f>
        <v>5</v>
      </c>
      <c r="E14" s="102">
        <f>SUM(E5:E11)/7</f>
        <v>16.928571428571427</v>
      </c>
      <c r="F14" s="102">
        <f>SUM(F5:F11)/7</f>
        <v>37.142857142857146</v>
      </c>
      <c r="G14" s="102">
        <f>SUM(G5:G11)/7</f>
        <v>62.285714285714285</v>
      </c>
      <c r="H14" s="102">
        <f>SUM(H5:H11)/7</f>
        <v>99.714285714285708</v>
      </c>
      <c r="I14" s="102">
        <f>SUM(I6:I11)/6</f>
        <v>105.5</v>
      </c>
      <c r="J14" s="102">
        <f>SUM(J6:J11)/6</f>
        <v>152.66666666666666</v>
      </c>
      <c r="K14" s="102">
        <f>SUM(K7:K11)/5</f>
        <v>163</v>
      </c>
    </row>
  </sheetData>
  <mergeCells count="1">
    <mergeCell ref="D1:J1"/>
  </mergeCells>
  <pageMargins left="0.7" right="0.7" top="0.75" bottom="0.75" header="0.3" footer="0.3"/>
  <pageSetup paperSize="9" orientation="portrait" horizontalDpi="300" verticalDpi="0" copies="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37"/>
  <sheetViews>
    <sheetView topLeftCell="B31" workbookViewId="0">
      <selection activeCell="I67" sqref="I67"/>
    </sheetView>
  </sheetViews>
  <sheetFormatPr defaultRowHeight="14.4"/>
  <cols>
    <col min="1" max="1" width="18.77734375" customWidth="1"/>
    <col min="2" max="2" width="19.5546875" customWidth="1"/>
  </cols>
  <sheetData>
    <row r="1" spans="1:7">
      <c r="A1" s="578" t="s">
        <v>879</v>
      </c>
      <c r="B1" s="579"/>
      <c r="C1" s="579"/>
      <c r="D1" s="579"/>
      <c r="E1" s="579"/>
      <c r="F1" s="579"/>
      <c r="G1" s="580"/>
    </row>
    <row r="2" spans="1:7">
      <c r="A2" s="581" t="s">
        <v>880</v>
      </c>
      <c r="B2" s="582"/>
      <c r="C2" s="582" t="s">
        <v>881</v>
      </c>
      <c r="D2" s="582"/>
      <c r="E2" s="582"/>
      <c r="F2" s="582"/>
      <c r="G2" s="585"/>
    </row>
    <row r="3" spans="1:7" ht="15" thickBot="1">
      <c r="A3" s="583"/>
      <c r="B3" s="584"/>
      <c r="C3" s="526" t="s">
        <v>882</v>
      </c>
      <c r="D3" s="526" t="s">
        <v>353</v>
      </c>
      <c r="E3" s="526" t="s">
        <v>346</v>
      </c>
      <c r="F3" s="526" t="s">
        <v>883</v>
      </c>
      <c r="G3" s="527" t="s">
        <v>884</v>
      </c>
    </row>
    <row r="4" spans="1:7" ht="14.4" customHeight="1">
      <c r="A4" s="523" t="s">
        <v>885</v>
      </c>
      <c r="B4" s="524"/>
      <c r="C4" s="524">
        <v>5</v>
      </c>
      <c r="D4" s="524">
        <v>5</v>
      </c>
      <c r="E4" s="524">
        <v>5</v>
      </c>
      <c r="F4" s="524">
        <v>5</v>
      </c>
      <c r="G4" s="525">
        <v>5</v>
      </c>
    </row>
    <row r="5" spans="1:7" ht="14.4" customHeight="1">
      <c r="A5" s="576" t="s">
        <v>886</v>
      </c>
      <c r="B5" s="518" t="s">
        <v>887</v>
      </c>
      <c r="C5" s="518">
        <v>35</v>
      </c>
      <c r="D5" s="518">
        <v>45</v>
      </c>
      <c r="E5" s="518">
        <v>55</v>
      </c>
      <c r="F5" s="518">
        <v>70</v>
      </c>
      <c r="G5" s="520">
        <v>85</v>
      </c>
    </row>
    <row r="6" spans="1:7" ht="14.4" customHeight="1">
      <c r="A6" s="576"/>
      <c r="B6" s="518" t="s">
        <v>888</v>
      </c>
      <c r="C6" s="518">
        <v>40</v>
      </c>
      <c r="D6" s="518">
        <v>55</v>
      </c>
      <c r="E6" s="518">
        <v>70</v>
      </c>
      <c r="F6" s="518">
        <v>85</v>
      </c>
      <c r="G6" s="520">
        <v>100</v>
      </c>
    </row>
    <row r="7" spans="1:7" ht="14.4" customHeight="1">
      <c r="A7" s="576" t="s">
        <v>889</v>
      </c>
      <c r="B7" s="518" t="s">
        <v>890</v>
      </c>
      <c r="C7" s="518">
        <v>70</v>
      </c>
      <c r="D7" s="518">
        <v>75</v>
      </c>
      <c r="E7" s="518">
        <v>80</v>
      </c>
      <c r="F7" s="518">
        <v>90</v>
      </c>
      <c r="G7" s="520">
        <v>95</v>
      </c>
    </row>
    <row r="8" spans="1:7" ht="14.4" customHeight="1">
      <c r="A8" s="576"/>
      <c r="B8" s="518" t="s">
        <v>891</v>
      </c>
      <c r="C8" s="586"/>
      <c r="D8" s="518">
        <v>110</v>
      </c>
      <c r="E8" s="518">
        <v>120</v>
      </c>
      <c r="F8" s="518">
        <v>135</v>
      </c>
      <c r="G8" s="520">
        <v>145</v>
      </c>
    </row>
    <row r="9" spans="1:7" ht="14.4" customHeight="1">
      <c r="A9" s="576"/>
      <c r="B9" s="518" t="s">
        <v>892</v>
      </c>
      <c r="C9" s="587"/>
      <c r="D9" s="518">
        <v>75</v>
      </c>
      <c r="E9" s="518">
        <v>80</v>
      </c>
      <c r="F9" s="518">
        <v>80</v>
      </c>
      <c r="G9" s="520">
        <v>85</v>
      </c>
    </row>
    <row r="10" spans="1:7" ht="14.4" customHeight="1">
      <c r="A10" s="576"/>
      <c r="B10" s="518" t="s">
        <v>893</v>
      </c>
      <c r="C10" s="587"/>
      <c r="D10" s="518">
        <v>125</v>
      </c>
      <c r="E10" s="518">
        <v>140</v>
      </c>
      <c r="F10" s="518">
        <v>150</v>
      </c>
      <c r="G10" s="520">
        <v>165</v>
      </c>
    </row>
    <row r="11" spans="1:7" ht="14.4" customHeight="1">
      <c r="A11" s="576"/>
      <c r="B11" s="518" t="s">
        <v>894</v>
      </c>
      <c r="C11" s="587"/>
      <c r="D11" s="518">
        <v>150</v>
      </c>
      <c r="E11" s="518">
        <v>165</v>
      </c>
      <c r="F11" s="518">
        <v>175</v>
      </c>
      <c r="G11" s="520">
        <v>185</v>
      </c>
    </row>
    <row r="12" spans="1:7" ht="14.4" customHeight="1">
      <c r="A12" s="576"/>
      <c r="B12" s="518" t="s">
        <v>895</v>
      </c>
      <c r="C12" s="587"/>
      <c r="D12" s="518">
        <v>175</v>
      </c>
      <c r="E12" s="518">
        <v>190</v>
      </c>
      <c r="F12" s="518">
        <v>210</v>
      </c>
      <c r="G12" s="520">
        <v>230</v>
      </c>
    </row>
    <row r="13" spans="1:7" ht="14.4" customHeight="1">
      <c r="A13" s="576" t="s">
        <v>896</v>
      </c>
      <c r="B13" s="518" t="s">
        <v>897</v>
      </c>
      <c r="C13" s="587"/>
      <c r="D13" s="518">
        <v>5</v>
      </c>
      <c r="E13" s="518">
        <v>10</v>
      </c>
      <c r="F13" s="518">
        <v>10</v>
      </c>
      <c r="G13" s="520">
        <v>10</v>
      </c>
    </row>
    <row r="14" spans="1:7" ht="14.4" customHeight="1">
      <c r="A14" s="576"/>
      <c r="B14" s="518" t="s">
        <v>898</v>
      </c>
      <c r="C14" s="587"/>
      <c r="D14" s="518">
        <v>15</v>
      </c>
      <c r="E14" s="518">
        <v>15</v>
      </c>
      <c r="F14" s="518">
        <v>20</v>
      </c>
      <c r="G14" s="520">
        <v>20</v>
      </c>
    </row>
    <row r="15" spans="1:7" ht="14.4" customHeight="1">
      <c r="A15" s="576"/>
      <c r="B15" s="518" t="s">
        <v>899</v>
      </c>
      <c r="C15" s="587"/>
      <c r="D15" s="518">
        <v>25</v>
      </c>
      <c r="E15" s="518">
        <v>30</v>
      </c>
      <c r="F15" s="518">
        <v>30</v>
      </c>
      <c r="G15" s="520">
        <v>35</v>
      </c>
    </row>
    <row r="16" spans="1:7" ht="14.4" customHeight="1">
      <c r="A16" s="576"/>
      <c r="B16" s="518" t="s">
        <v>900</v>
      </c>
      <c r="C16" s="587"/>
      <c r="D16" s="518">
        <v>10</v>
      </c>
      <c r="E16" s="518">
        <v>15</v>
      </c>
      <c r="F16" s="518">
        <v>15</v>
      </c>
      <c r="G16" s="520">
        <v>20</v>
      </c>
    </row>
    <row r="17" spans="1:7" ht="14.4" customHeight="1">
      <c r="A17" s="576"/>
      <c r="B17" s="518" t="s">
        <v>901</v>
      </c>
      <c r="C17" s="587"/>
      <c r="D17" s="518">
        <v>20</v>
      </c>
      <c r="E17" s="518">
        <v>30</v>
      </c>
      <c r="F17" s="518">
        <v>35</v>
      </c>
      <c r="G17" s="520">
        <v>40</v>
      </c>
    </row>
    <row r="18" spans="1:7" ht="14.4" customHeight="1">
      <c r="A18" s="576"/>
      <c r="B18" s="518" t="s">
        <v>902</v>
      </c>
      <c r="C18" s="587"/>
      <c r="D18" s="518">
        <v>45</v>
      </c>
      <c r="E18" s="518">
        <v>55</v>
      </c>
      <c r="F18" s="518">
        <v>70</v>
      </c>
      <c r="G18" s="520">
        <v>85</v>
      </c>
    </row>
    <row r="19" spans="1:7" ht="14.4" customHeight="1">
      <c r="A19" s="576" t="s">
        <v>903</v>
      </c>
      <c r="B19" s="518" t="s">
        <v>904</v>
      </c>
      <c r="C19" s="587"/>
      <c r="D19" s="518">
        <v>25</v>
      </c>
      <c r="E19" s="518">
        <v>30</v>
      </c>
      <c r="F19" s="518">
        <v>35</v>
      </c>
      <c r="G19" s="520">
        <v>40</v>
      </c>
    </row>
    <row r="20" spans="1:7" ht="14.4" customHeight="1">
      <c r="A20" s="576"/>
      <c r="B20" s="518" t="s">
        <v>905</v>
      </c>
      <c r="C20" s="587"/>
      <c r="D20" s="518">
        <v>35</v>
      </c>
      <c r="E20" s="518">
        <v>40</v>
      </c>
      <c r="F20" s="518">
        <v>45</v>
      </c>
      <c r="G20" s="520">
        <v>55</v>
      </c>
    </row>
    <row r="21" spans="1:7" ht="14.4" customHeight="1">
      <c r="A21" s="576"/>
      <c r="B21" s="518" t="s">
        <v>906</v>
      </c>
      <c r="C21" s="587"/>
      <c r="D21" s="518">
        <v>45</v>
      </c>
      <c r="E21" s="518">
        <v>50</v>
      </c>
      <c r="F21" s="518">
        <v>60</v>
      </c>
      <c r="G21" s="520">
        <v>70</v>
      </c>
    </row>
    <row r="22" spans="1:7" ht="14.4" customHeight="1">
      <c r="A22" s="576"/>
      <c r="B22" s="518" t="s">
        <v>907</v>
      </c>
      <c r="C22" s="587"/>
      <c r="D22" s="518"/>
      <c r="E22" s="518"/>
      <c r="F22" s="518">
        <v>45</v>
      </c>
      <c r="G22" s="520">
        <v>50</v>
      </c>
    </row>
    <row r="23" spans="1:7" ht="14.4" customHeight="1">
      <c r="A23" s="576" t="s">
        <v>908</v>
      </c>
      <c r="B23" s="519">
        <v>0.6</v>
      </c>
      <c r="C23" s="587"/>
      <c r="D23" s="518">
        <v>60</v>
      </c>
      <c r="E23" s="518">
        <v>75</v>
      </c>
      <c r="F23" s="518">
        <v>90</v>
      </c>
      <c r="G23" s="520">
        <v>110</v>
      </c>
    </row>
    <row r="24" spans="1:7" ht="14.4" customHeight="1">
      <c r="A24" s="576"/>
      <c r="B24" s="519">
        <v>0.9</v>
      </c>
      <c r="C24" s="587"/>
      <c r="D24" s="518">
        <v>100</v>
      </c>
      <c r="E24" s="518">
        <v>120</v>
      </c>
      <c r="F24" s="518">
        <v>160</v>
      </c>
      <c r="G24" s="520">
        <v>180</v>
      </c>
    </row>
    <row r="25" spans="1:7" ht="14.4" customHeight="1">
      <c r="A25" s="576" t="s">
        <v>909</v>
      </c>
      <c r="B25" s="518" t="s">
        <v>910</v>
      </c>
      <c r="C25" s="587"/>
      <c r="D25" s="518">
        <v>10</v>
      </c>
      <c r="E25" s="518">
        <v>10</v>
      </c>
      <c r="F25" s="518">
        <v>15</v>
      </c>
      <c r="G25" s="520">
        <v>15</v>
      </c>
    </row>
    <row r="26" spans="1:7" ht="14.4" customHeight="1">
      <c r="A26" s="576"/>
      <c r="B26" s="518" t="s">
        <v>911</v>
      </c>
      <c r="C26" s="587"/>
      <c r="D26" s="518">
        <v>15</v>
      </c>
      <c r="E26" s="518">
        <v>15</v>
      </c>
      <c r="F26" s="518">
        <v>20</v>
      </c>
      <c r="G26" s="520">
        <v>25</v>
      </c>
    </row>
    <row r="27" spans="1:7" ht="14.4" customHeight="1">
      <c r="A27" s="576" t="s">
        <v>912</v>
      </c>
      <c r="B27" s="518" t="s">
        <v>913</v>
      </c>
      <c r="C27" s="587"/>
      <c r="D27" s="518">
        <v>140</v>
      </c>
      <c r="E27" s="518">
        <v>160</v>
      </c>
      <c r="F27" s="518">
        <v>180</v>
      </c>
      <c r="G27" s="520">
        <v>195</v>
      </c>
    </row>
    <row r="28" spans="1:7" ht="14.4" customHeight="1">
      <c r="A28" s="576"/>
      <c r="B28" s="518" t="s">
        <v>914</v>
      </c>
      <c r="C28" s="587"/>
      <c r="D28" s="518">
        <v>170</v>
      </c>
      <c r="E28" s="518">
        <v>195</v>
      </c>
      <c r="F28" s="518">
        <v>220</v>
      </c>
      <c r="G28" s="520">
        <v>245</v>
      </c>
    </row>
    <row r="29" spans="1:7" ht="14.4" customHeight="1">
      <c r="A29" s="576" t="s">
        <v>915</v>
      </c>
      <c r="B29" s="518" t="s">
        <v>916</v>
      </c>
      <c r="C29" s="587"/>
      <c r="D29" s="518">
        <v>60</v>
      </c>
      <c r="E29" s="518">
        <v>75</v>
      </c>
      <c r="F29" s="518">
        <v>90</v>
      </c>
      <c r="G29" s="520">
        <v>105</v>
      </c>
    </row>
    <row r="30" spans="1:7" ht="14.4" customHeight="1">
      <c r="A30" s="576"/>
      <c r="B30" s="518" t="s">
        <v>917</v>
      </c>
      <c r="C30" s="587"/>
      <c r="D30" s="518">
        <v>90</v>
      </c>
      <c r="E30" s="518">
        <v>110</v>
      </c>
      <c r="F30" s="518">
        <v>130</v>
      </c>
      <c r="G30" s="520">
        <v>155</v>
      </c>
    </row>
    <row r="31" spans="1:7" ht="14.4" customHeight="1">
      <c r="A31" s="576"/>
      <c r="B31" s="518" t="s">
        <v>918</v>
      </c>
      <c r="C31" s="587"/>
      <c r="D31" s="518">
        <v>120</v>
      </c>
      <c r="E31" s="518">
        <v>145</v>
      </c>
      <c r="F31" s="518">
        <v>175</v>
      </c>
      <c r="G31" s="520">
        <v>205</v>
      </c>
    </row>
    <row r="32" spans="1:7" ht="14.4" customHeight="1">
      <c r="A32" s="576"/>
      <c r="B32" s="518" t="s">
        <v>919</v>
      </c>
      <c r="C32" s="587"/>
      <c r="D32" s="518">
        <v>35</v>
      </c>
      <c r="E32" s="518">
        <v>45</v>
      </c>
      <c r="F32" s="518">
        <v>55</v>
      </c>
      <c r="G32" s="520">
        <v>65</v>
      </c>
    </row>
    <row r="33" spans="1:7" ht="14.4" customHeight="1">
      <c r="A33" s="576"/>
      <c r="B33" s="518" t="s">
        <v>920</v>
      </c>
      <c r="C33" s="587"/>
      <c r="D33" s="518">
        <v>55</v>
      </c>
      <c r="E33" s="518">
        <v>65</v>
      </c>
      <c r="F33" s="518">
        <v>80</v>
      </c>
      <c r="G33" s="520">
        <v>90</v>
      </c>
    </row>
    <row r="34" spans="1:7" ht="14.4" customHeight="1">
      <c r="A34" s="576"/>
      <c r="B34" s="518" t="s">
        <v>921</v>
      </c>
      <c r="C34" s="587"/>
      <c r="D34" s="518">
        <v>70</v>
      </c>
      <c r="E34" s="518">
        <v>85</v>
      </c>
      <c r="F34" s="518">
        <v>100</v>
      </c>
      <c r="G34" s="520">
        <v>120</v>
      </c>
    </row>
    <row r="35" spans="1:7" ht="14.4" customHeight="1">
      <c r="A35" s="576"/>
      <c r="B35" s="518" t="s">
        <v>907</v>
      </c>
      <c r="C35" s="588"/>
      <c r="D35" s="518"/>
      <c r="E35" s="518"/>
      <c r="F35" s="518">
        <v>45</v>
      </c>
      <c r="G35" s="520">
        <v>50</v>
      </c>
    </row>
    <row r="36" spans="1:7" ht="14.4" customHeight="1">
      <c r="A36" s="576" t="s">
        <v>922</v>
      </c>
      <c r="B36" s="518"/>
      <c r="C36" s="518">
        <v>65</v>
      </c>
      <c r="D36" s="518">
        <v>80</v>
      </c>
      <c r="E36" s="518">
        <v>105</v>
      </c>
      <c r="F36" s="518">
        <v>125</v>
      </c>
      <c r="G36" s="520">
        <v>150</v>
      </c>
    </row>
    <row r="37" spans="1:7" ht="14.4" customHeight="1" thickBot="1">
      <c r="A37" s="577"/>
      <c r="B37" s="521" t="s">
        <v>923</v>
      </c>
      <c r="C37" s="521"/>
      <c r="D37" s="521"/>
      <c r="E37" s="521"/>
      <c r="F37" s="521"/>
      <c r="G37" s="522">
        <v>200</v>
      </c>
    </row>
  </sheetData>
  <mergeCells count="13">
    <mergeCell ref="A36:A37"/>
    <mergeCell ref="A1:G1"/>
    <mergeCell ref="A2:B3"/>
    <mergeCell ref="C2:G2"/>
    <mergeCell ref="A5:A6"/>
    <mergeCell ref="A7:A12"/>
    <mergeCell ref="A13:A18"/>
    <mergeCell ref="A19:A22"/>
    <mergeCell ref="A23:A24"/>
    <mergeCell ref="A25:A26"/>
    <mergeCell ref="A27:A28"/>
    <mergeCell ref="A29:A35"/>
    <mergeCell ref="C8:C3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124"/>
  <sheetViews>
    <sheetView topLeftCell="B1" zoomScale="80" zoomScaleNormal="80" workbookViewId="0">
      <selection activeCell="F46" sqref="F46"/>
    </sheetView>
  </sheetViews>
  <sheetFormatPr defaultRowHeight="14.4"/>
  <cols>
    <col min="1" max="1" width="24.33203125" style="157" customWidth="1"/>
    <col min="2" max="2" width="8.33203125" style="160" customWidth="1"/>
    <col min="3" max="3" width="5.109375" style="157" customWidth="1"/>
    <col min="4" max="4" width="6.88671875" style="161" customWidth="1"/>
    <col min="5" max="5" width="7.33203125" style="158" customWidth="1"/>
    <col min="6" max="6" width="6.44140625" style="172" customWidth="1"/>
    <col min="7" max="7" width="6.33203125" style="162" customWidth="1"/>
    <col min="8" max="8" width="6" style="162" customWidth="1"/>
    <col min="9" max="9" width="4.88671875" style="163" customWidth="1"/>
    <col min="10" max="10" width="6.109375" style="164" customWidth="1"/>
    <col min="11" max="11" width="7.33203125" style="172" customWidth="1"/>
    <col min="12" max="12" width="14.6640625" style="157" customWidth="1"/>
    <col min="13" max="13" width="6.6640625" style="157" customWidth="1"/>
    <col min="14" max="15" width="9.88671875" style="157" customWidth="1"/>
    <col min="16" max="17" width="11.33203125" style="157" customWidth="1"/>
    <col min="18" max="18" width="13.77734375" style="157" customWidth="1"/>
    <col min="19" max="19" width="10" style="157" customWidth="1"/>
    <col min="20" max="21" width="10.5546875" style="157" customWidth="1"/>
    <col min="22" max="22" width="13.33203125" style="157" customWidth="1"/>
    <col min="23" max="24" width="14" style="157" customWidth="1"/>
    <col min="25" max="26" width="14.88671875" style="157" customWidth="1"/>
    <col min="27" max="16384" width="8.88671875" style="157"/>
  </cols>
  <sheetData>
    <row r="1" spans="1:25" ht="15" thickBot="1">
      <c r="E1" s="161"/>
      <c r="I1" s="161"/>
    </row>
    <row r="2" spans="1:25" ht="14.4" customHeight="1">
      <c r="A2" s="179" t="s">
        <v>638</v>
      </c>
      <c r="P2" s="249" t="s">
        <v>639</v>
      </c>
      <c r="Q2" s="250"/>
      <c r="R2" s="619" t="s">
        <v>640</v>
      </c>
      <c r="S2" s="621" t="s">
        <v>641</v>
      </c>
      <c r="T2" s="619" t="s">
        <v>642</v>
      </c>
      <c r="U2" s="619" t="s">
        <v>643</v>
      </c>
      <c r="V2" s="623" t="s">
        <v>644</v>
      </c>
      <c r="W2" s="623" t="s">
        <v>645</v>
      </c>
      <c r="X2" s="617" t="s">
        <v>646</v>
      </c>
    </row>
    <row r="3" spans="1:25">
      <c r="A3" s="205"/>
      <c r="B3" s="287" t="s">
        <v>647</v>
      </c>
      <c r="C3" s="281" t="s">
        <v>648</v>
      </c>
      <c r="D3" s="278" t="s">
        <v>649</v>
      </c>
      <c r="E3" s="278" t="s">
        <v>650</v>
      </c>
      <c r="F3" s="279" t="s">
        <v>651</v>
      </c>
      <c r="G3" s="278" t="s">
        <v>652</v>
      </c>
      <c r="H3" s="279" t="s">
        <v>653</v>
      </c>
      <c r="I3" s="278" t="s">
        <v>654</v>
      </c>
      <c r="J3" s="278" t="s">
        <v>655</v>
      </c>
      <c r="K3" s="278" t="s">
        <v>656</v>
      </c>
      <c r="L3" s="278" t="s">
        <v>657</v>
      </c>
      <c r="M3" s="277" t="s">
        <v>658</v>
      </c>
      <c r="N3" s="206" t="s">
        <v>659</v>
      </c>
      <c r="P3" s="251" t="s">
        <v>660</v>
      </c>
      <c r="Q3" s="252" t="s">
        <v>661</v>
      </c>
      <c r="R3" s="620"/>
      <c r="S3" s="622"/>
      <c r="T3" s="620"/>
      <c r="U3" s="620"/>
      <c r="V3" s="624"/>
      <c r="W3" s="624"/>
      <c r="X3" s="618"/>
    </row>
    <row r="4" spans="1:25">
      <c r="A4" s="191"/>
      <c r="B4" s="192" t="s">
        <v>662</v>
      </c>
      <c r="C4" s="193"/>
      <c r="D4" s="194" t="s">
        <v>663</v>
      </c>
      <c r="E4" s="194" t="s">
        <v>183</v>
      </c>
      <c r="F4" s="195" t="s">
        <v>664</v>
      </c>
      <c r="G4" s="196" t="s">
        <v>665</v>
      </c>
      <c r="H4" s="196" t="s">
        <v>665</v>
      </c>
      <c r="I4" s="194" t="s">
        <v>666</v>
      </c>
      <c r="J4" s="194" t="s">
        <v>667</v>
      </c>
      <c r="K4" s="196" t="s">
        <v>665</v>
      </c>
      <c r="L4" s="194" t="s">
        <v>664</v>
      </c>
      <c r="M4" s="197" t="s">
        <v>667</v>
      </c>
      <c r="N4" s="181" t="s">
        <v>664</v>
      </c>
      <c r="P4" s="220">
        <v>88.9</v>
      </c>
      <c r="Q4" s="218">
        <f>P4-9</f>
        <v>79.900000000000006</v>
      </c>
      <c r="R4" s="237" t="s">
        <v>668</v>
      </c>
      <c r="S4" s="221" t="s">
        <v>669</v>
      </c>
      <c r="T4" s="221" t="s">
        <v>669</v>
      </c>
      <c r="U4" s="221" t="s">
        <v>669</v>
      </c>
      <c r="V4" s="221" t="s">
        <v>180</v>
      </c>
      <c r="W4" s="221" t="s">
        <v>180</v>
      </c>
      <c r="X4" s="222" t="s">
        <v>180</v>
      </c>
    </row>
    <row r="5" spans="1:25">
      <c r="A5" s="215" t="s">
        <v>670</v>
      </c>
      <c r="B5" s="244"/>
      <c r="C5" s="184"/>
      <c r="D5" s="185"/>
      <c r="E5" s="185"/>
      <c r="F5" s="186"/>
      <c r="G5" s="187"/>
      <c r="H5" s="187"/>
      <c r="I5" s="185"/>
      <c r="J5" s="207"/>
      <c r="K5" s="207"/>
      <c r="L5" s="185"/>
      <c r="M5" s="188"/>
      <c r="N5" s="211"/>
      <c r="P5" s="590" t="s">
        <v>671</v>
      </c>
      <c r="Q5" s="591"/>
      <c r="R5" s="592">
        <f>((Q6/1000)^2-(P4/1000)^2)/4*PI()</f>
        <v>2.5013989026412631E-3</v>
      </c>
      <c r="S5" s="238">
        <f>SUM(T17:U17)</f>
        <v>3.7520983539618948E-2</v>
      </c>
      <c r="T5" s="238">
        <v>0</v>
      </c>
      <c r="U5" s="239">
        <v>2.2000000000000002</v>
      </c>
      <c r="V5" s="255">
        <f>(S5+T5+U5)*30</f>
        <v>67.125629506188574</v>
      </c>
      <c r="W5" s="253">
        <f>U17*30</f>
        <v>0</v>
      </c>
      <c r="X5" s="254">
        <f>(U5+T17)*30</f>
        <v>67.125629506188574</v>
      </c>
    </row>
    <row r="6" spans="1:25" ht="15" thickBot="1">
      <c r="A6" s="183" t="s">
        <v>709</v>
      </c>
      <c r="B6" s="180">
        <f>$L$17/3600</f>
        <v>6.9444444444444441E-3</v>
      </c>
      <c r="C6" s="159">
        <v>0.5</v>
      </c>
      <c r="D6" s="170">
        <v>1.1299999999999999</v>
      </c>
      <c r="E6" s="170">
        <f>B6/(PI()/4*((K6/1000)^2))</f>
        <v>0.88419412828830735</v>
      </c>
      <c r="F6" s="190">
        <f>C6*E6^2*D6*0.5</f>
        <v>0.22085828996111431</v>
      </c>
      <c r="G6" s="175"/>
      <c r="H6" s="175"/>
      <c r="I6" s="171">
        <v>1</v>
      </c>
      <c r="J6" s="204">
        <f>K6/1000</f>
        <v>0.1</v>
      </c>
      <c r="K6" s="175">
        <v>100</v>
      </c>
      <c r="L6" s="178"/>
      <c r="M6" s="159" t="s">
        <v>672</v>
      </c>
      <c r="N6" s="182">
        <f>F6*I6</f>
        <v>0.22085828996111431</v>
      </c>
      <c r="P6" s="240">
        <v>114.3</v>
      </c>
      <c r="Q6" s="241">
        <f>P6-9</f>
        <v>105.3</v>
      </c>
      <c r="R6" s="593"/>
      <c r="S6" s="242"/>
      <c r="T6" s="242"/>
      <c r="U6" s="256" t="s">
        <v>673</v>
      </c>
      <c r="V6" s="243">
        <v>70</v>
      </c>
      <c r="W6" s="260">
        <v>0</v>
      </c>
      <c r="X6" s="259">
        <v>70</v>
      </c>
    </row>
    <row r="7" spans="1:25" ht="15" thickBot="1">
      <c r="A7" s="183"/>
      <c r="B7" s="180"/>
      <c r="C7" s="159"/>
      <c r="D7" s="170"/>
      <c r="E7" s="170"/>
      <c r="F7" s="190"/>
      <c r="G7" s="175"/>
      <c r="H7" s="175"/>
      <c r="I7" s="171"/>
      <c r="J7" s="204"/>
      <c r="K7" s="175"/>
      <c r="L7" s="176"/>
      <c r="M7" s="159"/>
      <c r="N7" s="182"/>
      <c r="P7" s="556" t="s">
        <v>675</v>
      </c>
      <c r="Q7" s="557"/>
      <c r="R7" s="557"/>
      <c r="S7" s="557"/>
      <c r="T7" s="557"/>
      <c r="U7" s="557"/>
      <c r="V7" s="557"/>
      <c r="W7" s="557"/>
      <c r="X7" s="558"/>
      <c r="Y7" s="159"/>
    </row>
    <row r="8" spans="1:25">
      <c r="N8" s="288"/>
    </row>
    <row r="9" spans="1:25" ht="15" thickBot="1">
      <c r="A9" s="183" t="s">
        <v>679</v>
      </c>
      <c r="B9" s="180"/>
      <c r="C9" s="188"/>
      <c r="D9" s="170"/>
      <c r="E9" s="170"/>
      <c r="F9" s="190"/>
      <c r="G9" s="167"/>
      <c r="H9" s="175"/>
      <c r="I9" s="171">
        <v>1</v>
      </c>
      <c r="J9" s="204"/>
      <c r="K9" s="175"/>
      <c r="L9" s="176"/>
      <c r="M9" s="159"/>
      <c r="N9" s="248">
        <v>500</v>
      </c>
    </row>
    <row r="10" spans="1:25" ht="14.4" customHeight="1">
      <c r="A10" s="183"/>
      <c r="B10" s="180"/>
      <c r="C10" s="159"/>
      <c r="D10" s="170"/>
      <c r="E10" s="170"/>
      <c r="F10" s="190"/>
      <c r="G10" s="175"/>
      <c r="H10" s="175"/>
      <c r="I10" s="171"/>
      <c r="J10" s="204"/>
      <c r="K10" s="175"/>
      <c r="L10" s="176"/>
      <c r="M10" s="159"/>
      <c r="N10" s="182"/>
      <c r="Q10" s="594" t="s">
        <v>677</v>
      </c>
      <c r="R10" s="595"/>
      <c r="S10" s="608" t="s">
        <v>678</v>
      </c>
      <c r="T10" s="609"/>
      <c r="U10" s="609"/>
      <c r="V10" s="610"/>
    </row>
    <row r="11" spans="1:25" ht="14.4" customHeight="1">
      <c r="A11" s="183"/>
      <c r="B11" s="180"/>
      <c r="C11" s="159"/>
      <c r="D11" s="170"/>
      <c r="E11" s="170"/>
      <c r="F11" s="190"/>
      <c r="G11" s="175"/>
      <c r="H11" s="175"/>
      <c r="I11" s="171"/>
      <c r="J11" s="204"/>
      <c r="K11" s="175"/>
      <c r="L11" s="176"/>
      <c r="M11" s="159"/>
      <c r="N11" s="182"/>
      <c r="Q11" s="596"/>
      <c r="R11" s="597"/>
      <c r="S11" s="611"/>
      <c r="T11" s="613" t="s">
        <v>680</v>
      </c>
      <c r="U11" s="613" t="s">
        <v>681</v>
      </c>
      <c r="V11" s="615"/>
    </row>
    <row r="12" spans="1:25">
      <c r="A12" s="183"/>
      <c r="B12" s="180"/>
      <c r="C12" s="188"/>
      <c r="D12" s="170"/>
      <c r="E12" s="170"/>
      <c r="F12" s="190"/>
      <c r="G12" s="167"/>
      <c r="H12" s="175"/>
      <c r="I12" s="171"/>
      <c r="J12" s="204"/>
      <c r="K12" s="175"/>
      <c r="L12" s="176"/>
      <c r="M12" s="159"/>
      <c r="N12" s="182"/>
      <c r="Q12" s="223" t="s">
        <v>655</v>
      </c>
      <c r="R12" s="224" t="s">
        <v>667</v>
      </c>
      <c r="S12" s="611"/>
      <c r="T12" s="613"/>
      <c r="U12" s="613"/>
      <c r="V12" s="615"/>
    </row>
    <row r="13" spans="1:25">
      <c r="A13" s="183" t="s">
        <v>682</v>
      </c>
      <c r="B13" s="180">
        <f>$L$17/3600</f>
        <v>6.9444444444444441E-3</v>
      </c>
      <c r="C13" s="188">
        <v>0.4</v>
      </c>
      <c r="D13" s="170">
        <v>1.1299999999999999</v>
      </c>
      <c r="E13" s="170">
        <f>B13/$R$5</f>
        <v>2.7762243107693481</v>
      </c>
      <c r="F13" s="190">
        <f>C13*E13^2*D13*0.5</f>
        <v>1.7418772417577235</v>
      </c>
      <c r="G13" s="167"/>
      <c r="H13" s="175"/>
      <c r="I13" s="171">
        <v>3</v>
      </c>
      <c r="J13" s="204">
        <f>Q13</f>
        <v>1.6399999999999988E-2</v>
      </c>
      <c r="K13" s="175"/>
      <c r="L13" s="176"/>
      <c r="M13" s="159"/>
      <c r="N13" s="182">
        <f>F13*I13</f>
        <v>5.2256317252731703</v>
      </c>
      <c r="Q13" s="598">
        <f>4 * ((PI()*((Q6/1000)^2-(P4/1000)^2)/4)) / ((PI()*(Q6+P4)/1000))</f>
        <v>1.6399999999999988E-2</v>
      </c>
      <c r="R13" s="599"/>
      <c r="S13" s="611"/>
      <c r="T13" s="613"/>
      <c r="U13" s="613"/>
      <c r="V13" s="615"/>
    </row>
    <row r="14" spans="1:25" ht="15" thickBot="1">
      <c r="A14" s="183" t="s">
        <v>683</v>
      </c>
      <c r="B14" s="180">
        <f>$L$17/3600</f>
        <v>6.9444444444444441E-3</v>
      </c>
      <c r="C14" s="159">
        <v>0.5</v>
      </c>
      <c r="D14" s="170">
        <v>1.1299999999999999</v>
      </c>
      <c r="E14" s="170">
        <f>B14/$R$5</f>
        <v>2.7762243107693481</v>
      </c>
      <c r="F14" s="190">
        <f>C14*E14^2*D14*0.5</f>
        <v>2.1773465521971542</v>
      </c>
      <c r="G14" s="175"/>
      <c r="H14" s="175"/>
      <c r="I14" s="171">
        <v>1</v>
      </c>
      <c r="J14" s="204">
        <f>Q13</f>
        <v>1.6399999999999988E-2</v>
      </c>
      <c r="K14" s="175"/>
      <c r="L14" s="178"/>
      <c r="M14" s="159"/>
      <c r="N14" s="182">
        <f>F14*I14</f>
        <v>2.1773465521971542</v>
      </c>
      <c r="Q14" s="600"/>
      <c r="R14" s="601"/>
      <c r="S14" s="612"/>
      <c r="T14" s="614"/>
      <c r="U14" s="614"/>
      <c r="V14" s="616"/>
    </row>
    <row r="15" spans="1:25">
      <c r="A15" s="183" t="s">
        <v>684</v>
      </c>
      <c r="B15" s="180"/>
      <c r="C15" s="159"/>
      <c r="D15" s="170"/>
      <c r="E15" s="170"/>
      <c r="F15" s="190"/>
      <c r="G15" s="175"/>
      <c r="H15" s="175"/>
      <c r="I15" s="171"/>
      <c r="J15" s="204"/>
      <c r="K15" s="175">
        <v>80</v>
      </c>
      <c r="L15" s="178">
        <v>2</v>
      </c>
      <c r="M15" s="159">
        <v>15</v>
      </c>
      <c r="N15" s="182">
        <f>L15*M15</f>
        <v>30</v>
      </c>
      <c r="Q15" s="223" t="s">
        <v>655</v>
      </c>
      <c r="R15" s="159" t="s">
        <v>667</v>
      </c>
      <c r="S15" s="183"/>
      <c r="T15" s="159">
        <f>Q13</f>
        <v>1.6399999999999988E-2</v>
      </c>
      <c r="U15" s="159">
        <f>Q13</f>
        <v>1.6399999999999988E-2</v>
      </c>
      <c r="V15" s="224"/>
    </row>
    <row r="16" spans="1:25">
      <c r="A16" s="198"/>
      <c r="B16" s="245"/>
      <c r="C16" s="199"/>
      <c r="D16" s="200"/>
      <c r="E16" s="200"/>
      <c r="F16" s="209"/>
      <c r="G16" s="202"/>
      <c r="H16" s="202"/>
      <c r="I16" s="200"/>
      <c r="J16" s="200"/>
      <c r="K16" s="200"/>
      <c r="L16" s="203" t="s">
        <v>685</v>
      </c>
      <c r="M16" s="199"/>
      <c r="N16" s="267">
        <f>SUM(N6:N15)</f>
        <v>537.62383656743145</v>
      </c>
      <c r="O16" s="208" t="s">
        <v>686</v>
      </c>
      <c r="Q16" s="225" t="s">
        <v>687</v>
      </c>
      <c r="R16" s="284" t="s">
        <v>668</v>
      </c>
      <c r="S16" s="226"/>
      <c r="T16" s="286">
        <f>R5</f>
        <v>2.5013989026412631E-3</v>
      </c>
      <c r="U16" s="286">
        <f>R5</f>
        <v>2.5013989026412631E-3</v>
      </c>
      <c r="V16" s="227"/>
    </row>
    <row r="17" spans="1:23">
      <c r="B17" s="246"/>
      <c r="K17" s="173" t="s">
        <v>688</v>
      </c>
      <c r="L17" s="174">
        <v>25</v>
      </c>
      <c r="M17" s="169"/>
      <c r="N17" s="177"/>
      <c r="Q17" s="225" t="s">
        <v>689</v>
      </c>
      <c r="R17" s="284" t="s">
        <v>669</v>
      </c>
      <c r="S17" s="226"/>
      <c r="T17" s="285">
        <f>T18*T16</f>
        <v>3.7520983539618948E-2</v>
      </c>
      <c r="U17" s="285">
        <f>U18*U16</f>
        <v>0</v>
      </c>
      <c r="V17" s="227"/>
    </row>
    <row r="18" spans="1:23" ht="15" thickBot="1">
      <c r="A18" s="205"/>
      <c r="B18" s="282" t="s">
        <v>647</v>
      </c>
      <c r="C18" s="281" t="s">
        <v>648</v>
      </c>
      <c r="D18" s="278" t="s">
        <v>649</v>
      </c>
      <c r="E18" s="278" t="s">
        <v>650</v>
      </c>
      <c r="F18" s="280" t="s">
        <v>651</v>
      </c>
      <c r="G18" s="278" t="s">
        <v>652</v>
      </c>
      <c r="H18" s="279" t="s">
        <v>653</v>
      </c>
      <c r="I18" s="278" t="s">
        <v>654</v>
      </c>
      <c r="J18" s="278" t="s">
        <v>655</v>
      </c>
      <c r="K18" s="278" t="s">
        <v>656</v>
      </c>
      <c r="L18" s="278" t="s">
        <v>657</v>
      </c>
      <c r="M18" s="277" t="s">
        <v>658</v>
      </c>
      <c r="N18" s="212" t="s">
        <v>659</v>
      </c>
      <c r="Q18" s="225" t="s">
        <v>690</v>
      </c>
      <c r="R18" s="284" t="s">
        <v>667</v>
      </c>
      <c r="S18" s="226"/>
      <c r="T18" s="284">
        <v>15</v>
      </c>
      <c r="U18" s="284"/>
      <c r="V18" s="227"/>
    </row>
    <row r="19" spans="1:23">
      <c r="A19" s="191"/>
      <c r="B19" s="247" t="s">
        <v>662</v>
      </c>
      <c r="C19" s="193"/>
      <c r="D19" s="194" t="s">
        <v>663</v>
      </c>
      <c r="E19" s="194" t="s">
        <v>183</v>
      </c>
      <c r="F19" s="210" t="s">
        <v>664</v>
      </c>
      <c r="G19" s="196" t="s">
        <v>665</v>
      </c>
      <c r="H19" s="196" t="s">
        <v>665</v>
      </c>
      <c r="I19" s="194" t="s">
        <v>666</v>
      </c>
      <c r="J19" s="194" t="s">
        <v>667</v>
      </c>
      <c r="K19" s="196" t="s">
        <v>665</v>
      </c>
      <c r="L19" s="194" t="s">
        <v>664</v>
      </c>
      <c r="M19" s="197" t="s">
        <v>667</v>
      </c>
      <c r="N19" s="213" t="s">
        <v>664</v>
      </c>
      <c r="Q19" s="606" t="s">
        <v>691</v>
      </c>
      <c r="R19" s="607"/>
      <c r="S19" s="228" t="s">
        <v>692</v>
      </c>
      <c r="T19" s="229">
        <f>SUM(T20:T31)</f>
        <v>15000</v>
      </c>
      <c r="U19" s="229">
        <f>SUM(U20:U31)</f>
        <v>0</v>
      </c>
      <c r="V19" s="230"/>
    </row>
    <row r="20" spans="1:23">
      <c r="A20" s="216" t="s">
        <v>693</v>
      </c>
      <c r="B20" s="276"/>
      <c r="C20" s="275"/>
      <c r="D20" s="272"/>
      <c r="E20" s="272"/>
      <c r="F20" s="274"/>
      <c r="G20" s="273"/>
      <c r="H20" s="187"/>
      <c r="I20" s="272"/>
      <c r="J20" s="207"/>
      <c r="K20" s="207"/>
      <c r="L20" s="272"/>
      <c r="M20" s="271"/>
      <c r="N20" s="214"/>
      <c r="Q20" s="602" t="s">
        <v>694</v>
      </c>
      <c r="R20" s="603"/>
      <c r="S20" s="231">
        <v>1</v>
      </c>
      <c r="T20" s="159">
        <v>15000</v>
      </c>
      <c r="U20" s="159"/>
      <c r="V20" s="224"/>
    </row>
    <row r="21" spans="1:23">
      <c r="A21" s="261" t="s">
        <v>695</v>
      </c>
      <c r="B21" s="262">
        <f>$L$31/3600</f>
        <v>2.0833333333333332E-2</v>
      </c>
      <c r="C21" s="258">
        <v>0.5</v>
      </c>
      <c r="D21" s="170">
        <v>1.1299999999999999</v>
      </c>
      <c r="E21" s="170">
        <f>B21/(PI()/4*((K21/1000)^2))</f>
        <v>4.1446599763514413</v>
      </c>
      <c r="F21" s="190">
        <f>C21*E21^2*D21*0.5</f>
        <v>4.8528432852783911</v>
      </c>
      <c r="G21" s="175"/>
      <c r="H21" s="175"/>
      <c r="I21" s="171">
        <v>1</v>
      </c>
      <c r="J21" s="204">
        <f>K21/1000</f>
        <v>0.08</v>
      </c>
      <c r="K21" s="263">
        <v>80</v>
      </c>
      <c r="L21" s="264"/>
      <c r="M21" s="159" t="s">
        <v>672</v>
      </c>
      <c r="N21" s="182">
        <f>F21*I21</f>
        <v>4.8528432852783911</v>
      </c>
      <c r="Q21" s="223"/>
      <c r="R21" s="159"/>
      <c r="S21" s="231"/>
      <c r="T21" s="159"/>
      <c r="U21" s="159"/>
      <c r="V21" s="224"/>
    </row>
    <row r="22" spans="1:23">
      <c r="A22" s="261" t="s">
        <v>696</v>
      </c>
      <c r="B22" s="262">
        <f>$L$31/3600</f>
        <v>2.0833333333333332E-2</v>
      </c>
      <c r="C22" s="159">
        <v>0.4</v>
      </c>
      <c r="D22" s="170">
        <v>1.1299999999999999</v>
      </c>
      <c r="E22" s="170">
        <f>B22/(PI()/4*((K22/1000)^2))</f>
        <v>4.1446599763514413</v>
      </c>
      <c r="F22" s="190">
        <f>C22*E22^2*D22*0.5</f>
        <v>3.8822746282227136</v>
      </c>
      <c r="G22" s="175"/>
      <c r="H22" s="175"/>
      <c r="I22" s="171">
        <v>1</v>
      </c>
      <c r="J22" s="204">
        <f>K22/1000</f>
        <v>0.08</v>
      </c>
      <c r="K22" s="263">
        <v>80</v>
      </c>
      <c r="L22" s="265"/>
      <c r="M22" s="159"/>
      <c r="N22" s="182">
        <f>F22*I22</f>
        <v>3.8822746282227136</v>
      </c>
      <c r="Q22" s="223"/>
      <c r="R22" s="159"/>
      <c r="S22" s="231"/>
      <c r="T22" s="159"/>
      <c r="U22" s="159"/>
      <c r="V22" s="224"/>
    </row>
    <row r="23" spans="1:23">
      <c r="A23" s="183" t="s">
        <v>684</v>
      </c>
      <c r="B23" s="180"/>
      <c r="C23" s="159"/>
      <c r="D23" s="170"/>
      <c r="E23" s="170"/>
      <c r="F23" s="190"/>
      <c r="G23" s="175"/>
      <c r="H23" s="175"/>
      <c r="I23" s="171"/>
      <c r="J23" s="204"/>
      <c r="K23" s="175">
        <v>80</v>
      </c>
      <c r="L23" s="178">
        <v>2</v>
      </c>
      <c r="M23" s="159">
        <v>15</v>
      </c>
      <c r="N23" s="182">
        <f>L23*M23</f>
        <v>30</v>
      </c>
      <c r="Q23" s="223"/>
      <c r="R23" s="159"/>
      <c r="S23" s="231"/>
      <c r="T23" s="159"/>
      <c r="U23" s="159"/>
      <c r="V23" s="224"/>
    </row>
    <row r="24" spans="1:23">
      <c r="A24" s="261" t="s">
        <v>676</v>
      </c>
      <c r="B24" s="262">
        <f>$L$31/3600</f>
        <v>2.0833333333333332E-2</v>
      </c>
      <c r="C24" s="159">
        <v>0.4</v>
      </c>
      <c r="D24" s="170">
        <v>1.1299999999999999</v>
      </c>
      <c r="E24" s="170">
        <f>B24/(PI()/4*((K24/1000)^2))</f>
        <v>4.1446599763514413</v>
      </c>
      <c r="F24" s="190">
        <f>C24*E24^2*D24*0.5</f>
        <v>3.8822746282227136</v>
      </c>
      <c r="G24" s="175"/>
      <c r="H24" s="175"/>
      <c r="I24" s="171">
        <v>5</v>
      </c>
      <c r="J24" s="204">
        <f>K24/1000</f>
        <v>0.08</v>
      </c>
      <c r="K24" s="263">
        <v>80</v>
      </c>
      <c r="L24" s="265"/>
      <c r="M24" s="159"/>
      <c r="N24" s="182">
        <f>F24*I24</f>
        <v>19.411373141113568</v>
      </c>
      <c r="Q24" s="223"/>
      <c r="R24" s="159"/>
      <c r="S24" s="231"/>
      <c r="T24" s="159"/>
      <c r="U24" s="159"/>
      <c r="V24" s="224"/>
    </row>
    <row r="25" spans="1:23">
      <c r="A25" s="261" t="s">
        <v>697</v>
      </c>
      <c r="B25" s="262">
        <f>$L$31/3600</f>
        <v>2.0833333333333332E-2</v>
      </c>
      <c r="C25" s="159">
        <v>1</v>
      </c>
      <c r="D25" s="170">
        <v>1.1299999999999999</v>
      </c>
      <c r="E25" s="170">
        <f>B25/(PI()/4*((K25/1000)^2))</f>
        <v>4.1446599763514413</v>
      </c>
      <c r="F25" s="190">
        <f>C25*E25^2*D25*0.5</f>
        <v>9.7056865705567823</v>
      </c>
      <c r="G25" s="175"/>
      <c r="H25" s="175"/>
      <c r="I25" s="171">
        <v>1</v>
      </c>
      <c r="J25" s="204">
        <f>K25/1000</f>
        <v>0.08</v>
      </c>
      <c r="K25" s="263">
        <v>80</v>
      </c>
      <c r="L25" s="265"/>
      <c r="M25" s="159"/>
      <c r="N25" s="182">
        <f>F25*I25</f>
        <v>9.7056865705567823</v>
      </c>
      <c r="Q25" s="223"/>
      <c r="R25" s="159"/>
      <c r="S25" s="231"/>
      <c r="T25" s="159"/>
      <c r="U25" s="159"/>
      <c r="V25" s="224"/>
    </row>
    <row r="26" spans="1:23">
      <c r="A26" s="261" t="s">
        <v>682</v>
      </c>
      <c r="B26" s="262">
        <f>$L$31/3600</f>
        <v>2.0833333333333332E-2</v>
      </c>
      <c r="C26" s="188">
        <v>0.4</v>
      </c>
      <c r="D26" s="170">
        <v>1.1299999999999999</v>
      </c>
      <c r="E26" s="170">
        <f>B26/$R$5</f>
        <v>8.3286729323080433</v>
      </c>
      <c r="F26" s="190">
        <f>C26*E26^2*D26*0.5</f>
        <v>15.676895175819508</v>
      </c>
      <c r="G26" s="167"/>
      <c r="H26" s="175"/>
      <c r="I26" s="175">
        <v>4</v>
      </c>
      <c r="J26" s="204">
        <f>Q13</f>
        <v>1.6399999999999988E-2</v>
      </c>
      <c r="K26" s="263"/>
      <c r="L26" s="265"/>
      <c r="M26" s="159"/>
      <c r="N26" s="182">
        <f>F26*I26</f>
        <v>62.707580703278033</v>
      </c>
      <c r="Q26" s="223"/>
      <c r="R26" s="159"/>
      <c r="S26" s="231"/>
      <c r="T26" s="159"/>
      <c r="U26" s="159"/>
      <c r="V26" s="224"/>
    </row>
    <row r="27" spans="1:23">
      <c r="A27" s="261" t="s">
        <v>683</v>
      </c>
      <c r="B27" s="262">
        <f>$L$31/3600</f>
        <v>2.0833333333333332E-2</v>
      </c>
      <c r="C27" s="159">
        <v>0.5</v>
      </c>
      <c r="D27" s="170">
        <v>1.1299999999999999</v>
      </c>
      <c r="E27" s="170">
        <f>B27/$R$5</f>
        <v>8.3286729323080433</v>
      </c>
      <c r="F27" s="190">
        <f>C27*E27^2*D27*0.5</f>
        <v>19.596118969774384</v>
      </c>
      <c r="G27" s="175"/>
      <c r="H27" s="175"/>
      <c r="I27" s="171">
        <v>1</v>
      </c>
      <c r="J27" s="204">
        <f>Q13</f>
        <v>1.6399999999999988E-2</v>
      </c>
      <c r="K27" s="263"/>
      <c r="L27" s="264"/>
      <c r="M27" s="159"/>
      <c r="N27" s="182">
        <f>F27*I27</f>
        <v>19.596118969774384</v>
      </c>
      <c r="Q27" s="223"/>
      <c r="R27" s="159"/>
      <c r="S27" s="232"/>
      <c r="T27" s="159"/>
      <c r="U27" s="159"/>
      <c r="V27" s="224"/>
    </row>
    <row r="28" spans="1:23">
      <c r="A28" s="261" t="s">
        <v>698</v>
      </c>
      <c r="B28" s="262">
        <f>$L$31/3600</f>
        <v>2.0833333333333332E-2</v>
      </c>
      <c r="C28" s="270">
        <v>242</v>
      </c>
      <c r="D28" s="170">
        <v>1.1299999999999999</v>
      </c>
      <c r="E28" s="170">
        <f>B28/(PI()/4*((K28/1000)^2))</f>
        <v>2.6525823848649219</v>
      </c>
      <c r="F28" s="190">
        <f>C28*E28^2*D28*0.5</f>
        <v>962.05871107061387</v>
      </c>
      <c r="G28" s="175"/>
      <c r="H28" s="175"/>
      <c r="I28" s="171">
        <v>1</v>
      </c>
      <c r="J28" s="204">
        <f>K28/1000</f>
        <v>0.1</v>
      </c>
      <c r="K28" s="263">
        <v>100</v>
      </c>
      <c r="L28" s="264"/>
      <c r="M28" s="159"/>
      <c r="N28" s="182">
        <f>F28*I28</f>
        <v>962.05871107061387</v>
      </c>
      <c r="Q28" s="223"/>
      <c r="R28" s="159"/>
      <c r="S28" s="232"/>
      <c r="T28" s="159"/>
      <c r="U28" s="159"/>
      <c r="V28" s="224"/>
    </row>
    <row r="29" spans="1:23">
      <c r="A29" s="198"/>
      <c r="B29" s="245"/>
      <c r="C29" s="199"/>
      <c r="D29" s="200"/>
      <c r="E29" s="200"/>
      <c r="F29" s="209"/>
      <c r="G29" s="202"/>
      <c r="H29" s="202"/>
      <c r="I29" s="200"/>
      <c r="J29" s="200"/>
      <c r="K29" s="200"/>
      <c r="L29" s="203" t="s">
        <v>685</v>
      </c>
      <c r="M29" s="199"/>
      <c r="N29" s="266">
        <f>SUM(N21:N28)</f>
        <v>1112.2145883688377</v>
      </c>
      <c r="O29" s="208" t="s">
        <v>699</v>
      </c>
      <c r="Q29" s="223"/>
      <c r="R29" s="159"/>
      <c r="S29" s="232"/>
      <c r="T29" s="159"/>
      <c r="U29" s="159"/>
      <c r="V29" s="224"/>
    </row>
    <row r="30" spans="1:23">
      <c r="A30" s="183"/>
      <c r="B30" s="180"/>
      <c r="C30" s="159"/>
      <c r="D30" s="166"/>
      <c r="E30" s="166"/>
      <c r="F30" s="190"/>
      <c r="G30" s="167"/>
      <c r="H30" s="167"/>
      <c r="I30" s="166"/>
      <c r="J30" s="168"/>
      <c r="K30" s="173"/>
      <c r="L30" s="171"/>
      <c r="M30" s="169"/>
      <c r="N30" s="283"/>
      <c r="O30" s="208"/>
      <c r="Q30" s="223"/>
      <c r="R30" s="159"/>
      <c r="S30" s="232"/>
      <c r="T30" s="159"/>
      <c r="U30" s="159"/>
      <c r="V30" s="224"/>
    </row>
    <row r="31" spans="1:23" ht="15" thickBot="1">
      <c r="B31" s="246"/>
      <c r="K31" s="173" t="s">
        <v>688</v>
      </c>
      <c r="L31" s="174">
        <v>75</v>
      </c>
      <c r="M31" s="169"/>
      <c r="N31" s="177"/>
      <c r="Q31" s="604"/>
      <c r="R31" s="605"/>
      <c r="S31" s="233"/>
      <c r="T31" s="236"/>
      <c r="U31" s="235"/>
      <c r="V31" s="234"/>
    </row>
    <row r="32" spans="1:23">
      <c r="A32" s="205"/>
      <c r="B32" s="282" t="s">
        <v>647</v>
      </c>
      <c r="C32" s="281" t="s">
        <v>648</v>
      </c>
      <c r="D32" s="278" t="s">
        <v>649</v>
      </c>
      <c r="E32" s="278" t="s">
        <v>650</v>
      </c>
      <c r="F32" s="280" t="s">
        <v>651</v>
      </c>
      <c r="G32" s="278" t="s">
        <v>652</v>
      </c>
      <c r="H32" s="279" t="s">
        <v>653</v>
      </c>
      <c r="I32" s="278" t="s">
        <v>654</v>
      </c>
      <c r="J32" s="278" t="s">
        <v>655</v>
      </c>
      <c r="K32" s="278" t="s">
        <v>656</v>
      </c>
      <c r="L32" s="278" t="s">
        <v>657</v>
      </c>
      <c r="M32" s="277" t="s">
        <v>658</v>
      </c>
      <c r="N32" s="212" t="s">
        <v>659</v>
      </c>
      <c r="P32" s="217"/>
      <c r="Q32" s="219"/>
      <c r="R32" s="219"/>
      <c r="S32" s="219"/>
      <c r="T32" s="219"/>
      <c r="U32" s="219"/>
      <c r="V32" s="219"/>
      <c r="W32" s="219"/>
    </row>
    <row r="33" spans="1:18">
      <c r="A33" s="191"/>
      <c r="B33" s="247" t="s">
        <v>662</v>
      </c>
      <c r="C33" s="193"/>
      <c r="D33" s="194" t="s">
        <v>663</v>
      </c>
      <c r="E33" s="194" t="s">
        <v>183</v>
      </c>
      <c r="F33" s="210" t="s">
        <v>664</v>
      </c>
      <c r="G33" s="196" t="s">
        <v>665</v>
      </c>
      <c r="H33" s="196" t="s">
        <v>665</v>
      </c>
      <c r="I33" s="194" t="s">
        <v>666</v>
      </c>
      <c r="J33" s="194" t="s">
        <v>667</v>
      </c>
      <c r="K33" s="196" t="s">
        <v>665</v>
      </c>
      <c r="L33" s="194" t="s">
        <v>664</v>
      </c>
      <c r="M33" s="197" t="s">
        <v>667</v>
      </c>
      <c r="N33" s="213" t="s">
        <v>664</v>
      </c>
    </row>
    <row r="34" spans="1:18">
      <c r="A34" s="216" t="s">
        <v>700</v>
      </c>
      <c r="B34" s="276"/>
      <c r="C34" s="275"/>
      <c r="D34" s="272"/>
      <c r="E34" s="272"/>
      <c r="F34" s="274"/>
      <c r="G34" s="273"/>
      <c r="H34" s="187"/>
      <c r="I34" s="272"/>
      <c r="J34" s="207"/>
      <c r="K34" s="207"/>
      <c r="L34" s="272"/>
      <c r="M34" s="271"/>
      <c r="N34" s="214"/>
    </row>
    <row r="35" spans="1:18" ht="14.4" customHeight="1">
      <c r="A35" s="183" t="s">
        <v>701</v>
      </c>
      <c r="B35" s="180">
        <f>$L$43/3600</f>
        <v>2.7777777777777776E-2</v>
      </c>
      <c r="C35" s="159">
        <v>1</v>
      </c>
      <c r="D35" s="170">
        <v>1.1299999999999999</v>
      </c>
      <c r="E35" s="170">
        <f>B35/(PI()/4*((K35/1000)^2))</f>
        <v>3.5367765131532294</v>
      </c>
      <c r="F35" s="190">
        <f>C35*E35^2*D35*0.5</f>
        <v>7.067465278755658</v>
      </c>
      <c r="G35" s="175"/>
      <c r="H35" s="175"/>
      <c r="I35" s="171">
        <v>1</v>
      </c>
      <c r="J35" s="204"/>
      <c r="K35" s="175">
        <v>100</v>
      </c>
      <c r="L35" s="178"/>
      <c r="M35" s="159" t="s">
        <v>672</v>
      </c>
      <c r="N35" s="182">
        <f>F35*I35</f>
        <v>7.067465278755658</v>
      </c>
      <c r="Q35" s="589" t="s">
        <v>702</v>
      </c>
      <c r="R35" s="589"/>
    </row>
    <row r="36" spans="1:18">
      <c r="A36" s="183" t="s">
        <v>674</v>
      </c>
      <c r="B36" s="180">
        <f>$L$43/3600</f>
        <v>2.7777777777777776E-2</v>
      </c>
      <c r="C36" s="188">
        <v>0.4</v>
      </c>
      <c r="D36" s="170">
        <v>1.1299999999999999</v>
      </c>
      <c r="E36" s="170">
        <f>B36/(PI()/4*((K36/1000)^2))</f>
        <v>3.5367765131532294</v>
      </c>
      <c r="F36" s="190">
        <f>C36*E36^2*D36*0.5</f>
        <v>2.8269861115022632</v>
      </c>
      <c r="G36" s="167"/>
      <c r="H36" s="175"/>
      <c r="I36" s="189">
        <v>2</v>
      </c>
      <c r="J36" s="204"/>
      <c r="K36" s="175">
        <v>100</v>
      </c>
      <c r="L36" s="178"/>
      <c r="M36" s="159"/>
      <c r="N36" s="182">
        <f>F36*I36</f>
        <v>5.6539722230045264</v>
      </c>
      <c r="Q36" s="589"/>
      <c r="R36" s="589"/>
    </row>
    <row r="37" spans="1:18">
      <c r="A37" s="183" t="s">
        <v>676</v>
      </c>
      <c r="B37" s="180">
        <f>$L$43/3600</f>
        <v>2.7777777777777776E-2</v>
      </c>
      <c r="C37" s="188">
        <v>0.4</v>
      </c>
      <c r="D37" s="170">
        <v>1.1299999999999999</v>
      </c>
      <c r="E37" s="170">
        <f>B37/(PI()/4*((K37/1000)^2))</f>
        <v>3.5367765131532294</v>
      </c>
      <c r="F37" s="190">
        <f>C37*E37^2*D37*0.5</f>
        <v>2.8269861115022632</v>
      </c>
      <c r="G37" s="167"/>
      <c r="H37" s="175"/>
      <c r="I37" s="171">
        <v>10</v>
      </c>
      <c r="J37" s="204"/>
      <c r="K37" s="175">
        <v>100</v>
      </c>
      <c r="L37" s="176"/>
      <c r="M37" s="159"/>
      <c r="N37" s="182">
        <f>F37*I37</f>
        <v>28.269861115022632</v>
      </c>
      <c r="Q37" s="589"/>
      <c r="R37" s="589"/>
    </row>
    <row r="38" spans="1:18">
      <c r="A38" s="183" t="s">
        <v>703</v>
      </c>
      <c r="B38" s="180">
        <f>$L$43/3600</f>
        <v>2.7777777777777776E-2</v>
      </c>
      <c r="C38" s="159">
        <v>0.5</v>
      </c>
      <c r="D38" s="170">
        <v>1.1299999999999999</v>
      </c>
      <c r="E38" s="170">
        <f>B38/(PI()/4*((K38/1000)^2))</f>
        <v>3.5367765131532294</v>
      </c>
      <c r="F38" s="190">
        <f>C38*E38^2*D38*0.5</f>
        <v>3.533732639377829</v>
      </c>
      <c r="G38" s="175"/>
      <c r="H38" s="175"/>
      <c r="I38" s="171">
        <v>1</v>
      </c>
      <c r="J38" s="204"/>
      <c r="K38" s="175">
        <v>100</v>
      </c>
      <c r="L38" s="178"/>
      <c r="M38" s="159"/>
      <c r="N38" s="182">
        <f>F38*I38</f>
        <v>3.533732639377829</v>
      </c>
    </row>
    <row r="39" spans="1:18">
      <c r="A39" s="183" t="s">
        <v>704</v>
      </c>
      <c r="B39" s="180">
        <f>$L$43/3600</f>
        <v>2.7777777777777776E-2</v>
      </c>
      <c r="C39" s="159">
        <v>0.5</v>
      </c>
      <c r="D39" s="170">
        <v>1.1299999999999999</v>
      </c>
      <c r="E39" s="170">
        <f>B39/(PI()/4*((K39/1000)^2))</f>
        <v>3.5367765131532294</v>
      </c>
      <c r="F39" s="190">
        <f>C39*E39^2*D39*0.5</f>
        <v>3.533732639377829</v>
      </c>
      <c r="G39" s="175"/>
      <c r="H39" s="175"/>
      <c r="I39" s="171">
        <v>2</v>
      </c>
      <c r="J39" s="204"/>
      <c r="K39" s="175">
        <v>100</v>
      </c>
      <c r="L39" s="178"/>
      <c r="M39" s="159"/>
      <c r="N39" s="182">
        <f>F39*I39</f>
        <v>7.067465278755658</v>
      </c>
    </row>
    <row r="40" spans="1:18">
      <c r="A40" s="183" t="s">
        <v>684</v>
      </c>
      <c r="B40" s="180"/>
      <c r="C40" s="159"/>
      <c r="D40" s="170"/>
      <c r="E40" s="170"/>
      <c r="F40" s="190"/>
      <c r="G40" s="175"/>
      <c r="H40" s="175"/>
      <c r="I40" s="171"/>
      <c r="J40" s="204"/>
      <c r="K40" s="175">
        <v>100</v>
      </c>
      <c r="L40" s="178">
        <v>1</v>
      </c>
      <c r="M40" s="159">
        <v>15</v>
      </c>
      <c r="N40" s="182">
        <f>L40*M40</f>
        <v>15</v>
      </c>
    </row>
    <row r="41" spans="1:18">
      <c r="A41" s="198"/>
      <c r="B41" s="245"/>
      <c r="C41" s="199"/>
      <c r="D41" s="200"/>
      <c r="E41" s="200"/>
      <c r="F41" s="201"/>
      <c r="G41" s="202"/>
      <c r="H41" s="202"/>
      <c r="I41" s="200"/>
      <c r="J41" s="200"/>
      <c r="K41" s="200"/>
      <c r="L41" s="203" t="s">
        <v>685</v>
      </c>
      <c r="M41" s="199"/>
      <c r="N41" s="268">
        <f>SUM(N35:N40)</f>
        <v>66.592496534916307</v>
      </c>
      <c r="O41" s="208" t="s">
        <v>705</v>
      </c>
    </row>
    <row r="42" spans="1:18">
      <c r="A42" s="159"/>
      <c r="B42" s="165"/>
      <c r="C42" s="159"/>
      <c r="D42" s="166"/>
      <c r="E42" s="166"/>
      <c r="F42" s="171"/>
      <c r="G42" s="167"/>
      <c r="H42" s="167"/>
      <c r="I42" s="166"/>
      <c r="K42" s="173" t="s">
        <v>706</v>
      </c>
      <c r="L42" s="171"/>
      <c r="M42" s="169"/>
      <c r="N42" s="269">
        <f>N41+N29</f>
        <v>1178.807084903754</v>
      </c>
    </row>
    <row r="43" spans="1:18">
      <c r="A43" s="188"/>
      <c r="B43" s="165"/>
      <c r="C43" s="159"/>
      <c r="D43" s="166"/>
      <c r="E43" s="166"/>
      <c r="F43" s="171"/>
      <c r="G43" s="167"/>
      <c r="H43" s="167"/>
      <c r="I43" s="166"/>
      <c r="K43" s="173" t="s">
        <v>707</v>
      </c>
      <c r="L43" s="257">
        <f>L17+L31</f>
        <v>100</v>
      </c>
      <c r="M43" s="169"/>
      <c r="N43" s="177">
        <v>1200</v>
      </c>
      <c r="O43" s="157" t="s">
        <v>708</v>
      </c>
    </row>
    <row r="44" spans="1:18">
      <c r="E44" s="161"/>
      <c r="I44" s="161"/>
    </row>
    <row r="45" spans="1:18">
      <c r="E45" s="161"/>
      <c r="I45" s="161"/>
    </row>
    <row r="46" spans="1:18">
      <c r="E46" s="161"/>
      <c r="I46" s="161"/>
    </row>
    <row r="47" spans="1:18">
      <c r="E47" s="161"/>
      <c r="I47" s="161"/>
    </row>
    <row r="48" spans="1:18">
      <c r="E48" s="161"/>
      <c r="I48" s="161"/>
    </row>
    <row r="49" spans="5:9" s="157" customFormat="1">
      <c r="E49" s="161"/>
      <c r="F49" s="172"/>
      <c r="G49" s="162"/>
      <c r="H49" s="162"/>
      <c r="I49" s="161"/>
    </row>
    <row r="50" spans="5:9" s="157" customFormat="1">
      <c r="E50" s="161"/>
      <c r="F50" s="172"/>
      <c r="G50" s="162"/>
      <c r="H50" s="162"/>
      <c r="I50" s="161"/>
    </row>
    <row r="51" spans="5:9" s="157" customFormat="1">
      <c r="E51" s="161"/>
      <c r="F51" s="172"/>
      <c r="G51" s="162"/>
      <c r="H51" s="162"/>
      <c r="I51" s="161"/>
    </row>
    <row r="52" spans="5:9" s="157" customFormat="1">
      <c r="E52" s="161"/>
      <c r="F52" s="172"/>
      <c r="G52" s="162"/>
      <c r="H52" s="162"/>
      <c r="I52" s="161"/>
    </row>
    <row r="53" spans="5:9" s="157" customFormat="1">
      <c r="E53" s="161"/>
      <c r="F53" s="172"/>
      <c r="G53" s="162"/>
      <c r="H53" s="162"/>
      <c r="I53" s="161"/>
    </row>
    <row r="54" spans="5:9" s="157" customFormat="1">
      <c r="E54" s="161"/>
      <c r="F54" s="172"/>
      <c r="G54" s="162"/>
      <c r="H54" s="162"/>
      <c r="I54" s="161"/>
    </row>
    <row r="55" spans="5:9" s="157" customFormat="1">
      <c r="E55" s="161"/>
      <c r="F55" s="172"/>
      <c r="G55" s="162"/>
      <c r="H55" s="162"/>
      <c r="I55" s="161"/>
    </row>
    <row r="56" spans="5:9" s="157" customFormat="1">
      <c r="E56" s="161"/>
      <c r="F56" s="172"/>
      <c r="G56" s="162"/>
      <c r="H56" s="162"/>
      <c r="I56" s="161"/>
    </row>
    <row r="57" spans="5:9" s="157" customFormat="1">
      <c r="E57" s="161"/>
      <c r="F57" s="172"/>
      <c r="G57" s="162"/>
      <c r="H57" s="162"/>
      <c r="I57" s="161"/>
    </row>
    <row r="58" spans="5:9" s="157" customFormat="1">
      <c r="E58" s="161"/>
      <c r="F58" s="172"/>
      <c r="G58" s="162"/>
      <c r="H58" s="162"/>
      <c r="I58" s="161"/>
    </row>
    <row r="59" spans="5:9" s="157" customFormat="1">
      <c r="E59" s="161"/>
      <c r="F59" s="172"/>
      <c r="G59" s="162"/>
      <c r="H59" s="162"/>
      <c r="I59" s="161"/>
    </row>
    <row r="60" spans="5:9" s="157" customFormat="1">
      <c r="E60" s="161"/>
      <c r="F60" s="172"/>
      <c r="G60" s="162"/>
      <c r="H60" s="162"/>
      <c r="I60" s="161"/>
    </row>
    <row r="61" spans="5:9" s="157" customFormat="1">
      <c r="E61" s="161"/>
      <c r="F61" s="172"/>
      <c r="G61" s="162"/>
      <c r="H61" s="162"/>
      <c r="I61" s="161"/>
    </row>
    <row r="62" spans="5:9" s="157" customFormat="1">
      <c r="E62" s="161"/>
      <c r="F62" s="172"/>
      <c r="G62" s="162"/>
      <c r="H62" s="162"/>
      <c r="I62" s="161"/>
    </row>
    <row r="63" spans="5:9" s="157" customFormat="1">
      <c r="E63" s="161"/>
      <c r="F63" s="172"/>
      <c r="G63" s="162"/>
      <c r="H63" s="162"/>
      <c r="I63" s="163"/>
    </row>
    <row r="64" spans="5:9" s="157" customFormat="1">
      <c r="E64" s="161"/>
      <c r="F64" s="172"/>
      <c r="G64" s="162"/>
      <c r="H64" s="162"/>
      <c r="I64" s="163"/>
    </row>
    <row r="65" spans="5:5" s="157" customFormat="1">
      <c r="E65" s="161"/>
    </row>
    <row r="66" spans="5:5" s="157" customFormat="1">
      <c r="E66" s="161"/>
    </row>
    <row r="67" spans="5:5" s="157" customFormat="1">
      <c r="E67" s="161"/>
    </row>
    <row r="68" spans="5:5" s="157" customFormat="1">
      <c r="E68" s="161"/>
    </row>
    <row r="69" spans="5:5" s="157" customFormat="1">
      <c r="E69" s="161"/>
    </row>
    <row r="70" spans="5:5" s="157" customFormat="1">
      <c r="E70" s="161"/>
    </row>
    <row r="71" spans="5:5" s="157" customFormat="1">
      <c r="E71" s="161"/>
    </row>
    <row r="72" spans="5:5" s="157" customFormat="1">
      <c r="E72" s="161"/>
    </row>
    <row r="73" spans="5:5" s="157" customFormat="1">
      <c r="E73" s="161"/>
    </row>
    <row r="74" spans="5:5" s="157" customFormat="1">
      <c r="E74" s="161"/>
    </row>
    <row r="75" spans="5:5" s="157" customFormat="1">
      <c r="E75" s="161"/>
    </row>
    <row r="76" spans="5:5" s="157" customFormat="1">
      <c r="E76" s="161"/>
    </row>
    <row r="77" spans="5:5" s="157" customFormat="1">
      <c r="E77" s="161"/>
    </row>
    <row r="78" spans="5:5" s="157" customFormat="1">
      <c r="E78" s="161"/>
    </row>
    <row r="79" spans="5:5" s="157" customFormat="1">
      <c r="E79" s="161"/>
    </row>
    <row r="80" spans="5:5" s="157" customFormat="1">
      <c r="E80" s="161"/>
    </row>
    <row r="81" spans="5:5" s="157" customFormat="1">
      <c r="E81" s="161"/>
    </row>
    <row r="82" spans="5:5" s="157" customFormat="1">
      <c r="E82" s="161"/>
    </row>
    <row r="83" spans="5:5" s="157" customFormat="1">
      <c r="E83" s="161"/>
    </row>
    <row r="84" spans="5:5" s="157" customFormat="1">
      <c r="E84" s="161"/>
    </row>
    <row r="85" spans="5:5" s="157" customFormat="1">
      <c r="E85" s="161"/>
    </row>
    <row r="86" spans="5:5" s="157" customFormat="1">
      <c r="E86" s="161"/>
    </row>
    <row r="87" spans="5:5" s="157" customFormat="1">
      <c r="E87" s="161"/>
    </row>
    <row r="88" spans="5:5" s="157" customFormat="1">
      <c r="E88" s="161"/>
    </row>
    <row r="89" spans="5:5" s="157" customFormat="1">
      <c r="E89" s="161"/>
    </row>
    <row r="90" spans="5:5" s="157" customFormat="1">
      <c r="E90" s="161"/>
    </row>
    <row r="91" spans="5:5" s="157" customFormat="1">
      <c r="E91" s="161"/>
    </row>
    <row r="92" spans="5:5" s="157" customFormat="1">
      <c r="E92" s="161"/>
    </row>
    <row r="93" spans="5:5" s="157" customFormat="1">
      <c r="E93" s="161"/>
    </row>
    <row r="94" spans="5:5" s="157" customFormat="1">
      <c r="E94" s="161"/>
    </row>
    <row r="95" spans="5:5" s="157" customFormat="1">
      <c r="E95" s="161"/>
    </row>
    <row r="96" spans="5:5" s="157" customFormat="1">
      <c r="E96" s="161"/>
    </row>
    <row r="97" spans="5:5" s="157" customFormat="1">
      <c r="E97" s="161"/>
    </row>
    <row r="98" spans="5:5" s="157" customFormat="1">
      <c r="E98" s="161"/>
    </row>
    <row r="99" spans="5:5" s="157" customFormat="1">
      <c r="E99" s="161"/>
    </row>
    <row r="100" spans="5:5" s="157" customFormat="1">
      <c r="E100" s="161"/>
    </row>
    <row r="101" spans="5:5" s="157" customFormat="1">
      <c r="E101" s="161"/>
    </row>
    <row r="102" spans="5:5" s="157" customFormat="1">
      <c r="E102" s="161"/>
    </row>
    <row r="103" spans="5:5" s="157" customFormat="1">
      <c r="E103" s="161"/>
    </row>
    <row r="104" spans="5:5" s="157" customFormat="1">
      <c r="E104" s="161"/>
    </row>
    <row r="105" spans="5:5" s="157" customFormat="1">
      <c r="E105" s="161"/>
    </row>
    <row r="106" spans="5:5" s="157" customFormat="1">
      <c r="E106" s="161"/>
    </row>
    <row r="107" spans="5:5" s="157" customFormat="1">
      <c r="E107" s="161"/>
    </row>
    <row r="108" spans="5:5" s="157" customFormat="1">
      <c r="E108" s="161"/>
    </row>
    <row r="109" spans="5:5" s="157" customFormat="1">
      <c r="E109" s="161"/>
    </row>
    <row r="110" spans="5:5" s="157" customFormat="1">
      <c r="E110" s="161"/>
    </row>
    <row r="111" spans="5:5" s="157" customFormat="1">
      <c r="E111" s="161"/>
    </row>
    <row r="112" spans="5:5" s="157" customFormat="1">
      <c r="E112" s="161"/>
    </row>
    <row r="113" spans="5:5" s="157" customFormat="1">
      <c r="E113" s="161"/>
    </row>
    <row r="114" spans="5:5" s="157" customFormat="1">
      <c r="E114" s="161"/>
    </row>
    <row r="115" spans="5:5" s="157" customFormat="1">
      <c r="E115" s="161"/>
    </row>
    <row r="116" spans="5:5" s="157" customFormat="1">
      <c r="E116" s="161"/>
    </row>
    <row r="117" spans="5:5" s="157" customFormat="1">
      <c r="E117" s="161"/>
    </row>
    <row r="118" spans="5:5" s="157" customFormat="1">
      <c r="E118" s="161"/>
    </row>
    <row r="119" spans="5:5" s="157" customFormat="1">
      <c r="E119" s="161"/>
    </row>
    <row r="120" spans="5:5" s="157" customFormat="1">
      <c r="E120" s="161"/>
    </row>
    <row r="121" spans="5:5" s="157" customFormat="1">
      <c r="E121" s="161"/>
    </row>
    <row r="122" spans="5:5" s="157" customFormat="1">
      <c r="E122" s="161"/>
    </row>
    <row r="123" spans="5:5" s="157" customFormat="1">
      <c r="E123" s="161"/>
    </row>
    <row r="124" spans="5:5" s="157" customFormat="1">
      <c r="E124" s="161"/>
    </row>
  </sheetData>
  <mergeCells count="21">
    <mergeCell ref="X2:X3"/>
    <mergeCell ref="R2:R3"/>
    <mergeCell ref="S2:S3"/>
    <mergeCell ref="T2:T3"/>
    <mergeCell ref="U2:U3"/>
    <mergeCell ref="V2:V3"/>
    <mergeCell ref="W2:W3"/>
    <mergeCell ref="Q35:R37"/>
    <mergeCell ref="P5:Q5"/>
    <mergeCell ref="R5:R6"/>
    <mergeCell ref="Q10:R11"/>
    <mergeCell ref="Q13:R14"/>
    <mergeCell ref="P7:X7"/>
    <mergeCell ref="Q20:R20"/>
    <mergeCell ref="Q31:R31"/>
    <mergeCell ref="Q19:R19"/>
    <mergeCell ref="S10:V10"/>
    <mergeCell ref="S11:S14"/>
    <mergeCell ref="T11:T14"/>
    <mergeCell ref="U11:U14"/>
    <mergeCell ref="V11:V14"/>
  </mergeCells>
  <pageMargins left="0.70866141732283472" right="0.70866141732283472" top="0.74803149606299213" bottom="0.74803149606299213" header="0.31496062992125984" footer="0.31496062992125984"/>
  <pageSetup paperSize="9" scale="75" fitToHeight="2" orientation="portrait" r:id="rId1"/>
  <headerFooter>
    <oddHeader>&amp;CEnclosure Ventilation Syst. Calc.&amp;R&amp;F    Sheet &amp;P of &amp;N+3.</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8"/>
  <sheetViews>
    <sheetView workbookViewId="0">
      <selection activeCell="F24" sqref="F24"/>
    </sheetView>
  </sheetViews>
  <sheetFormatPr defaultRowHeight="14.4"/>
  <cols>
    <col min="1" max="11" width="9.109375" customWidth="1"/>
  </cols>
  <sheetData>
    <row r="1" spans="1:10" ht="15" thickBot="1">
      <c r="A1" s="310" t="s">
        <v>712</v>
      </c>
      <c r="B1" s="311" t="s">
        <v>664</v>
      </c>
      <c r="C1" s="311" t="s">
        <v>716</v>
      </c>
      <c r="D1" s="311" t="s">
        <v>717</v>
      </c>
      <c r="E1" s="311" t="s">
        <v>710</v>
      </c>
      <c r="F1" s="311" t="s">
        <v>711</v>
      </c>
      <c r="G1" s="311" t="s">
        <v>712</v>
      </c>
      <c r="H1" s="311" t="s">
        <v>714</v>
      </c>
      <c r="I1" s="311" t="s">
        <v>713</v>
      </c>
      <c r="J1" s="312" t="s">
        <v>715</v>
      </c>
    </row>
    <row r="2" spans="1:10" ht="15" thickBot="1">
      <c r="A2" s="416">
        <v>1</v>
      </c>
      <c r="B2" s="313">
        <v>100</v>
      </c>
      <c r="C2" s="314">
        <f>B2/1000</f>
        <v>0.1</v>
      </c>
      <c r="D2" s="314">
        <f>B2/1000000</f>
        <v>1E-4</v>
      </c>
      <c r="E2" s="314">
        <f>B2/100000</f>
        <v>1E-3</v>
      </c>
      <c r="F2" s="314">
        <f>B2/98066.5</f>
        <v>1.0197162129779282E-3</v>
      </c>
      <c r="G2" s="314">
        <f>B2/9.80665</f>
        <v>10.197162129779283</v>
      </c>
      <c r="H2" s="314">
        <f>B2/9.80665/1000</f>
        <v>1.0197162129779284E-2</v>
      </c>
      <c r="I2" s="314">
        <f>B2/133.32239</f>
        <v>0.7500615613026439</v>
      </c>
      <c r="J2" s="315">
        <f>B2/6894.75728</f>
        <v>1.4503773800721815E-2</v>
      </c>
    </row>
    <row r="3" spans="1:10" ht="15" thickBot="1">
      <c r="A3" s="316">
        <v>25.4</v>
      </c>
      <c r="B3" s="317">
        <f t="shared" ref="B3:J10" si="0">$A3/CHOOSE(MATCH($A$1,units,0),$B$2,$C$2,$D$2,$E$2,$F$2,$G$2,$H$2,$I$2,$J$2,)*B$2</f>
        <v>249.08890999999994</v>
      </c>
      <c r="C3" s="318">
        <f t="shared" si="0"/>
        <v>0.24908890999999997</v>
      </c>
      <c r="D3" s="318">
        <f t="shared" si="0"/>
        <v>2.4908890999999995E-4</v>
      </c>
      <c r="E3" s="318">
        <f t="shared" si="0"/>
        <v>2.4908890999999996E-3</v>
      </c>
      <c r="F3" s="318">
        <f t="shared" si="0"/>
        <v>2.5399999999999993E-3</v>
      </c>
      <c r="G3" s="318">
        <f t="shared" si="0"/>
        <v>25.399999999999995</v>
      </c>
      <c r="H3" s="318">
        <f t="shared" si="0"/>
        <v>2.5399999999999999E-2</v>
      </c>
      <c r="I3" s="318">
        <f t="shared" si="0"/>
        <v>1.8683201673777372</v>
      </c>
      <c r="J3" s="319">
        <f t="shared" si="0"/>
        <v>3.6127292069083536E-2</v>
      </c>
    </row>
    <row r="4" spans="1:10" ht="15" thickBot="1">
      <c r="A4" s="316">
        <f>A3*0.8</f>
        <v>20.32</v>
      </c>
      <c r="B4" s="320">
        <f t="shared" si="0"/>
        <v>199.271128</v>
      </c>
      <c r="C4" s="218">
        <f t="shared" si="0"/>
        <v>0.19927112800000002</v>
      </c>
      <c r="D4" s="218">
        <f t="shared" si="0"/>
        <v>1.99271128E-4</v>
      </c>
      <c r="E4" s="218">
        <f t="shared" si="0"/>
        <v>1.9927112800000001E-3</v>
      </c>
      <c r="F4" s="218">
        <f t="shared" si="0"/>
        <v>2.032E-3</v>
      </c>
      <c r="G4" s="218">
        <f t="shared" si="0"/>
        <v>20.32</v>
      </c>
      <c r="H4" s="218">
        <f t="shared" si="0"/>
        <v>2.0320000000000001E-2</v>
      </c>
      <c r="I4" s="218">
        <f t="shared" si="0"/>
        <v>1.49465613390219</v>
      </c>
      <c r="J4" s="321">
        <f t="shared" si="0"/>
        <v>2.8901833655266832E-2</v>
      </c>
    </row>
    <row r="5" spans="1:10" ht="15" thickBot="1">
      <c r="A5" s="316">
        <f>A3*0.6</f>
        <v>15.239999999999998</v>
      </c>
      <c r="B5" s="320">
        <f t="shared" si="0"/>
        <v>149.45334599999998</v>
      </c>
      <c r="C5" s="218">
        <f t="shared" si="0"/>
        <v>0.14945334599999999</v>
      </c>
      <c r="D5" s="218">
        <f t="shared" si="0"/>
        <v>1.4945334599999999E-4</v>
      </c>
      <c r="E5" s="218">
        <f t="shared" si="0"/>
        <v>1.4945334599999998E-3</v>
      </c>
      <c r="F5" s="218">
        <f t="shared" si="0"/>
        <v>1.5239999999999997E-3</v>
      </c>
      <c r="G5" s="218">
        <f t="shared" si="0"/>
        <v>15.239999999999998</v>
      </c>
      <c r="H5" s="218">
        <f t="shared" si="0"/>
        <v>1.524E-2</v>
      </c>
      <c r="I5" s="218">
        <f t="shared" si="0"/>
        <v>1.1209921004266423</v>
      </c>
      <c r="J5" s="321">
        <f t="shared" si="0"/>
        <v>2.1676375241450122E-2</v>
      </c>
    </row>
    <row r="6" spans="1:10" ht="15" thickBot="1">
      <c r="A6" s="316">
        <f>A3*0.4</f>
        <v>10.16</v>
      </c>
      <c r="B6" s="320">
        <f t="shared" si="0"/>
        <v>99.635564000000002</v>
      </c>
      <c r="C6" s="218">
        <f t="shared" si="0"/>
        <v>9.963556400000001E-2</v>
      </c>
      <c r="D6" s="218">
        <f t="shared" si="0"/>
        <v>9.9635564E-5</v>
      </c>
      <c r="E6" s="218">
        <f t="shared" si="0"/>
        <v>9.9635564000000003E-4</v>
      </c>
      <c r="F6" s="218">
        <f t="shared" si="0"/>
        <v>1.016E-3</v>
      </c>
      <c r="G6" s="218">
        <f t="shared" si="0"/>
        <v>10.16</v>
      </c>
      <c r="H6" s="218">
        <f t="shared" si="0"/>
        <v>1.0160000000000001E-2</v>
      </c>
      <c r="I6" s="218">
        <f t="shared" si="0"/>
        <v>0.74732806695109499</v>
      </c>
      <c r="J6" s="321">
        <f t="shared" si="0"/>
        <v>1.4450916827633416E-2</v>
      </c>
    </row>
    <row r="7" spans="1:10" ht="15" thickBot="1">
      <c r="A7" s="316">
        <f>A3*0.2</f>
        <v>5.08</v>
      </c>
      <c r="B7" s="320">
        <f t="shared" si="0"/>
        <v>49.817782000000001</v>
      </c>
      <c r="C7" s="218">
        <f t="shared" si="0"/>
        <v>4.9817782000000005E-2</v>
      </c>
      <c r="D7" s="218">
        <f t="shared" si="0"/>
        <v>4.9817782E-5</v>
      </c>
      <c r="E7" s="218">
        <f t="shared" si="0"/>
        <v>4.9817782000000001E-4</v>
      </c>
      <c r="F7" s="218">
        <f t="shared" si="0"/>
        <v>5.0799999999999999E-4</v>
      </c>
      <c r="G7" s="218">
        <f t="shared" si="0"/>
        <v>5.08</v>
      </c>
      <c r="H7" s="218">
        <f t="shared" si="0"/>
        <v>5.0800000000000003E-3</v>
      </c>
      <c r="I7" s="218">
        <f t="shared" si="0"/>
        <v>0.3736640334755475</v>
      </c>
      <c r="J7" s="321">
        <f t="shared" si="0"/>
        <v>7.225458413816708E-3</v>
      </c>
    </row>
    <row r="8" spans="1:10" ht="15" thickBot="1">
      <c r="A8" s="316">
        <f>A3*0.1</f>
        <v>2.54</v>
      </c>
      <c r="B8" s="320">
        <f t="shared" si="0"/>
        <v>24.908891000000001</v>
      </c>
      <c r="C8" s="218">
        <f t="shared" si="0"/>
        <v>2.4908891000000002E-2</v>
      </c>
      <c r="D8" s="218">
        <f t="shared" si="0"/>
        <v>2.4908891E-5</v>
      </c>
      <c r="E8" s="218">
        <f t="shared" si="0"/>
        <v>2.4908891000000001E-4</v>
      </c>
      <c r="F8" s="218">
        <f t="shared" si="0"/>
        <v>2.5399999999999999E-4</v>
      </c>
      <c r="G8" s="218">
        <f t="shared" si="0"/>
        <v>2.54</v>
      </c>
      <c r="H8" s="218">
        <f t="shared" si="0"/>
        <v>2.5400000000000002E-3</v>
      </c>
      <c r="I8" s="218">
        <f t="shared" si="0"/>
        <v>0.18683201673777375</v>
      </c>
      <c r="J8" s="321">
        <f t="shared" si="0"/>
        <v>3.612729206908354E-3</v>
      </c>
    </row>
    <row r="9" spans="1:10" ht="15" thickBot="1">
      <c r="A9" s="316"/>
      <c r="B9" s="320">
        <f t="shared" si="0"/>
        <v>0</v>
      </c>
      <c r="C9" s="218">
        <f t="shared" si="0"/>
        <v>0</v>
      </c>
      <c r="D9" s="218">
        <f t="shared" si="0"/>
        <v>0</v>
      </c>
      <c r="E9" s="218">
        <f t="shared" si="0"/>
        <v>0</v>
      </c>
      <c r="F9" s="218">
        <f t="shared" si="0"/>
        <v>0</v>
      </c>
      <c r="G9" s="218">
        <f t="shared" si="0"/>
        <v>0</v>
      </c>
      <c r="H9" s="218">
        <f t="shared" si="0"/>
        <v>0</v>
      </c>
      <c r="I9" s="218">
        <f t="shared" si="0"/>
        <v>0</v>
      </c>
      <c r="J9" s="321">
        <f t="shared" si="0"/>
        <v>0</v>
      </c>
    </row>
    <row r="10" spans="1:10" ht="15" thickBot="1">
      <c r="A10" s="316"/>
      <c r="B10" s="322">
        <f t="shared" si="0"/>
        <v>0</v>
      </c>
      <c r="C10" s="241">
        <f t="shared" si="0"/>
        <v>0</v>
      </c>
      <c r="D10" s="241">
        <f t="shared" si="0"/>
        <v>0</v>
      </c>
      <c r="E10" s="241">
        <f t="shared" si="0"/>
        <v>0</v>
      </c>
      <c r="F10" s="241">
        <f t="shared" si="0"/>
        <v>0</v>
      </c>
      <c r="G10" s="241">
        <f t="shared" si="0"/>
        <v>0</v>
      </c>
      <c r="H10" s="241">
        <f t="shared" si="0"/>
        <v>0</v>
      </c>
      <c r="I10" s="241">
        <f t="shared" si="0"/>
        <v>0</v>
      </c>
      <c r="J10" s="323">
        <f t="shared" si="0"/>
        <v>0</v>
      </c>
    </row>
    <row r="17" spans="1:2">
      <c r="A17" t="s">
        <v>877</v>
      </c>
      <c r="B17" t="s">
        <v>878</v>
      </c>
    </row>
    <row r="18" spans="1:2">
      <c r="B18">
        <f>A18*1.67</f>
        <v>0</v>
      </c>
    </row>
  </sheetData>
  <dataValidations disablePrompts="1" count="1">
    <dataValidation type="list" allowBlank="1" showInputMessage="1" showErrorMessage="1" sqref="A1">
      <formula1>units</formula1>
    </dataValidation>
  </dataValidations>
  <pageMargins left="0.7" right="0.7" top="0.75" bottom="0.75" header="0.3" footer="0.3"/>
  <pageSetup paperSize="9" orientation="portrait" horizontalDpi="300" verticalDpi="0" copies="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I26"/>
  <sheetViews>
    <sheetView workbookViewId="0">
      <selection activeCell="H35" sqref="H35"/>
    </sheetView>
  </sheetViews>
  <sheetFormatPr defaultRowHeight="14.4"/>
  <cols>
    <col min="1" max="1" width="19.21875" customWidth="1"/>
    <col min="2" max="2" width="10.21875" style="351" customWidth="1"/>
    <col min="3" max="3" width="10.21875" style="352" customWidth="1"/>
    <col min="4" max="4" width="10.21875" style="353" customWidth="1"/>
    <col min="5" max="5" width="10.21875" style="354" customWidth="1"/>
    <col min="6" max="9" width="10.21875" style="350" customWidth="1"/>
  </cols>
  <sheetData>
    <row r="1" spans="1:9">
      <c r="A1" s="157" t="s">
        <v>737</v>
      </c>
      <c r="B1" s="570" t="s">
        <v>735</v>
      </c>
      <c r="C1" s="570"/>
      <c r="D1" s="570"/>
      <c r="E1" s="570"/>
      <c r="F1" s="625"/>
      <c r="G1" s="625"/>
      <c r="H1" s="625"/>
      <c r="I1" s="625"/>
    </row>
    <row r="2" spans="1:9">
      <c r="A2" s="157" t="s">
        <v>738</v>
      </c>
      <c r="B2" s="570" t="s">
        <v>736</v>
      </c>
      <c r="C2" s="570"/>
      <c r="D2" s="570"/>
      <c r="E2" s="570"/>
      <c r="F2" s="625"/>
      <c r="G2" s="625"/>
      <c r="H2" s="625"/>
      <c r="I2" s="625"/>
    </row>
    <row r="3" spans="1:9">
      <c r="A3" s="157" t="s">
        <v>739</v>
      </c>
      <c r="B3" s="351" t="s">
        <v>740</v>
      </c>
      <c r="C3" s="352" t="s">
        <v>741</v>
      </c>
      <c r="D3" s="353" t="s">
        <v>742</v>
      </c>
      <c r="E3" s="354" t="s">
        <v>743</v>
      </c>
    </row>
    <row r="4" spans="1:9">
      <c r="A4" s="157" t="s">
        <v>744</v>
      </c>
      <c r="B4" s="355" t="s">
        <v>622</v>
      </c>
      <c r="C4" s="352">
        <v>100</v>
      </c>
      <c r="D4" s="353">
        <v>500</v>
      </c>
      <c r="E4" s="354">
        <v>800</v>
      </c>
    </row>
    <row r="5" spans="1:9">
      <c r="A5" s="157" t="s">
        <v>746</v>
      </c>
      <c r="B5" s="351">
        <v>350</v>
      </c>
      <c r="C5" s="352">
        <v>750</v>
      </c>
      <c r="D5" s="353">
        <v>1250</v>
      </c>
      <c r="E5" s="354">
        <v>2200</v>
      </c>
    </row>
    <row r="6" spans="1:9">
      <c r="A6" s="157" t="s">
        <v>747</v>
      </c>
      <c r="B6" s="355" t="s">
        <v>622</v>
      </c>
      <c r="C6" s="352">
        <v>1400</v>
      </c>
      <c r="D6" s="353">
        <v>2400</v>
      </c>
      <c r="E6" s="354">
        <v>5200</v>
      </c>
    </row>
    <row r="7" spans="1:9">
      <c r="A7" s="157" t="s">
        <v>748</v>
      </c>
    </row>
    <row r="8" spans="1:9">
      <c r="A8" s="157" t="s">
        <v>745</v>
      </c>
    </row>
    <row r="9" spans="1:9">
      <c r="A9">
        <v>450</v>
      </c>
    </row>
    <row r="10" spans="1:9">
      <c r="A10">
        <v>500</v>
      </c>
    </row>
    <row r="11" spans="1:9">
      <c r="A11">
        <v>500</v>
      </c>
    </row>
    <row r="12" spans="1:9">
      <c r="A12">
        <v>630</v>
      </c>
    </row>
    <row r="13" spans="1:9">
      <c r="A13">
        <v>630</v>
      </c>
    </row>
    <row r="14" spans="1:9">
      <c r="A14">
        <v>710</v>
      </c>
    </row>
    <row r="15" spans="1:9">
      <c r="A15">
        <v>710</v>
      </c>
    </row>
    <row r="16" spans="1:9">
      <c r="A16">
        <v>800</v>
      </c>
    </row>
    <row r="17" spans="1:1">
      <c r="A17">
        <v>800</v>
      </c>
    </row>
    <row r="18" spans="1:1">
      <c r="A18">
        <v>900</v>
      </c>
    </row>
    <row r="19" spans="1:1">
      <c r="A19">
        <v>900</v>
      </c>
    </row>
    <row r="20" spans="1:1">
      <c r="A20">
        <v>1000</v>
      </c>
    </row>
    <row r="21" spans="1:1">
      <c r="A21">
        <v>1000</v>
      </c>
    </row>
    <row r="22" spans="1:1">
      <c r="A22">
        <v>1120</v>
      </c>
    </row>
    <row r="23" spans="1:1">
      <c r="A23">
        <v>1120</v>
      </c>
    </row>
    <row r="24" spans="1:1">
      <c r="A24">
        <v>1250</v>
      </c>
    </row>
    <row r="25" spans="1:1">
      <c r="A25">
        <v>1250</v>
      </c>
    </row>
    <row r="26" spans="1:1">
      <c r="A26">
        <v>1400</v>
      </c>
    </row>
  </sheetData>
  <mergeCells count="4">
    <mergeCell ref="B1:E1"/>
    <mergeCell ref="B2:E2"/>
    <mergeCell ref="F1:I1"/>
    <mergeCell ref="F2:I2"/>
  </mergeCells>
  <pageMargins left="0.7" right="0.7" top="0.75" bottom="0.75" header="0.3" footer="0.3"/>
  <pageSetup paperSize="9" orientation="portrait" horizontalDpi="300" verticalDpi="0" copies="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AR70"/>
  <sheetViews>
    <sheetView tabSelected="1" topLeftCell="A28" workbookViewId="0">
      <selection activeCell="C46" sqref="C46"/>
    </sheetView>
  </sheetViews>
  <sheetFormatPr defaultRowHeight="14.4"/>
  <cols>
    <col min="1" max="1" width="4.33203125" customWidth="1"/>
    <col min="19" max="19" width="8.77734375" customWidth="1"/>
  </cols>
  <sheetData>
    <row r="1" spans="1:8" ht="15" thickBot="1">
      <c r="A1" s="626" t="s">
        <v>857</v>
      </c>
      <c r="B1" s="626"/>
      <c r="C1" s="626"/>
      <c r="D1" s="626"/>
      <c r="E1" s="626"/>
      <c r="F1" s="626"/>
      <c r="G1" s="626"/>
      <c r="H1" s="626"/>
    </row>
    <row r="2" spans="1:8" ht="15" thickBot="1">
      <c r="A2" s="627" t="s">
        <v>759</v>
      </c>
      <c r="B2" s="628"/>
      <c r="C2" s="628"/>
      <c r="D2" s="628"/>
      <c r="E2" s="628"/>
      <c r="F2" s="628"/>
      <c r="G2" s="628"/>
      <c r="H2" s="629"/>
    </row>
    <row r="3" spans="1:8">
      <c r="A3" s="310"/>
      <c r="B3" s="311"/>
      <c r="C3" s="311"/>
      <c r="D3" s="311"/>
      <c r="E3" s="311"/>
      <c r="F3" s="311"/>
      <c r="G3" s="311"/>
      <c r="H3" s="312"/>
    </row>
    <row r="4" spans="1:8" ht="15" thickBot="1">
      <c r="A4" s="223"/>
      <c r="B4" s="349"/>
      <c r="C4" s="356" t="s">
        <v>751</v>
      </c>
      <c r="D4" s="356" t="s">
        <v>752</v>
      </c>
      <c r="E4" s="630" t="s">
        <v>756</v>
      </c>
      <c r="F4" s="630"/>
      <c r="G4" s="159"/>
      <c r="H4" s="224"/>
    </row>
    <row r="5" spans="1:8">
      <c r="A5" s="223"/>
      <c r="B5" s="357" t="s">
        <v>749</v>
      </c>
      <c r="C5" s="370">
        <v>0</v>
      </c>
      <c r="D5" s="371">
        <v>0.02</v>
      </c>
      <c r="E5" s="373">
        <v>150</v>
      </c>
      <c r="F5" s="360"/>
      <c r="G5" s="159" t="s">
        <v>754</v>
      </c>
      <c r="H5" s="224"/>
    </row>
    <row r="6" spans="1:8" ht="15" thickBot="1">
      <c r="A6" s="223"/>
      <c r="B6" s="357" t="s">
        <v>750</v>
      </c>
      <c r="C6" s="363">
        <v>3</v>
      </c>
      <c r="D6" s="364"/>
      <c r="E6" s="373">
        <v>200</v>
      </c>
      <c r="F6" s="375">
        <v>100</v>
      </c>
      <c r="G6" s="159" t="s">
        <v>755</v>
      </c>
      <c r="H6" s="224"/>
    </row>
    <row r="7" spans="1:8">
      <c r="A7" s="223"/>
      <c r="B7" s="159"/>
      <c r="C7" s="159"/>
      <c r="D7" s="159"/>
      <c r="E7" s="159"/>
      <c r="F7" s="159"/>
      <c r="G7" s="159"/>
      <c r="H7" s="224"/>
    </row>
    <row r="8" spans="1:8">
      <c r="A8" s="223"/>
      <c r="B8" s="159"/>
      <c r="C8" s="159"/>
      <c r="D8" s="159"/>
      <c r="E8" s="159"/>
      <c r="F8" s="159"/>
      <c r="G8" s="159"/>
      <c r="H8" s="224"/>
    </row>
    <row r="9" spans="1:8" ht="15" thickBot="1">
      <c r="A9" s="223"/>
      <c r="B9" s="365"/>
      <c r="C9" s="365" t="s">
        <v>751</v>
      </c>
      <c r="D9" s="365" t="s">
        <v>752</v>
      </c>
      <c r="E9" s="366" t="s">
        <v>753</v>
      </c>
      <c r="F9" s="630" t="s">
        <v>756</v>
      </c>
      <c r="G9" s="630"/>
      <c r="H9" s="224"/>
    </row>
    <row r="10" spans="1:8">
      <c r="A10" s="223"/>
      <c r="B10" s="367" t="s">
        <v>749</v>
      </c>
      <c r="C10" s="370">
        <v>0.02</v>
      </c>
      <c r="D10" s="372">
        <v>7.4999999999999997E-2</v>
      </c>
      <c r="E10" s="361">
        <f>IF(AND(G11&gt;0,F11&gt;0),(F11*G11/1000000),IF(F10&gt;0,((F10/1000)^2*3.14/4),"-"))</f>
        <v>3.1400000000000004E-2</v>
      </c>
      <c r="F10" s="374">
        <v>200</v>
      </c>
      <c r="G10" s="360"/>
      <c r="H10" s="224" t="s">
        <v>754</v>
      </c>
    </row>
    <row r="11" spans="1:8" ht="15" thickBot="1">
      <c r="A11" s="223"/>
      <c r="B11" s="367" t="s">
        <v>750</v>
      </c>
      <c r="C11" s="363">
        <v>3</v>
      </c>
      <c r="D11" s="377">
        <v>5</v>
      </c>
      <c r="E11" s="362">
        <f>IF(ISNUMBER(E10),C11+(D11-C11)*((E10-C10)/(D10-C10)),"-")</f>
        <v>3.4145454545454546</v>
      </c>
      <c r="F11" s="359"/>
      <c r="G11" s="358"/>
      <c r="H11" s="224" t="s">
        <v>755</v>
      </c>
    </row>
    <row r="12" spans="1:8">
      <c r="A12" s="223"/>
      <c r="B12" s="159"/>
      <c r="C12" s="159"/>
      <c r="D12" s="159"/>
      <c r="E12" s="159"/>
      <c r="F12" s="159"/>
      <c r="G12" s="159"/>
      <c r="H12" s="224"/>
    </row>
    <row r="13" spans="1:8">
      <c r="A13" s="223"/>
      <c r="B13" s="159"/>
      <c r="C13" s="159"/>
      <c r="D13" s="159"/>
      <c r="E13" s="159"/>
      <c r="F13" s="159"/>
      <c r="G13" s="159"/>
      <c r="H13" s="224"/>
    </row>
    <row r="14" spans="1:8">
      <c r="A14" s="223"/>
      <c r="B14" s="159"/>
      <c r="C14" s="159"/>
      <c r="D14" s="159"/>
      <c r="E14" s="159"/>
      <c r="F14" s="159"/>
      <c r="G14" s="159"/>
      <c r="H14" s="224"/>
    </row>
    <row r="15" spans="1:8" ht="15" thickBot="1">
      <c r="A15" s="223"/>
      <c r="B15" s="349"/>
      <c r="C15" s="356" t="s">
        <v>751</v>
      </c>
      <c r="D15" s="356" t="s">
        <v>752</v>
      </c>
      <c r="E15" s="630" t="s">
        <v>756</v>
      </c>
      <c r="F15" s="630"/>
      <c r="G15" s="159"/>
      <c r="H15" s="224"/>
    </row>
    <row r="16" spans="1:8">
      <c r="A16" s="223"/>
      <c r="B16" s="357" t="s">
        <v>749</v>
      </c>
      <c r="C16" s="370">
        <v>7.4999999999999997E-2</v>
      </c>
      <c r="D16" s="371" t="s">
        <v>757</v>
      </c>
      <c r="E16" s="373"/>
      <c r="F16" s="360"/>
      <c r="G16" s="159" t="s">
        <v>754</v>
      </c>
      <c r="H16" s="224"/>
    </row>
    <row r="17" spans="1:8" ht="15" thickBot="1">
      <c r="A17" s="223"/>
      <c r="B17" s="357" t="s">
        <v>750</v>
      </c>
      <c r="C17" s="363">
        <v>5</v>
      </c>
      <c r="D17" s="364"/>
      <c r="E17" s="373"/>
      <c r="F17" s="375"/>
      <c r="G17" s="159" t="s">
        <v>755</v>
      </c>
      <c r="H17" s="224"/>
    </row>
    <row r="18" spans="1:8" ht="15" thickBot="1">
      <c r="A18" s="368"/>
      <c r="B18" s="369"/>
      <c r="C18" s="369"/>
      <c r="D18" s="369"/>
      <c r="E18" s="369"/>
      <c r="F18" s="369"/>
      <c r="G18" s="369"/>
      <c r="H18" s="234"/>
    </row>
    <row r="19" spans="1:8">
      <c r="C19" s="157"/>
      <c r="D19" s="157"/>
      <c r="E19" s="157"/>
      <c r="F19" s="157"/>
      <c r="G19" s="157"/>
      <c r="H19" s="157"/>
    </row>
    <row r="20" spans="1:8">
      <c r="C20" s="157"/>
      <c r="D20" s="157"/>
      <c r="E20" s="157"/>
      <c r="F20" s="157"/>
      <c r="G20" s="157"/>
      <c r="H20" s="157"/>
    </row>
    <row r="21" spans="1:8">
      <c r="C21" s="157"/>
      <c r="D21" s="157"/>
      <c r="E21" s="157"/>
      <c r="F21" s="157"/>
      <c r="G21" s="157"/>
      <c r="H21" s="157"/>
    </row>
    <row r="22" spans="1:8">
      <c r="C22" s="157"/>
      <c r="D22" s="157"/>
      <c r="E22" s="157"/>
      <c r="F22" s="157"/>
      <c r="G22" s="157"/>
      <c r="H22" s="157"/>
    </row>
    <row r="23" spans="1:8" ht="15" thickBot="1">
      <c r="A23" s="626" t="s">
        <v>856</v>
      </c>
      <c r="B23" s="626"/>
      <c r="C23" s="626"/>
      <c r="D23" s="626"/>
      <c r="E23" s="626"/>
      <c r="F23" s="626"/>
      <c r="G23" s="626"/>
      <c r="H23" s="626"/>
    </row>
    <row r="24" spans="1:8" ht="15" thickBot="1">
      <c r="A24" s="627" t="s">
        <v>758</v>
      </c>
      <c r="B24" s="628"/>
      <c r="C24" s="628"/>
      <c r="D24" s="628"/>
      <c r="E24" s="628"/>
      <c r="F24" s="628"/>
      <c r="G24" s="628"/>
      <c r="H24" s="629"/>
    </row>
    <row r="25" spans="1:8">
      <c r="A25" s="310"/>
      <c r="B25" s="311"/>
      <c r="C25" s="311"/>
      <c r="D25" s="311"/>
      <c r="E25" s="311"/>
      <c r="F25" s="311"/>
      <c r="G25" s="311"/>
      <c r="H25" s="312"/>
    </row>
    <row r="26" spans="1:8" ht="15" thickBot="1">
      <c r="A26" s="223"/>
      <c r="B26" s="349"/>
      <c r="C26" s="356" t="s">
        <v>751</v>
      </c>
      <c r="D26" s="356" t="s">
        <v>752</v>
      </c>
      <c r="E26" s="631" t="s">
        <v>756</v>
      </c>
      <c r="F26" s="630"/>
      <c r="G26" s="159"/>
      <c r="H26" s="224"/>
    </row>
    <row r="27" spans="1:8">
      <c r="A27" s="223"/>
      <c r="B27" s="357" t="s">
        <v>749</v>
      </c>
      <c r="C27" s="370">
        <v>0</v>
      </c>
      <c r="D27" s="371">
        <v>7.0999999999999994E-2</v>
      </c>
      <c r="E27" s="373">
        <v>300</v>
      </c>
      <c r="F27" s="360"/>
      <c r="G27" s="159" t="s">
        <v>754</v>
      </c>
      <c r="H27" s="224"/>
    </row>
    <row r="28" spans="1:8" ht="15" thickBot="1">
      <c r="A28" s="223"/>
      <c r="B28" s="357" t="s">
        <v>750</v>
      </c>
      <c r="C28" s="363">
        <v>3</v>
      </c>
      <c r="D28" s="364"/>
      <c r="E28" s="373">
        <v>300</v>
      </c>
      <c r="F28" s="375">
        <v>200</v>
      </c>
      <c r="G28" s="159" t="s">
        <v>755</v>
      </c>
      <c r="H28" s="224"/>
    </row>
    <row r="29" spans="1:8">
      <c r="A29" s="223"/>
      <c r="B29" s="159"/>
      <c r="C29" s="159"/>
      <c r="D29" s="159"/>
      <c r="E29" s="159"/>
      <c r="F29" s="159"/>
      <c r="G29" s="159"/>
      <c r="H29" s="224"/>
    </row>
    <row r="30" spans="1:8">
      <c r="A30" s="223"/>
      <c r="B30" s="159"/>
      <c r="C30" s="159"/>
      <c r="D30" s="159"/>
      <c r="E30" s="159"/>
      <c r="F30" s="159"/>
      <c r="G30" s="159"/>
      <c r="H30" s="224"/>
    </row>
    <row r="31" spans="1:8" ht="15" thickBot="1">
      <c r="A31" s="223"/>
      <c r="B31" s="365"/>
      <c r="C31" s="365" t="s">
        <v>751</v>
      </c>
      <c r="D31" s="365" t="s">
        <v>752</v>
      </c>
      <c r="E31" s="366" t="s">
        <v>753</v>
      </c>
      <c r="F31" s="630" t="s">
        <v>756</v>
      </c>
      <c r="G31" s="630"/>
      <c r="H31" s="224"/>
    </row>
    <row r="32" spans="1:8">
      <c r="A32" s="223"/>
      <c r="B32" s="367" t="s">
        <v>749</v>
      </c>
      <c r="C32" s="370">
        <v>7.0999999999999994E-2</v>
      </c>
      <c r="D32" s="372">
        <v>0.45300000000000001</v>
      </c>
      <c r="E32" s="361">
        <f>IF(AND(G33&gt;0,F33&gt;0),(F33*G33/1000000),IF(F32&gt;0,((F32/1000)^2*3.14/4),"-"))</f>
        <v>0.125</v>
      </c>
      <c r="F32" s="374"/>
      <c r="G32" s="360"/>
      <c r="H32" s="224" t="s">
        <v>754</v>
      </c>
    </row>
    <row r="33" spans="1:8" ht="15" thickBot="1">
      <c r="A33" s="223"/>
      <c r="B33" s="367" t="s">
        <v>750</v>
      </c>
      <c r="C33" s="363">
        <v>3</v>
      </c>
      <c r="D33" s="377">
        <v>5</v>
      </c>
      <c r="E33" s="362">
        <f>IF(ISNUMBER(E32),C33+(D33-C33)*((E32-C32)/(D32-C32)),"-")</f>
        <v>3.2827225130890052</v>
      </c>
      <c r="F33" s="374">
        <v>500</v>
      </c>
      <c r="G33" s="376">
        <v>250</v>
      </c>
      <c r="H33" s="224" t="s">
        <v>755</v>
      </c>
    </row>
    <row r="34" spans="1:8">
      <c r="A34" s="223"/>
      <c r="B34" s="159"/>
      <c r="C34" s="159"/>
      <c r="D34" s="159"/>
      <c r="E34" s="159"/>
      <c r="F34" s="159"/>
      <c r="G34" s="159"/>
      <c r="H34" s="224"/>
    </row>
    <row r="35" spans="1:8">
      <c r="A35" s="223"/>
      <c r="B35" s="159"/>
      <c r="C35" s="159"/>
      <c r="D35" s="159"/>
      <c r="E35" s="159"/>
      <c r="F35" s="159"/>
      <c r="G35" s="159"/>
      <c r="H35" s="224"/>
    </row>
    <row r="36" spans="1:8">
      <c r="A36" s="223"/>
      <c r="B36" s="159"/>
      <c r="C36" s="159"/>
      <c r="D36" s="159"/>
      <c r="E36" s="159"/>
      <c r="F36" s="159"/>
      <c r="G36" s="159"/>
      <c r="H36" s="224"/>
    </row>
    <row r="37" spans="1:8" ht="15" thickBot="1">
      <c r="A37" s="223"/>
      <c r="B37" s="349"/>
      <c r="C37" s="356" t="s">
        <v>751</v>
      </c>
      <c r="D37" s="356" t="s">
        <v>752</v>
      </c>
      <c r="E37" s="630" t="s">
        <v>756</v>
      </c>
      <c r="F37" s="630"/>
      <c r="G37" s="159"/>
      <c r="H37" s="224"/>
    </row>
    <row r="38" spans="1:8">
      <c r="A38" s="223"/>
      <c r="B38" s="357" t="s">
        <v>749</v>
      </c>
      <c r="C38" s="370">
        <v>0.45300000000000001</v>
      </c>
      <c r="D38" s="371" t="s">
        <v>757</v>
      </c>
      <c r="E38" s="373">
        <v>760</v>
      </c>
      <c r="F38" s="360"/>
      <c r="G38" s="159" t="s">
        <v>754</v>
      </c>
      <c r="H38" s="224"/>
    </row>
    <row r="39" spans="1:8" ht="15" thickBot="1">
      <c r="A39" s="223"/>
      <c r="B39" s="357" t="s">
        <v>750</v>
      </c>
      <c r="C39" s="363">
        <v>5</v>
      </c>
      <c r="D39" s="364"/>
      <c r="E39" s="373">
        <v>800</v>
      </c>
      <c r="F39" s="375">
        <v>550</v>
      </c>
      <c r="G39" s="159" t="s">
        <v>755</v>
      </c>
      <c r="H39" s="224"/>
    </row>
    <row r="40" spans="1:8" ht="15" thickBot="1">
      <c r="A40" s="368"/>
      <c r="B40" s="369"/>
      <c r="C40" s="369"/>
      <c r="D40" s="369"/>
      <c r="E40" s="369"/>
      <c r="F40" s="369"/>
      <c r="G40" s="369"/>
      <c r="H40" s="234"/>
    </row>
    <row r="44" spans="1:8">
      <c r="D44" t="s">
        <v>858</v>
      </c>
    </row>
    <row r="70" spans="44:44">
      <c r="AR70" t="s">
        <v>2358</v>
      </c>
    </row>
  </sheetData>
  <mergeCells count="10">
    <mergeCell ref="E37:F37"/>
    <mergeCell ref="A24:H24"/>
    <mergeCell ref="E26:F26"/>
    <mergeCell ref="F9:G9"/>
    <mergeCell ref="A23:H23"/>
    <mergeCell ref="A1:H1"/>
    <mergeCell ref="A2:H2"/>
    <mergeCell ref="E4:F4"/>
    <mergeCell ref="E15:F15"/>
    <mergeCell ref="F31:G31"/>
  </mergeCells>
  <pageMargins left="0.7" right="0.7" top="0.75" bottom="0.75" header="0.3" footer="0.3"/>
  <pageSetup paperSize="9" orientation="portrait" horizontalDpi="300" verticalDpi="0" copies="0" r:id="rId1"/>
  <drawing r:id="rId2"/>
  <legacyDrawing r:id="rId3"/>
  <oleObjects>
    <mc:AlternateContent xmlns:mc="http://schemas.openxmlformats.org/markup-compatibility/2006">
      <mc:Choice Requires="x14">
        <oleObject progId="Word.Document.12" shapeId="9217" r:id="rId4">
          <objectPr defaultSize="0" r:id="rId5">
            <anchor moveWithCells="1">
              <from>
                <xdr:col>17</xdr:col>
                <xdr:colOff>472440</xdr:colOff>
                <xdr:row>0</xdr:row>
                <xdr:rowOff>106680</xdr:rowOff>
              </from>
              <to>
                <xdr:col>28</xdr:col>
                <xdr:colOff>434340</xdr:colOff>
                <xdr:row>27</xdr:row>
                <xdr:rowOff>121920</xdr:rowOff>
              </to>
            </anchor>
          </objectPr>
        </oleObject>
      </mc:Choice>
      <mc:Fallback>
        <oleObject progId="Word.Document.12" shapeId="9217"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4"/>
  <sheetViews>
    <sheetView workbookViewId="0">
      <selection activeCell="E18" sqref="E18"/>
    </sheetView>
  </sheetViews>
  <sheetFormatPr defaultRowHeight="14.4"/>
  <cols>
    <col min="1" max="19" width="6.5546875" customWidth="1"/>
    <col min="21" max="23" width="11.77734375" customWidth="1"/>
  </cols>
  <sheetData>
    <row r="1" spans="1:23" ht="15" thickBot="1">
      <c r="A1" s="140"/>
      <c r="B1" s="553" t="s">
        <v>44</v>
      </c>
      <c r="C1" s="554"/>
      <c r="D1" s="554"/>
      <c r="E1" s="554"/>
      <c r="F1" s="554"/>
      <c r="G1" s="106" t="s">
        <v>37</v>
      </c>
      <c r="H1" s="554" t="s">
        <v>45</v>
      </c>
      <c r="I1" s="554"/>
      <c r="J1" s="554"/>
      <c r="K1" s="554"/>
      <c r="L1" s="554"/>
      <c r="M1" s="106" t="s">
        <v>37</v>
      </c>
      <c r="N1" s="554" t="s">
        <v>46</v>
      </c>
      <c r="O1" s="554"/>
      <c r="P1" s="554"/>
      <c r="Q1" s="554"/>
      <c r="R1" s="555"/>
      <c r="S1" s="146"/>
    </row>
    <row r="2" spans="1:23" ht="15" thickBot="1">
      <c r="A2" s="141" t="s">
        <v>36</v>
      </c>
      <c r="B2" s="562" t="s">
        <v>38</v>
      </c>
      <c r="C2" s="563"/>
      <c r="D2" s="563" t="s">
        <v>39</v>
      </c>
      <c r="E2" s="563"/>
      <c r="F2" s="563" t="s">
        <v>40</v>
      </c>
      <c r="G2" s="563"/>
      <c r="H2" s="563" t="s">
        <v>38</v>
      </c>
      <c r="I2" s="563"/>
      <c r="J2" s="563" t="s">
        <v>39</v>
      </c>
      <c r="K2" s="563"/>
      <c r="L2" s="563" t="s">
        <v>40</v>
      </c>
      <c r="M2" s="563"/>
      <c r="N2" s="23" t="s">
        <v>38</v>
      </c>
      <c r="O2" s="23"/>
      <c r="P2" s="23" t="s">
        <v>39</v>
      </c>
      <c r="Q2" s="23"/>
      <c r="R2" s="24" t="s">
        <v>40</v>
      </c>
      <c r="S2" s="147"/>
      <c r="U2" t="s">
        <v>47</v>
      </c>
      <c r="V2" s="18"/>
    </row>
    <row r="3" spans="1:23" ht="15" thickBot="1">
      <c r="A3" s="142" t="s">
        <v>37</v>
      </c>
      <c r="B3" s="560" t="s">
        <v>41</v>
      </c>
      <c r="C3" s="561"/>
      <c r="D3" s="561" t="s">
        <v>42</v>
      </c>
      <c r="E3" s="561"/>
      <c r="F3" s="561" t="s">
        <v>43</v>
      </c>
      <c r="G3" s="561"/>
      <c r="H3" s="136" t="s">
        <v>41</v>
      </c>
      <c r="I3" s="136"/>
      <c r="J3" s="136" t="s">
        <v>42</v>
      </c>
      <c r="K3" s="136"/>
      <c r="L3" s="136" t="s">
        <v>43</v>
      </c>
      <c r="M3" s="136"/>
      <c r="N3" s="136" t="s">
        <v>41</v>
      </c>
      <c r="O3" s="136"/>
      <c r="P3" s="136" t="s">
        <v>42</v>
      </c>
      <c r="Q3" s="136"/>
      <c r="R3" s="137" t="s">
        <v>43</v>
      </c>
      <c r="S3" s="148"/>
      <c r="U3" t="s">
        <v>49</v>
      </c>
      <c r="V3" s="18"/>
    </row>
    <row r="4" spans="1:23" ht="15" thickBot="1">
      <c r="A4" s="143">
        <v>0.75</v>
      </c>
      <c r="B4" s="138">
        <v>72.099999999999994</v>
      </c>
      <c r="C4" s="152">
        <f>(100-B4)/100*$A4</f>
        <v>0.20925000000000005</v>
      </c>
      <c r="D4" s="130">
        <v>72.099999999999994</v>
      </c>
      <c r="E4" s="152">
        <f>(100-D4)/100*$A4</f>
        <v>0.20925000000000005</v>
      </c>
      <c r="F4" s="130">
        <v>70</v>
      </c>
      <c r="G4" s="152">
        <f>(100-F4)/100*$A4</f>
        <v>0.22499999999999998</v>
      </c>
      <c r="H4" s="131">
        <v>77.400000000000006</v>
      </c>
      <c r="I4" s="152">
        <f>(100-H4)/100*$A4</f>
        <v>0.16949999999999996</v>
      </c>
      <c r="J4" s="132">
        <v>79.599999999999994</v>
      </c>
      <c r="K4" s="152">
        <f>(100-J4)/100*$A4</f>
        <v>0.15300000000000005</v>
      </c>
      <c r="L4" s="132">
        <v>75.900000000000006</v>
      </c>
      <c r="M4" s="152">
        <f>(100-L4)/100*$A4</f>
        <v>0.18074999999999997</v>
      </c>
      <c r="N4" s="133">
        <v>80.7</v>
      </c>
      <c r="O4" s="152">
        <f>(100-N4)/100*$A4</f>
        <v>0.14474999999999999</v>
      </c>
      <c r="P4" s="134">
        <v>82.5</v>
      </c>
      <c r="Q4" s="152">
        <f>(100-P4)/100*$A4</f>
        <v>0.13124999999999998</v>
      </c>
      <c r="R4" s="135">
        <v>78.900000000000006</v>
      </c>
      <c r="S4" s="155">
        <f>(100-R4)/100*$A4</f>
        <v>0.15824999999999995</v>
      </c>
      <c r="U4" t="s">
        <v>48</v>
      </c>
      <c r="V4" s="21"/>
    </row>
    <row r="5" spans="1:23">
      <c r="A5" s="144">
        <v>1.1000000000000001</v>
      </c>
      <c r="B5" s="139">
        <v>75</v>
      </c>
      <c r="C5" s="153">
        <f t="shared" ref="C5:C29" si="0">(100-B5)/100*$A5</f>
        <v>0.27500000000000002</v>
      </c>
      <c r="D5" s="124">
        <v>75</v>
      </c>
      <c r="E5" s="153">
        <f t="shared" ref="E5:E29" si="1">(100-D5)/100*$A5</f>
        <v>0.27500000000000002</v>
      </c>
      <c r="F5" s="124">
        <v>72.900000000000006</v>
      </c>
      <c r="G5" s="153">
        <f t="shared" ref="G5:G29" si="2">(100-F5)/100*$A5</f>
        <v>0.29809999999999998</v>
      </c>
      <c r="H5" s="125">
        <v>79.599999999999994</v>
      </c>
      <c r="I5" s="153">
        <f t="shared" ref="I5:I29" si="3">(100-H5)/100*$A5</f>
        <v>0.2244000000000001</v>
      </c>
      <c r="J5" s="126">
        <v>81.400000000000006</v>
      </c>
      <c r="K5" s="153">
        <f t="shared" ref="K5:K29" si="4">(100-J5)/100*$A5</f>
        <v>0.20459999999999995</v>
      </c>
      <c r="L5" s="126">
        <v>78.099999999999994</v>
      </c>
      <c r="M5" s="153">
        <f t="shared" ref="M5:M29" si="5">(100-L5)/100*$A5</f>
        <v>0.24090000000000009</v>
      </c>
      <c r="N5" s="127">
        <v>82.7</v>
      </c>
      <c r="O5" s="153">
        <f t="shared" ref="O5:O29" si="6">(100-N5)/100*$A5</f>
        <v>0.19029999999999997</v>
      </c>
      <c r="P5" s="128">
        <v>84.1</v>
      </c>
      <c r="Q5" s="153">
        <f t="shared" ref="Q5:Q29" si="7">(100-P5)/100*$A5</f>
        <v>0.17490000000000008</v>
      </c>
      <c r="R5" s="129">
        <v>81</v>
      </c>
      <c r="S5" s="155">
        <f t="shared" ref="S5:S29" si="8">(100-R5)/100*$A5</f>
        <v>0.20900000000000002</v>
      </c>
    </row>
    <row r="6" spans="1:23" ht="15" thickBot="1">
      <c r="A6" s="144">
        <v>1.5</v>
      </c>
      <c r="B6" s="139">
        <v>77.2</v>
      </c>
      <c r="C6" s="153">
        <f t="shared" si="0"/>
        <v>0.34199999999999997</v>
      </c>
      <c r="D6" s="124">
        <v>77.2</v>
      </c>
      <c r="E6" s="153">
        <f t="shared" si="1"/>
        <v>0.34199999999999997</v>
      </c>
      <c r="F6" s="124">
        <v>75.2</v>
      </c>
      <c r="G6" s="153">
        <f t="shared" si="2"/>
        <v>0.37199999999999994</v>
      </c>
      <c r="H6" s="125">
        <v>81.3</v>
      </c>
      <c r="I6" s="153">
        <f t="shared" si="3"/>
        <v>0.28050000000000003</v>
      </c>
      <c r="J6" s="126">
        <v>82.8</v>
      </c>
      <c r="K6" s="153">
        <f t="shared" si="4"/>
        <v>0.25800000000000006</v>
      </c>
      <c r="L6" s="126">
        <v>79.8</v>
      </c>
      <c r="M6" s="153">
        <f t="shared" si="5"/>
        <v>0.30300000000000005</v>
      </c>
      <c r="N6" s="127">
        <v>84.2</v>
      </c>
      <c r="O6" s="153">
        <f t="shared" si="6"/>
        <v>0.23699999999999996</v>
      </c>
      <c r="P6" s="128">
        <v>85.3</v>
      </c>
      <c r="Q6" s="153">
        <f t="shared" si="7"/>
        <v>0.22050000000000003</v>
      </c>
      <c r="R6" s="129">
        <v>82.5</v>
      </c>
      <c r="S6" s="155">
        <f t="shared" si="8"/>
        <v>0.26249999999999996</v>
      </c>
    </row>
    <row r="7" spans="1:23" ht="15" thickBot="1">
      <c r="A7" s="144">
        <v>2.2000000000000002</v>
      </c>
      <c r="B7" s="139">
        <v>79.7</v>
      </c>
      <c r="C7" s="153">
        <f t="shared" si="0"/>
        <v>0.44659999999999994</v>
      </c>
      <c r="D7" s="124">
        <v>79.7</v>
      </c>
      <c r="E7" s="153">
        <f t="shared" si="1"/>
        <v>0.44659999999999994</v>
      </c>
      <c r="F7" s="124">
        <v>77.7</v>
      </c>
      <c r="G7" s="153">
        <f t="shared" si="2"/>
        <v>0.49059999999999998</v>
      </c>
      <c r="H7" s="125">
        <v>83.2</v>
      </c>
      <c r="I7" s="153">
        <f t="shared" si="3"/>
        <v>0.36959999999999998</v>
      </c>
      <c r="J7" s="126">
        <v>84.3</v>
      </c>
      <c r="K7" s="153">
        <f t="shared" si="4"/>
        <v>0.3454000000000001</v>
      </c>
      <c r="L7" s="126">
        <v>81.8</v>
      </c>
      <c r="M7" s="153">
        <f t="shared" si="5"/>
        <v>0.40040000000000009</v>
      </c>
      <c r="N7" s="127">
        <v>85.9</v>
      </c>
      <c r="O7" s="153">
        <f t="shared" si="6"/>
        <v>0.31019999999999986</v>
      </c>
      <c r="P7" s="128">
        <v>86.7</v>
      </c>
      <c r="Q7" s="153">
        <f t="shared" si="7"/>
        <v>0.29259999999999997</v>
      </c>
      <c r="R7" s="129">
        <v>84.3</v>
      </c>
      <c r="S7" s="155">
        <f t="shared" si="8"/>
        <v>0.3454000000000001</v>
      </c>
      <c r="U7" s="556" t="s">
        <v>637</v>
      </c>
      <c r="V7" s="557"/>
      <c r="W7" s="558"/>
    </row>
    <row r="8" spans="1:23" ht="15" thickBot="1">
      <c r="A8" s="144">
        <v>3</v>
      </c>
      <c r="B8" s="139">
        <v>81.5</v>
      </c>
      <c r="C8" s="153">
        <f t="shared" si="0"/>
        <v>0.55499999999999994</v>
      </c>
      <c r="D8" s="124">
        <v>81.5</v>
      </c>
      <c r="E8" s="153">
        <f t="shared" si="1"/>
        <v>0.55499999999999994</v>
      </c>
      <c r="F8" s="124">
        <v>79.7</v>
      </c>
      <c r="G8" s="153">
        <f t="shared" si="2"/>
        <v>0.60899999999999987</v>
      </c>
      <c r="H8" s="125">
        <v>84.6</v>
      </c>
      <c r="I8" s="153">
        <f t="shared" si="3"/>
        <v>0.46200000000000019</v>
      </c>
      <c r="J8" s="126">
        <v>85.5</v>
      </c>
      <c r="K8" s="153">
        <f t="shared" si="4"/>
        <v>0.43499999999999994</v>
      </c>
      <c r="L8" s="126">
        <v>83.3</v>
      </c>
      <c r="M8" s="153">
        <f t="shared" si="5"/>
        <v>0.50100000000000011</v>
      </c>
      <c r="N8" s="127">
        <v>87.1</v>
      </c>
      <c r="O8" s="153">
        <f t="shared" si="6"/>
        <v>0.38700000000000018</v>
      </c>
      <c r="P8" s="128">
        <v>87.7</v>
      </c>
      <c r="Q8" s="153">
        <f t="shared" si="7"/>
        <v>0.36899999999999988</v>
      </c>
      <c r="R8" s="129">
        <v>85.6</v>
      </c>
      <c r="S8" s="155">
        <f t="shared" si="8"/>
        <v>0.43200000000000016</v>
      </c>
      <c r="U8" s="109" t="s">
        <v>635</v>
      </c>
      <c r="V8" s="107">
        <v>230</v>
      </c>
      <c r="W8" s="112"/>
    </row>
    <row r="9" spans="1:23" ht="15" thickBot="1">
      <c r="A9" s="144">
        <v>4</v>
      </c>
      <c r="B9" s="139">
        <v>83.1</v>
      </c>
      <c r="C9" s="153">
        <f t="shared" si="0"/>
        <v>0.67600000000000027</v>
      </c>
      <c r="D9" s="124">
        <v>83.1</v>
      </c>
      <c r="E9" s="153">
        <f t="shared" si="1"/>
        <v>0.67600000000000027</v>
      </c>
      <c r="F9" s="124">
        <v>81.400000000000006</v>
      </c>
      <c r="G9" s="153">
        <f t="shared" si="2"/>
        <v>0.74399999999999977</v>
      </c>
      <c r="H9" s="125">
        <v>85.8</v>
      </c>
      <c r="I9" s="153">
        <f t="shared" si="3"/>
        <v>0.56800000000000006</v>
      </c>
      <c r="J9" s="126">
        <v>86.6</v>
      </c>
      <c r="K9" s="153">
        <f t="shared" si="4"/>
        <v>0.53600000000000025</v>
      </c>
      <c r="L9" s="126">
        <v>84.6</v>
      </c>
      <c r="M9" s="153">
        <f t="shared" si="5"/>
        <v>0.61600000000000021</v>
      </c>
      <c r="N9" s="127">
        <v>88.1</v>
      </c>
      <c r="O9" s="153">
        <f t="shared" si="6"/>
        <v>0.4760000000000002</v>
      </c>
      <c r="P9" s="128">
        <v>88.6</v>
      </c>
      <c r="Q9" s="153">
        <f t="shared" si="7"/>
        <v>0.45600000000000024</v>
      </c>
      <c r="R9" s="129">
        <v>86.8</v>
      </c>
      <c r="S9" s="155">
        <f t="shared" si="8"/>
        <v>0.52800000000000014</v>
      </c>
      <c r="U9" s="110" t="s">
        <v>9</v>
      </c>
      <c r="V9" s="116">
        <v>1000</v>
      </c>
      <c r="W9" s="113"/>
    </row>
    <row r="10" spans="1:23">
      <c r="A10" s="144">
        <v>5.5</v>
      </c>
      <c r="B10" s="139">
        <v>84.7</v>
      </c>
      <c r="C10" s="153">
        <f t="shared" si="0"/>
        <v>0.8414999999999998</v>
      </c>
      <c r="D10" s="124">
        <v>84.7</v>
      </c>
      <c r="E10" s="153">
        <f t="shared" si="1"/>
        <v>0.8414999999999998</v>
      </c>
      <c r="F10" s="124">
        <v>83.1</v>
      </c>
      <c r="G10" s="153">
        <f t="shared" si="2"/>
        <v>0.92950000000000033</v>
      </c>
      <c r="H10" s="125">
        <v>87</v>
      </c>
      <c r="I10" s="153">
        <f t="shared" si="3"/>
        <v>0.71500000000000008</v>
      </c>
      <c r="J10" s="126">
        <v>87.7</v>
      </c>
      <c r="K10" s="153">
        <f t="shared" si="4"/>
        <v>0.67649999999999988</v>
      </c>
      <c r="L10" s="126">
        <v>86</v>
      </c>
      <c r="M10" s="153">
        <f t="shared" si="5"/>
        <v>0.77</v>
      </c>
      <c r="N10" s="127">
        <v>89.2</v>
      </c>
      <c r="O10" s="153">
        <f t="shared" si="6"/>
        <v>0.59399999999999986</v>
      </c>
      <c r="P10" s="128">
        <v>89.6</v>
      </c>
      <c r="Q10" s="153">
        <f t="shared" si="7"/>
        <v>0.57200000000000029</v>
      </c>
      <c r="R10" s="129">
        <v>88</v>
      </c>
      <c r="S10" s="155">
        <f t="shared" si="8"/>
        <v>0.65999999999999992</v>
      </c>
      <c r="U10" s="559" t="s">
        <v>8</v>
      </c>
      <c r="V10" s="348">
        <v>0</v>
      </c>
      <c r="W10" s="118">
        <f>V10*9.81/100</f>
        <v>0</v>
      </c>
    </row>
    <row r="11" spans="1:23" ht="15" thickBot="1">
      <c r="A11" s="144">
        <v>7.5</v>
      </c>
      <c r="B11" s="139">
        <v>86</v>
      </c>
      <c r="C11" s="153">
        <f t="shared" si="0"/>
        <v>1.05</v>
      </c>
      <c r="D11" s="124">
        <v>86</v>
      </c>
      <c r="E11" s="153">
        <f t="shared" si="1"/>
        <v>1.05</v>
      </c>
      <c r="F11" s="124">
        <v>84.7</v>
      </c>
      <c r="G11" s="153">
        <f t="shared" si="2"/>
        <v>1.1474999999999997</v>
      </c>
      <c r="H11" s="125">
        <v>88.1</v>
      </c>
      <c r="I11" s="153">
        <f t="shared" si="3"/>
        <v>0.8925000000000004</v>
      </c>
      <c r="J11" s="126">
        <v>88.7</v>
      </c>
      <c r="K11" s="153">
        <f t="shared" si="4"/>
        <v>0.84749999999999981</v>
      </c>
      <c r="L11" s="126">
        <v>87.2</v>
      </c>
      <c r="M11" s="153">
        <f t="shared" si="5"/>
        <v>0.95999999999999985</v>
      </c>
      <c r="N11" s="127">
        <v>90.1</v>
      </c>
      <c r="O11" s="153">
        <f t="shared" si="6"/>
        <v>0.74250000000000049</v>
      </c>
      <c r="P11" s="128">
        <v>90.4</v>
      </c>
      <c r="Q11" s="153">
        <f t="shared" si="7"/>
        <v>0.71999999999999964</v>
      </c>
      <c r="R11" s="129">
        <v>89.1</v>
      </c>
      <c r="S11" s="155">
        <f t="shared" si="8"/>
        <v>0.81750000000000045</v>
      </c>
      <c r="U11" s="559"/>
      <c r="V11" s="347">
        <v>2.86</v>
      </c>
      <c r="W11" s="119">
        <f>V11/9.81*100</f>
        <v>29.153924566768602</v>
      </c>
    </row>
    <row r="12" spans="1:23" ht="15" thickBot="1">
      <c r="A12" s="144">
        <v>11</v>
      </c>
      <c r="B12" s="139">
        <v>87.6</v>
      </c>
      <c r="C12" s="153">
        <f t="shared" si="0"/>
        <v>1.3640000000000005</v>
      </c>
      <c r="D12" s="124">
        <v>87.6</v>
      </c>
      <c r="E12" s="153">
        <f t="shared" si="1"/>
        <v>1.3640000000000005</v>
      </c>
      <c r="F12" s="124">
        <v>86.4</v>
      </c>
      <c r="G12" s="153">
        <f t="shared" si="2"/>
        <v>1.4959999999999996</v>
      </c>
      <c r="H12" s="125">
        <v>89.4</v>
      </c>
      <c r="I12" s="153">
        <f t="shared" si="3"/>
        <v>1.1659999999999993</v>
      </c>
      <c r="J12" s="126">
        <v>89.8</v>
      </c>
      <c r="K12" s="153">
        <f t="shared" si="4"/>
        <v>1.1220000000000003</v>
      </c>
      <c r="L12" s="126">
        <v>88.7</v>
      </c>
      <c r="M12" s="153">
        <f t="shared" si="5"/>
        <v>1.2429999999999997</v>
      </c>
      <c r="N12" s="127">
        <v>91.2</v>
      </c>
      <c r="O12" s="153">
        <f t="shared" si="6"/>
        <v>0.96799999999999964</v>
      </c>
      <c r="P12" s="128">
        <v>91.4</v>
      </c>
      <c r="Q12" s="153">
        <f t="shared" si="7"/>
        <v>0.94599999999999929</v>
      </c>
      <c r="R12" s="129">
        <v>90.3</v>
      </c>
      <c r="S12" s="155">
        <f t="shared" si="8"/>
        <v>1.0670000000000004</v>
      </c>
      <c r="U12" s="110" t="s">
        <v>636</v>
      </c>
      <c r="V12" s="117">
        <v>0.52790000000000004</v>
      </c>
      <c r="W12" s="113"/>
    </row>
    <row r="13" spans="1:23" ht="15" thickBot="1">
      <c r="A13" s="144">
        <v>15</v>
      </c>
      <c r="B13" s="139">
        <v>88.7</v>
      </c>
      <c r="C13" s="153">
        <f t="shared" si="0"/>
        <v>1.6949999999999996</v>
      </c>
      <c r="D13" s="124">
        <v>88.7</v>
      </c>
      <c r="E13" s="153">
        <f t="shared" si="1"/>
        <v>1.6949999999999996</v>
      </c>
      <c r="F13" s="124">
        <v>87.7</v>
      </c>
      <c r="G13" s="153">
        <f t="shared" si="2"/>
        <v>1.8449999999999995</v>
      </c>
      <c r="H13" s="125">
        <v>90.3</v>
      </c>
      <c r="I13" s="153">
        <f t="shared" si="3"/>
        <v>1.4550000000000005</v>
      </c>
      <c r="J13" s="126">
        <v>90.6</v>
      </c>
      <c r="K13" s="153">
        <f t="shared" si="4"/>
        <v>1.4100000000000008</v>
      </c>
      <c r="L13" s="126">
        <v>89.7</v>
      </c>
      <c r="M13" s="153">
        <f t="shared" si="5"/>
        <v>1.5449999999999995</v>
      </c>
      <c r="N13" s="127">
        <v>91.9</v>
      </c>
      <c r="O13" s="153">
        <f t="shared" si="6"/>
        <v>1.2149999999999992</v>
      </c>
      <c r="P13" s="128">
        <v>92.1</v>
      </c>
      <c r="Q13" s="153">
        <f t="shared" si="7"/>
        <v>1.1850000000000009</v>
      </c>
      <c r="R13" s="129">
        <v>91.2</v>
      </c>
      <c r="S13" s="155">
        <f t="shared" si="8"/>
        <v>1.3199999999999994</v>
      </c>
      <c r="U13" s="111" t="s">
        <v>634</v>
      </c>
      <c r="V13" s="114">
        <f>V8*V9*(IF(V10&gt;0,V10,IF(V11&gt;0,W11,0)))*9.81/3600/1000/V12</f>
        <v>34.613036980909676</v>
      </c>
      <c r="W13" s="115">
        <f>V13*1000</f>
        <v>34613.036980909674</v>
      </c>
    </row>
    <row r="14" spans="1:23">
      <c r="A14" s="144">
        <v>18.5</v>
      </c>
      <c r="B14" s="139">
        <v>89.3</v>
      </c>
      <c r="C14" s="153">
        <f t="shared" si="0"/>
        <v>1.9795000000000005</v>
      </c>
      <c r="D14" s="124">
        <v>89.3</v>
      </c>
      <c r="E14" s="153">
        <f t="shared" si="1"/>
        <v>1.9795000000000005</v>
      </c>
      <c r="F14" s="124">
        <v>88.6</v>
      </c>
      <c r="G14" s="153">
        <f t="shared" si="2"/>
        <v>2.1090000000000013</v>
      </c>
      <c r="H14" s="125">
        <v>90.9</v>
      </c>
      <c r="I14" s="153">
        <f t="shared" si="3"/>
        <v>1.6834999999999989</v>
      </c>
      <c r="J14" s="126">
        <v>91.2</v>
      </c>
      <c r="K14" s="153">
        <f t="shared" si="4"/>
        <v>1.6279999999999994</v>
      </c>
      <c r="L14" s="126">
        <v>90.4</v>
      </c>
      <c r="M14" s="153">
        <f t="shared" si="5"/>
        <v>1.7759999999999989</v>
      </c>
      <c r="N14" s="127">
        <v>92.4</v>
      </c>
      <c r="O14" s="153">
        <f t="shared" si="6"/>
        <v>1.405999999999999</v>
      </c>
      <c r="P14" s="128">
        <v>92.6</v>
      </c>
      <c r="Q14" s="153">
        <f t="shared" si="7"/>
        <v>1.3690000000000009</v>
      </c>
      <c r="R14" s="129">
        <v>91.7</v>
      </c>
      <c r="S14" s="155">
        <f t="shared" si="8"/>
        <v>1.5354999999999996</v>
      </c>
      <c r="U14" s="108"/>
    </row>
    <row r="15" spans="1:23">
      <c r="A15" s="144">
        <v>22</v>
      </c>
      <c r="B15" s="139">
        <v>89.9</v>
      </c>
      <c r="C15" s="153">
        <f t="shared" si="0"/>
        <v>2.2219999999999986</v>
      </c>
      <c r="D15" s="124">
        <v>89.9</v>
      </c>
      <c r="E15" s="153">
        <f t="shared" si="1"/>
        <v>2.2219999999999986</v>
      </c>
      <c r="F15" s="124">
        <v>89.2</v>
      </c>
      <c r="G15" s="153">
        <f t="shared" si="2"/>
        <v>2.3759999999999994</v>
      </c>
      <c r="H15" s="125">
        <v>91.3</v>
      </c>
      <c r="I15" s="153">
        <f t="shared" si="3"/>
        <v>1.9140000000000006</v>
      </c>
      <c r="J15" s="126">
        <v>91.6</v>
      </c>
      <c r="K15" s="153">
        <f t="shared" si="4"/>
        <v>1.8480000000000014</v>
      </c>
      <c r="L15" s="126">
        <v>90.9</v>
      </c>
      <c r="M15" s="153">
        <f t="shared" si="5"/>
        <v>2.0019999999999989</v>
      </c>
      <c r="N15" s="127">
        <v>92.7</v>
      </c>
      <c r="O15" s="153">
        <f t="shared" si="6"/>
        <v>1.6059999999999992</v>
      </c>
      <c r="P15" s="128">
        <v>93</v>
      </c>
      <c r="Q15" s="153">
        <f t="shared" si="7"/>
        <v>1.54</v>
      </c>
      <c r="R15" s="129">
        <v>92.2</v>
      </c>
      <c r="S15" s="155">
        <f t="shared" si="8"/>
        <v>1.7159999999999993</v>
      </c>
      <c r="U15" s="108"/>
    </row>
    <row r="16" spans="1:23">
      <c r="A16" s="144">
        <v>30</v>
      </c>
      <c r="B16" s="139">
        <v>90.7</v>
      </c>
      <c r="C16" s="153">
        <f t="shared" si="0"/>
        <v>2.7899999999999991</v>
      </c>
      <c r="D16" s="124">
        <v>90.7</v>
      </c>
      <c r="E16" s="153">
        <f>(100-D16)/100*$A16</f>
        <v>2.7899999999999991</v>
      </c>
      <c r="F16" s="124">
        <v>90.2</v>
      </c>
      <c r="G16" s="153">
        <f t="shared" si="2"/>
        <v>2.9399999999999995</v>
      </c>
      <c r="H16" s="125">
        <v>92</v>
      </c>
      <c r="I16" s="153">
        <f t="shared" si="3"/>
        <v>2.4</v>
      </c>
      <c r="J16" s="126">
        <v>92.3</v>
      </c>
      <c r="K16" s="153">
        <f t="shared" si="4"/>
        <v>2.3100000000000009</v>
      </c>
      <c r="L16" s="126">
        <v>91.7</v>
      </c>
      <c r="M16" s="153">
        <f t="shared" si="5"/>
        <v>2.4899999999999993</v>
      </c>
      <c r="N16" s="127">
        <v>93.3</v>
      </c>
      <c r="O16" s="153">
        <f t="shared" si="6"/>
        <v>2.0100000000000011</v>
      </c>
      <c r="P16" s="128">
        <v>93.6</v>
      </c>
      <c r="Q16" s="153">
        <f t="shared" si="7"/>
        <v>1.9200000000000017</v>
      </c>
      <c r="R16" s="129">
        <v>92.9</v>
      </c>
      <c r="S16" s="155">
        <f t="shared" si="8"/>
        <v>2.1299999999999981</v>
      </c>
      <c r="U16" s="108"/>
    </row>
    <row r="17" spans="1:19">
      <c r="A17" s="144">
        <v>37</v>
      </c>
      <c r="B17" s="139">
        <v>91.2</v>
      </c>
      <c r="C17" s="153">
        <f t="shared" si="0"/>
        <v>3.2559999999999989</v>
      </c>
      <c r="D17" s="124">
        <v>91.2</v>
      </c>
      <c r="E17" s="153">
        <f t="shared" si="1"/>
        <v>3.2559999999999989</v>
      </c>
      <c r="F17" s="124">
        <v>90.8</v>
      </c>
      <c r="G17" s="153">
        <f t="shared" si="2"/>
        <v>3.4040000000000008</v>
      </c>
      <c r="H17" s="125">
        <v>92.5</v>
      </c>
      <c r="I17" s="153">
        <f t="shared" si="3"/>
        <v>2.7749999999999999</v>
      </c>
      <c r="J17" s="126">
        <v>92.7</v>
      </c>
      <c r="K17" s="153">
        <f t="shared" si="4"/>
        <v>2.7009999999999987</v>
      </c>
      <c r="L17" s="126">
        <v>92.2</v>
      </c>
      <c r="M17" s="153">
        <f t="shared" si="5"/>
        <v>2.8859999999999988</v>
      </c>
      <c r="N17" s="127">
        <v>93.7</v>
      </c>
      <c r="O17" s="153">
        <f t="shared" si="6"/>
        <v>2.3309999999999991</v>
      </c>
      <c r="P17" s="128">
        <v>93.9</v>
      </c>
      <c r="Q17" s="153">
        <f t="shared" si="7"/>
        <v>2.2569999999999979</v>
      </c>
      <c r="R17" s="129">
        <v>93.3</v>
      </c>
      <c r="S17" s="155">
        <f t="shared" si="8"/>
        <v>2.479000000000001</v>
      </c>
    </row>
    <row r="18" spans="1:19">
      <c r="A18" s="144">
        <v>45</v>
      </c>
      <c r="B18" s="139">
        <v>91.7</v>
      </c>
      <c r="C18" s="153">
        <f t="shared" si="0"/>
        <v>3.734999999999999</v>
      </c>
      <c r="D18" s="124">
        <v>91.7</v>
      </c>
      <c r="E18" s="153">
        <f t="shared" si="1"/>
        <v>3.734999999999999</v>
      </c>
      <c r="F18" s="124">
        <v>91.4</v>
      </c>
      <c r="G18" s="153">
        <f t="shared" si="2"/>
        <v>3.869999999999997</v>
      </c>
      <c r="H18" s="125">
        <v>92.9</v>
      </c>
      <c r="I18" s="153">
        <f t="shared" si="3"/>
        <v>3.1949999999999972</v>
      </c>
      <c r="J18" s="126">
        <v>93.1</v>
      </c>
      <c r="K18" s="153">
        <f t="shared" si="4"/>
        <v>3.1050000000000026</v>
      </c>
      <c r="L18" s="126">
        <v>92.7</v>
      </c>
      <c r="M18" s="153">
        <f t="shared" si="5"/>
        <v>3.2849999999999984</v>
      </c>
      <c r="N18" s="127">
        <v>94</v>
      </c>
      <c r="O18" s="153">
        <f t="shared" si="6"/>
        <v>2.6999999999999997</v>
      </c>
      <c r="P18" s="128">
        <v>94.2</v>
      </c>
      <c r="Q18" s="153">
        <f t="shared" si="7"/>
        <v>2.6099999999999985</v>
      </c>
      <c r="R18" s="129">
        <v>93.7</v>
      </c>
      <c r="S18" s="155">
        <f t="shared" si="8"/>
        <v>2.8349999999999986</v>
      </c>
    </row>
    <row r="19" spans="1:19" ht="15" thickBot="1">
      <c r="A19" s="289">
        <v>55</v>
      </c>
      <c r="B19" s="290">
        <v>92.1</v>
      </c>
      <c r="C19" s="291">
        <f t="shared" si="0"/>
        <v>4.3450000000000033</v>
      </c>
      <c r="D19" s="292">
        <v>92.1</v>
      </c>
      <c r="E19" s="291">
        <f t="shared" si="1"/>
        <v>4.3450000000000033</v>
      </c>
      <c r="F19" s="292">
        <v>91.9</v>
      </c>
      <c r="G19" s="291">
        <f t="shared" si="2"/>
        <v>4.4549999999999974</v>
      </c>
      <c r="H19" s="293">
        <v>93.2</v>
      </c>
      <c r="I19" s="291">
        <f t="shared" si="3"/>
        <v>3.7399999999999989</v>
      </c>
      <c r="J19" s="294">
        <v>93.5</v>
      </c>
      <c r="K19" s="291">
        <f t="shared" si="4"/>
        <v>3.5750000000000002</v>
      </c>
      <c r="L19" s="294">
        <v>93.1</v>
      </c>
      <c r="M19" s="291">
        <f t="shared" si="5"/>
        <v>3.7950000000000035</v>
      </c>
      <c r="N19" s="295">
        <v>94.3</v>
      </c>
      <c r="O19" s="291">
        <f t="shared" si="6"/>
        <v>3.1350000000000016</v>
      </c>
      <c r="P19" s="296">
        <v>94.6</v>
      </c>
      <c r="Q19" s="291">
        <f t="shared" si="7"/>
        <v>2.9700000000000029</v>
      </c>
      <c r="R19" s="297">
        <v>94.1</v>
      </c>
      <c r="S19" s="298">
        <f t="shared" si="8"/>
        <v>3.2450000000000032</v>
      </c>
    </row>
    <row r="20" spans="1:19" ht="15" thickBot="1">
      <c r="A20" s="300">
        <v>75</v>
      </c>
      <c r="B20" s="301">
        <v>92.7</v>
      </c>
      <c r="C20" s="302">
        <f t="shared" si="0"/>
        <v>5.4749999999999979</v>
      </c>
      <c r="D20" s="303">
        <v>92.7</v>
      </c>
      <c r="E20" s="302">
        <f t="shared" si="1"/>
        <v>5.4749999999999979</v>
      </c>
      <c r="F20" s="303">
        <v>92.6</v>
      </c>
      <c r="G20" s="302">
        <f t="shared" si="2"/>
        <v>5.5500000000000043</v>
      </c>
      <c r="H20" s="304">
        <v>93.8</v>
      </c>
      <c r="I20" s="302">
        <f t="shared" si="3"/>
        <v>4.6500000000000021</v>
      </c>
      <c r="J20" s="305">
        <v>94</v>
      </c>
      <c r="K20" s="302">
        <f t="shared" si="4"/>
        <v>4.5</v>
      </c>
      <c r="L20" s="305">
        <v>93.7</v>
      </c>
      <c r="M20" s="302">
        <f t="shared" si="5"/>
        <v>4.7249999999999979</v>
      </c>
      <c r="N20" s="306">
        <v>94.7</v>
      </c>
      <c r="O20" s="302">
        <f t="shared" si="6"/>
        <v>3.9749999999999979</v>
      </c>
      <c r="P20" s="307">
        <v>95</v>
      </c>
      <c r="Q20" s="302">
        <f t="shared" si="7"/>
        <v>3.75</v>
      </c>
      <c r="R20" s="308">
        <v>94.6</v>
      </c>
      <c r="S20" s="309">
        <f t="shared" si="8"/>
        <v>4.0500000000000043</v>
      </c>
    </row>
    <row r="21" spans="1:19">
      <c r="A21" s="143">
        <v>90</v>
      </c>
      <c r="B21" s="138">
        <v>93</v>
      </c>
      <c r="C21" s="152">
        <f t="shared" si="0"/>
        <v>6.3000000000000007</v>
      </c>
      <c r="D21" s="130">
        <v>93</v>
      </c>
      <c r="E21" s="152">
        <f t="shared" si="1"/>
        <v>6.3000000000000007</v>
      </c>
      <c r="F21" s="130">
        <v>92.9</v>
      </c>
      <c r="G21" s="152">
        <f t="shared" si="2"/>
        <v>6.3899999999999944</v>
      </c>
      <c r="H21" s="131">
        <v>94.1</v>
      </c>
      <c r="I21" s="152">
        <f t="shared" si="3"/>
        <v>5.3100000000000049</v>
      </c>
      <c r="J21" s="132">
        <v>94.2</v>
      </c>
      <c r="K21" s="152">
        <f t="shared" si="4"/>
        <v>5.2199999999999971</v>
      </c>
      <c r="L21" s="132">
        <v>94</v>
      </c>
      <c r="M21" s="152">
        <f t="shared" si="5"/>
        <v>5.3999999999999995</v>
      </c>
      <c r="N21" s="133">
        <v>95</v>
      </c>
      <c r="O21" s="152">
        <f t="shared" si="6"/>
        <v>4.5</v>
      </c>
      <c r="P21" s="134">
        <v>95.2</v>
      </c>
      <c r="Q21" s="152">
        <f t="shared" si="7"/>
        <v>4.3199999999999976</v>
      </c>
      <c r="R21" s="135">
        <v>94.9</v>
      </c>
      <c r="S21" s="299">
        <f t="shared" si="8"/>
        <v>4.5899999999999945</v>
      </c>
    </row>
    <row r="22" spans="1:19">
      <c r="A22" s="144">
        <v>110</v>
      </c>
      <c r="B22" s="139">
        <v>93.3</v>
      </c>
      <c r="C22" s="153">
        <f t="shared" si="0"/>
        <v>7.3700000000000037</v>
      </c>
      <c r="D22" s="124">
        <v>93.3</v>
      </c>
      <c r="E22" s="153">
        <f t="shared" si="1"/>
        <v>7.3700000000000037</v>
      </c>
      <c r="F22" s="124">
        <v>93.3</v>
      </c>
      <c r="G22" s="153">
        <f t="shared" si="2"/>
        <v>7.3700000000000037</v>
      </c>
      <c r="H22" s="125">
        <v>94.3</v>
      </c>
      <c r="I22" s="153">
        <f t="shared" si="3"/>
        <v>6.2700000000000031</v>
      </c>
      <c r="J22" s="126">
        <v>94.5</v>
      </c>
      <c r="K22" s="153">
        <f t="shared" si="4"/>
        <v>6.05</v>
      </c>
      <c r="L22" s="126">
        <v>94.3</v>
      </c>
      <c r="M22" s="153">
        <f t="shared" si="5"/>
        <v>6.2700000000000031</v>
      </c>
      <c r="N22" s="127">
        <v>95.2</v>
      </c>
      <c r="O22" s="153">
        <f t="shared" si="6"/>
        <v>5.2799999999999967</v>
      </c>
      <c r="P22" s="128">
        <v>95.4</v>
      </c>
      <c r="Q22" s="153">
        <f t="shared" si="7"/>
        <v>5.0599999999999934</v>
      </c>
      <c r="R22" s="129">
        <v>95.1</v>
      </c>
      <c r="S22" s="155">
        <f t="shared" si="8"/>
        <v>5.3900000000000059</v>
      </c>
    </row>
    <row r="23" spans="1:19">
      <c r="A23" s="144">
        <v>132</v>
      </c>
      <c r="B23" s="139">
        <v>93.5</v>
      </c>
      <c r="C23" s="153">
        <f t="shared" si="0"/>
        <v>8.58</v>
      </c>
      <c r="D23" s="124">
        <v>93.5</v>
      </c>
      <c r="E23" s="153">
        <f t="shared" si="1"/>
        <v>8.58</v>
      </c>
      <c r="F23" s="124">
        <v>93.5</v>
      </c>
      <c r="G23" s="153">
        <f t="shared" si="2"/>
        <v>8.58</v>
      </c>
      <c r="H23" s="125">
        <v>94.6</v>
      </c>
      <c r="I23" s="153">
        <f t="shared" si="3"/>
        <v>7.1280000000000072</v>
      </c>
      <c r="J23" s="126">
        <v>94.7</v>
      </c>
      <c r="K23" s="153">
        <f t="shared" si="4"/>
        <v>6.995999999999996</v>
      </c>
      <c r="L23" s="126">
        <v>94.6</v>
      </c>
      <c r="M23" s="153">
        <f t="shared" si="5"/>
        <v>7.1280000000000072</v>
      </c>
      <c r="N23" s="127">
        <v>95.4</v>
      </c>
      <c r="O23" s="153">
        <f t="shared" si="6"/>
        <v>6.071999999999993</v>
      </c>
      <c r="P23" s="128">
        <v>95.6</v>
      </c>
      <c r="Q23" s="153">
        <f t="shared" si="7"/>
        <v>5.8080000000000078</v>
      </c>
      <c r="R23" s="129">
        <v>95.4</v>
      </c>
      <c r="S23" s="155">
        <f t="shared" si="8"/>
        <v>6.071999999999993</v>
      </c>
    </row>
    <row r="24" spans="1:19">
      <c r="A24" s="144">
        <v>160</v>
      </c>
      <c r="B24" s="139">
        <v>93.7</v>
      </c>
      <c r="C24" s="153">
        <f t="shared" si="0"/>
        <v>10.079999999999995</v>
      </c>
      <c r="D24" s="124">
        <v>93.8</v>
      </c>
      <c r="E24" s="153">
        <f t="shared" si="1"/>
        <v>9.9200000000000053</v>
      </c>
      <c r="F24" s="124">
        <v>93.8</v>
      </c>
      <c r="G24" s="153">
        <f t="shared" si="2"/>
        <v>9.9200000000000053</v>
      </c>
      <c r="H24" s="125">
        <v>94.8</v>
      </c>
      <c r="I24" s="153">
        <f t="shared" si="3"/>
        <v>8.3200000000000038</v>
      </c>
      <c r="J24" s="126">
        <v>94.9</v>
      </c>
      <c r="K24" s="153">
        <f t="shared" si="4"/>
        <v>8.1599999999999913</v>
      </c>
      <c r="L24" s="126">
        <v>94.8</v>
      </c>
      <c r="M24" s="153">
        <f t="shared" si="5"/>
        <v>8.3200000000000038</v>
      </c>
      <c r="N24" s="127">
        <v>95.6</v>
      </c>
      <c r="O24" s="153">
        <f t="shared" si="6"/>
        <v>7.0400000000000098</v>
      </c>
      <c r="P24" s="128">
        <v>95.8</v>
      </c>
      <c r="Q24" s="153">
        <f t="shared" si="7"/>
        <v>6.7200000000000051</v>
      </c>
      <c r="R24" s="129">
        <v>95.6</v>
      </c>
      <c r="S24" s="155">
        <f t="shared" si="8"/>
        <v>7.0400000000000098</v>
      </c>
    </row>
    <row r="25" spans="1:19">
      <c r="A25" s="144">
        <v>200</v>
      </c>
      <c r="B25" s="139">
        <v>94</v>
      </c>
      <c r="C25" s="153">
        <f t="shared" si="0"/>
        <v>12</v>
      </c>
      <c r="D25" s="124">
        <v>94</v>
      </c>
      <c r="E25" s="153">
        <f t="shared" si="1"/>
        <v>12</v>
      </c>
      <c r="F25" s="124">
        <v>94</v>
      </c>
      <c r="G25" s="153">
        <f t="shared" si="2"/>
        <v>12</v>
      </c>
      <c r="H25" s="125">
        <v>95</v>
      </c>
      <c r="I25" s="153">
        <f t="shared" si="3"/>
        <v>10</v>
      </c>
      <c r="J25" s="126">
        <v>95.1</v>
      </c>
      <c r="K25" s="153">
        <f t="shared" si="4"/>
        <v>9.8000000000000114</v>
      </c>
      <c r="L25" s="126">
        <v>95</v>
      </c>
      <c r="M25" s="153">
        <f t="shared" si="5"/>
        <v>10</v>
      </c>
      <c r="N25" s="127">
        <v>95.8</v>
      </c>
      <c r="O25" s="153">
        <f t="shared" si="6"/>
        <v>8.4000000000000057</v>
      </c>
      <c r="P25" s="128">
        <v>96</v>
      </c>
      <c r="Q25" s="153">
        <f t="shared" si="7"/>
        <v>8</v>
      </c>
      <c r="R25" s="129">
        <v>95.8</v>
      </c>
      <c r="S25" s="155">
        <f t="shared" si="8"/>
        <v>8.4000000000000057</v>
      </c>
    </row>
    <row r="26" spans="1:19">
      <c r="A26" s="144">
        <v>250</v>
      </c>
      <c r="B26" s="139">
        <v>94</v>
      </c>
      <c r="C26" s="153">
        <f t="shared" si="0"/>
        <v>15</v>
      </c>
      <c r="D26" s="124">
        <v>94</v>
      </c>
      <c r="E26" s="153">
        <f t="shared" si="1"/>
        <v>15</v>
      </c>
      <c r="F26" s="124">
        <v>94</v>
      </c>
      <c r="G26" s="153">
        <f t="shared" si="2"/>
        <v>15</v>
      </c>
      <c r="H26" s="125">
        <v>95</v>
      </c>
      <c r="I26" s="153">
        <f t="shared" si="3"/>
        <v>12.5</v>
      </c>
      <c r="J26" s="126">
        <v>95.1</v>
      </c>
      <c r="K26" s="153">
        <f t="shared" si="4"/>
        <v>12.250000000000014</v>
      </c>
      <c r="L26" s="126">
        <v>95</v>
      </c>
      <c r="M26" s="153">
        <f t="shared" si="5"/>
        <v>12.5</v>
      </c>
      <c r="N26" s="127">
        <v>95.8</v>
      </c>
      <c r="O26" s="153">
        <f t="shared" si="6"/>
        <v>10.500000000000007</v>
      </c>
      <c r="P26" s="128">
        <v>96</v>
      </c>
      <c r="Q26" s="153">
        <f t="shared" si="7"/>
        <v>10</v>
      </c>
      <c r="R26" s="129">
        <v>95.8</v>
      </c>
      <c r="S26" s="155">
        <f t="shared" si="8"/>
        <v>10.500000000000007</v>
      </c>
    </row>
    <row r="27" spans="1:19">
      <c r="A27" s="144">
        <v>315</v>
      </c>
      <c r="B27" s="139">
        <v>94</v>
      </c>
      <c r="C27" s="153">
        <f t="shared" si="0"/>
        <v>18.899999999999999</v>
      </c>
      <c r="D27" s="124">
        <v>94</v>
      </c>
      <c r="E27" s="153">
        <f t="shared" si="1"/>
        <v>18.899999999999999</v>
      </c>
      <c r="F27" s="124">
        <v>94</v>
      </c>
      <c r="G27" s="153">
        <f t="shared" si="2"/>
        <v>18.899999999999999</v>
      </c>
      <c r="H27" s="125">
        <v>95</v>
      </c>
      <c r="I27" s="153">
        <f t="shared" si="3"/>
        <v>15.75</v>
      </c>
      <c r="J27" s="126">
        <v>95.1</v>
      </c>
      <c r="K27" s="153">
        <f t="shared" si="4"/>
        <v>15.435000000000018</v>
      </c>
      <c r="L27" s="126">
        <v>95</v>
      </c>
      <c r="M27" s="153">
        <f t="shared" si="5"/>
        <v>15.75</v>
      </c>
      <c r="N27" s="127">
        <v>95.8</v>
      </c>
      <c r="O27" s="153">
        <f t="shared" si="6"/>
        <v>13.230000000000009</v>
      </c>
      <c r="P27" s="128">
        <v>96</v>
      </c>
      <c r="Q27" s="153">
        <f t="shared" si="7"/>
        <v>12.6</v>
      </c>
      <c r="R27" s="129">
        <v>95.8</v>
      </c>
      <c r="S27" s="155">
        <f t="shared" si="8"/>
        <v>13.230000000000009</v>
      </c>
    </row>
    <row r="28" spans="1:19">
      <c r="A28" s="144">
        <v>355</v>
      </c>
      <c r="B28" s="139">
        <v>94</v>
      </c>
      <c r="C28" s="153">
        <f t="shared" si="0"/>
        <v>21.3</v>
      </c>
      <c r="D28" s="124">
        <v>94</v>
      </c>
      <c r="E28" s="153">
        <f t="shared" si="1"/>
        <v>21.3</v>
      </c>
      <c r="F28" s="124">
        <v>94</v>
      </c>
      <c r="G28" s="153">
        <f t="shared" si="2"/>
        <v>21.3</v>
      </c>
      <c r="H28" s="125">
        <v>95</v>
      </c>
      <c r="I28" s="153">
        <f t="shared" si="3"/>
        <v>17.75</v>
      </c>
      <c r="J28" s="126">
        <v>95.1</v>
      </c>
      <c r="K28" s="153">
        <f t="shared" si="4"/>
        <v>17.395000000000021</v>
      </c>
      <c r="L28" s="126">
        <v>95</v>
      </c>
      <c r="M28" s="153">
        <f t="shared" si="5"/>
        <v>17.75</v>
      </c>
      <c r="N28" s="127">
        <v>95.8</v>
      </c>
      <c r="O28" s="153">
        <f t="shared" si="6"/>
        <v>14.910000000000011</v>
      </c>
      <c r="P28" s="128">
        <v>96</v>
      </c>
      <c r="Q28" s="153">
        <f t="shared" si="7"/>
        <v>14.200000000000001</v>
      </c>
      <c r="R28" s="129">
        <v>95.8</v>
      </c>
      <c r="S28" s="155">
        <f t="shared" si="8"/>
        <v>14.910000000000011</v>
      </c>
    </row>
    <row r="29" spans="1:19" ht="15" thickBot="1">
      <c r="A29" s="145">
        <v>375</v>
      </c>
      <c r="B29" s="149">
        <v>94</v>
      </c>
      <c r="C29" s="154">
        <f t="shared" si="0"/>
        <v>22.5</v>
      </c>
      <c r="D29" s="150">
        <v>94</v>
      </c>
      <c r="E29" s="154">
        <f t="shared" si="1"/>
        <v>22.5</v>
      </c>
      <c r="F29" s="150">
        <v>94</v>
      </c>
      <c r="G29" s="154">
        <f t="shared" si="2"/>
        <v>22.5</v>
      </c>
      <c r="H29" s="120">
        <v>95</v>
      </c>
      <c r="I29" s="154">
        <f t="shared" si="3"/>
        <v>18.75</v>
      </c>
      <c r="J29" s="121">
        <v>95.1</v>
      </c>
      <c r="K29" s="154">
        <f t="shared" si="4"/>
        <v>18.375000000000021</v>
      </c>
      <c r="L29" s="121">
        <v>95</v>
      </c>
      <c r="M29" s="154">
        <f t="shared" si="5"/>
        <v>18.75</v>
      </c>
      <c r="N29" s="122">
        <v>95.8</v>
      </c>
      <c r="O29" s="154">
        <f t="shared" si="6"/>
        <v>15.750000000000011</v>
      </c>
      <c r="P29" s="123">
        <v>96</v>
      </c>
      <c r="Q29" s="154">
        <f t="shared" si="7"/>
        <v>15</v>
      </c>
      <c r="R29" s="151">
        <v>95.8</v>
      </c>
      <c r="S29" s="156">
        <f t="shared" si="8"/>
        <v>15.750000000000011</v>
      </c>
    </row>
    <row r="34" spans="6:7">
      <c r="F34" s="22" t="s">
        <v>50</v>
      </c>
      <c r="G34" s="22"/>
    </row>
  </sheetData>
  <dataConsolidate/>
  <mergeCells count="14">
    <mergeCell ref="B1:F1"/>
    <mergeCell ref="H1:L1"/>
    <mergeCell ref="N1:R1"/>
    <mergeCell ref="U7:W7"/>
    <mergeCell ref="U10:U11"/>
    <mergeCell ref="B3:C3"/>
    <mergeCell ref="D3:E3"/>
    <mergeCell ref="F3:G3"/>
    <mergeCell ref="B2:C2"/>
    <mergeCell ref="D2:E2"/>
    <mergeCell ref="F2:G2"/>
    <mergeCell ref="H2:I2"/>
    <mergeCell ref="J2:K2"/>
    <mergeCell ref="L2:M2"/>
  </mergeCells>
  <pageMargins left="0.7" right="0.7" top="0.75" bottom="0.75" header="0.3" footer="0.3"/>
  <pageSetup paperSize="9" orientation="portrait" horizont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
  <sheetViews>
    <sheetView workbookViewId="0">
      <selection activeCell="O9" sqref="O9"/>
    </sheetView>
  </sheetViews>
  <sheetFormatPr defaultRowHeight="14.4"/>
  <sheetData>
    <row r="2" spans="11:11">
      <c r="K2" t="s">
        <v>2357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P21"/>
  <sheetViews>
    <sheetView topLeftCell="A10" zoomScale="80" zoomScaleNormal="80" workbookViewId="0">
      <selection activeCell="B13" sqref="B13:B15"/>
    </sheetView>
  </sheetViews>
  <sheetFormatPr defaultRowHeight="14.4"/>
  <cols>
    <col min="1" max="6" width="9.6640625" customWidth="1"/>
  </cols>
  <sheetData>
    <row r="1" spans="1:16" ht="15.6" thickTop="1" thickBot="1">
      <c r="A1" s="18"/>
      <c r="B1" s="395">
        <v>1</v>
      </c>
      <c r="C1" s="396">
        <v>2</v>
      </c>
      <c r="D1" s="396">
        <v>3</v>
      </c>
      <c r="E1" s="397">
        <v>4</v>
      </c>
    </row>
    <row r="2" spans="1:16" ht="15" thickTop="1">
      <c r="A2" s="398" t="s">
        <v>760</v>
      </c>
      <c r="B2" s="382">
        <v>11400</v>
      </c>
      <c r="C2" s="382"/>
      <c r="D2" s="382"/>
      <c r="E2" s="399"/>
      <c r="H2" s="644" t="s">
        <v>769</v>
      </c>
      <c r="I2" s="645"/>
      <c r="J2" s="645"/>
      <c r="K2" s="646"/>
    </row>
    <row r="3" spans="1:16">
      <c r="A3" s="398" t="s">
        <v>761</v>
      </c>
      <c r="B3" s="382">
        <v>6600</v>
      </c>
      <c r="C3" s="2"/>
      <c r="D3" s="2"/>
      <c r="E3" s="400"/>
      <c r="H3" s="647" t="s">
        <v>738</v>
      </c>
      <c r="I3" s="649" t="s">
        <v>775</v>
      </c>
      <c r="J3" s="651" t="s">
        <v>776</v>
      </c>
      <c r="K3" s="652"/>
    </row>
    <row r="4" spans="1:16" ht="15" thickBot="1">
      <c r="A4" s="398" t="s">
        <v>762</v>
      </c>
      <c r="B4" s="2">
        <v>6600</v>
      </c>
      <c r="C4" s="2"/>
      <c r="D4" s="2"/>
      <c r="E4" s="400"/>
      <c r="H4" s="648"/>
      <c r="I4" s="650"/>
      <c r="J4" s="385" t="s">
        <v>37</v>
      </c>
      <c r="K4" s="386" t="s">
        <v>29</v>
      </c>
    </row>
    <row r="5" spans="1:16" ht="15" thickTop="1">
      <c r="A5" s="398" t="s">
        <v>749</v>
      </c>
      <c r="B5" s="2">
        <f>IF(AND(B2&gt;0,B3&gt;0),B2*B3/1000000,"-")</f>
        <v>75.239999999999995</v>
      </c>
      <c r="C5" s="2" t="str">
        <f>IF(AND(C2&gt;0,C3&gt;0),C2*C3/1000000,"-")</f>
        <v>-</v>
      </c>
      <c r="D5" s="2" t="str">
        <f>IF(AND(D2&gt;0,D3&gt;0),D2*D3/1000000,"-")</f>
        <v>-</v>
      </c>
      <c r="E5" s="400" t="str">
        <f>IF(AND(E2&gt;0,E3&gt;0),E2*E3/1000000,"-")</f>
        <v>-</v>
      </c>
      <c r="F5" s="404">
        <f>SUM(B5:E5)</f>
        <v>75.239999999999995</v>
      </c>
      <c r="H5" s="387"/>
      <c r="I5" s="388"/>
      <c r="J5" s="388"/>
      <c r="K5" s="389"/>
    </row>
    <row r="6" spans="1:16" ht="15" thickBot="1">
      <c r="A6" s="401" t="s">
        <v>763</v>
      </c>
      <c r="B6" s="402">
        <f>IF(AND(B4&gt;0,B5&gt;0),B5*B4/1000,"-")</f>
        <v>496.58399999999995</v>
      </c>
      <c r="C6" s="402" t="str">
        <f>IF(AND(C4&gt;0,C5&gt;0),C5*C4/1000,"-")</f>
        <v>-</v>
      </c>
      <c r="D6" s="402" t="str">
        <f>IF(AND(D4&gt;0,D5&gt;0),D5*D4/1000,"-")</f>
        <v>-</v>
      </c>
      <c r="E6" s="403" t="str">
        <f>IF(AND(E4&gt;0,E5&gt;0),E5*E4/1000,"-")</f>
        <v>-</v>
      </c>
      <c r="F6" s="405">
        <f>SUM(B6:E6)</f>
        <v>496.58399999999995</v>
      </c>
      <c r="H6" s="390"/>
      <c r="I6" s="391"/>
      <c r="J6" s="391"/>
      <c r="K6" s="392"/>
    </row>
    <row r="7" spans="1:16" ht="15" thickTop="1"/>
    <row r="8" spans="1:16">
      <c r="A8" s="157"/>
    </row>
    <row r="9" spans="1:16" ht="15" thickBot="1"/>
    <row r="10" spans="1:16" ht="16.8" thickTop="1" thickBot="1">
      <c r="A10" s="393"/>
      <c r="B10" s="393"/>
      <c r="C10" s="570" t="s">
        <v>764</v>
      </c>
      <c r="D10" s="653"/>
      <c r="E10" s="394">
        <v>16</v>
      </c>
      <c r="F10" s="157" t="s">
        <v>37</v>
      </c>
      <c r="H10" s="157" t="s">
        <v>765</v>
      </c>
      <c r="I10" s="383">
        <f>L11-L10</f>
        <v>10</v>
      </c>
      <c r="J10" s="157" t="s">
        <v>766</v>
      </c>
      <c r="K10" s="157" t="s">
        <v>767</v>
      </c>
      <c r="L10" s="380">
        <v>40</v>
      </c>
      <c r="M10" s="188" t="s">
        <v>768</v>
      </c>
    </row>
    <row r="11" spans="1:16" ht="16.8" thickTop="1" thickBot="1">
      <c r="A11" s="157" t="s">
        <v>770</v>
      </c>
      <c r="B11" s="157" t="s">
        <v>771</v>
      </c>
      <c r="C11" s="157" t="s">
        <v>772</v>
      </c>
      <c r="D11" s="188" t="s">
        <v>782</v>
      </c>
      <c r="E11" s="188" t="s">
        <v>783</v>
      </c>
      <c r="H11" s="157" t="s">
        <v>773</v>
      </c>
      <c r="I11" s="383">
        <f>L13-L12</f>
        <v>23</v>
      </c>
      <c r="J11" s="157" t="s">
        <v>766</v>
      </c>
      <c r="K11" s="157" t="s">
        <v>774</v>
      </c>
      <c r="L11" s="381">
        <v>50</v>
      </c>
      <c r="M11" s="188" t="s">
        <v>768</v>
      </c>
    </row>
    <row r="12" spans="1:16" ht="16.2" thickBot="1">
      <c r="A12" s="157" t="s">
        <v>777</v>
      </c>
      <c r="B12" s="157" t="s">
        <v>180</v>
      </c>
      <c r="C12" s="157" t="s">
        <v>180</v>
      </c>
      <c r="D12" s="188" t="s">
        <v>37</v>
      </c>
      <c r="E12" s="188" t="s">
        <v>37</v>
      </c>
      <c r="H12" s="157" t="s">
        <v>778</v>
      </c>
      <c r="I12" s="384">
        <f>IF(AND(E10&gt;0,I10&gt;0),E10/1.01/1.13/I10*3600,"-")</f>
        <v>5046.8763690528349</v>
      </c>
      <c r="J12" s="157" t="s">
        <v>180</v>
      </c>
      <c r="K12" s="157" t="s">
        <v>779</v>
      </c>
      <c r="L12" s="381">
        <v>-20</v>
      </c>
      <c r="M12" s="188" t="s">
        <v>768</v>
      </c>
    </row>
    <row r="13" spans="1:16" ht="16.8" thickTop="1" thickBot="1">
      <c r="A13" s="632">
        <v>10</v>
      </c>
      <c r="B13" s="635">
        <f>F6*A13</f>
        <v>4965.8399999999992</v>
      </c>
      <c r="C13" s="638">
        <v>5050</v>
      </c>
      <c r="D13" s="641">
        <f>C13*1.13*1.01*I10/3600</f>
        <v>16.009902777777775</v>
      </c>
      <c r="E13" s="641">
        <f>E10-D13</f>
        <v>-9.9027777777749293E-3</v>
      </c>
      <c r="H13" s="157" t="s">
        <v>780</v>
      </c>
      <c r="I13" s="517">
        <f>C13*1.13*1.01*I11/3600</f>
        <v>36.822776388888883</v>
      </c>
      <c r="J13" s="157" t="s">
        <v>37</v>
      </c>
      <c r="K13" s="157" t="s">
        <v>781</v>
      </c>
      <c r="L13" s="381">
        <v>3</v>
      </c>
      <c r="M13" s="188" t="s">
        <v>768</v>
      </c>
    </row>
    <row r="14" spans="1:16">
      <c r="A14" s="633"/>
      <c r="B14" s="636"/>
      <c r="C14" s="639"/>
      <c r="D14" s="642"/>
      <c r="E14" s="642"/>
      <c r="G14" s="378"/>
      <c r="H14" s="378"/>
      <c r="I14" s="378"/>
      <c r="J14" s="378"/>
      <c r="K14" s="378"/>
      <c r="L14" s="379"/>
      <c r="M14" s="188"/>
    </row>
    <row r="15" spans="1:16" ht="15" thickBot="1">
      <c r="A15" s="634"/>
      <c r="B15" s="637"/>
      <c r="C15" s="640"/>
      <c r="D15" s="643"/>
      <c r="E15" s="643"/>
      <c r="G15" s="378"/>
      <c r="H15" s="378"/>
      <c r="I15" s="378"/>
      <c r="J15" s="378"/>
      <c r="K15" s="378"/>
      <c r="L15" s="378"/>
      <c r="M15" s="157"/>
      <c r="N15" s="157"/>
      <c r="O15" s="157"/>
      <c r="P15" s="157"/>
    </row>
    <row r="16" spans="1:16" ht="15.6" thickTop="1" thickBot="1">
      <c r="B16" s="157" t="s">
        <v>784</v>
      </c>
      <c r="C16" s="406">
        <f>(I12-C13)/I12*100</f>
        <v>-6.189236111110314E-2</v>
      </c>
      <c r="D16" s="157" t="s">
        <v>29</v>
      </c>
    </row>
    <row r="17" spans="1:3" ht="15.6" thickTop="1" thickBot="1"/>
    <row r="18" spans="1:3" ht="16.2" thickBot="1">
      <c r="A18" s="157" t="s">
        <v>785</v>
      </c>
      <c r="B18" s="18">
        <v>50</v>
      </c>
      <c r="C18" s="188" t="s">
        <v>768</v>
      </c>
    </row>
    <row r="19" spans="1:3" ht="15" thickBot="1">
      <c r="A19" s="188" t="s">
        <v>786</v>
      </c>
      <c r="B19" s="407">
        <f>F6*1.13*1.01*(B18-L10)/E13</f>
        <v>-572315.49764953332</v>
      </c>
      <c r="C19" s="157" t="s">
        <v>787</v>
      </c>
    </row>
    <row r="20" spans="1:3" ht="15" thickBot="1">
      <c r="A20" s="188" t="s">
        <v>786</v>
      </c>
      <c r="B20" s="408">
        <f>B19/60</f>
        <v>-9538.591627492222</v>
      </c>
      <c r="C20" s="157" t="s">
        <v>788</v>
      </c>
    </row>
    <row r="21" spans="1:3">
      <c r="A21" s="188"/>
      <c r="B21" s="188"/>
    </row>
  </sheetData>
  <mergeCells count="10">
    <mergeCell ref="H2:K2"/>
    <mergeCell ref="H3:H4"/>
    <mergeCell ref="I3:I4"/>
    <mergeCell ref="J3:K3"/>
    <mergeCell ref="C10:D10"/>
    <mergeCell ref="A13:A15"/>
    <mergeCell ref="B13:B15"/>
    <mergeCell ref="C13:C15"/>
    <mergeCell ref="D13:D15"/>
    <mergeCell ref="E13:E15"/>
  </mergeCells>
  <dataValidations count="1">
    <dataValidation type="list" allowBlank="1" showInputMessage="1" showErrorMessage="1" sqref="A10:B10">
      <formula1>decks</formula1>
    </dataValidation>
  </dataValidations>
  <pageMargins left="0.7" right="0.7" top="0.75" bottom="0.75" header="0.3" footer="0.3"/>
  <pageSetup paperSize="9" orientation="portrait" horizontalDpi="300" verticalDpi="0" copies="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5"/>
  <sheetViews>
    <sheetView workbookViewId="0">
      <selection activeCell="L10" sqref="L10"/>
    </sheetView>
  </sheetViews>
  <sheetFormatPr defaultRowHeight="14.4"/>
  <sheetData>
    <row r="1" spans="1:2">
      <c r="A1" t="s">
        <v>802</v>
      </c>
      <c r="B1" t="s">
        <v>803</v>
      </c>
    </row>
    <row r="2" spans="1:2">
      <c r="A2" t="s">
        <v>180</v>
      </c>
      <c r="B2" t="s">
        <v>664</v>
      </c>
    </row>
    <row r="3" spans="1:2">
      <c r="A3">
        <v>0</v>
      </c>
      <c r="B3">
        <v>0</v>
      </c>
    </row>
    <row r="4" spans="1:2">
      <c r="A4">
        <v>22</v>
      </c>
      <c r="B4">
        <v>1000</v>
      </c>
    </row>
    <row r="5" spans="1:2">
      <c r="A5">
        <v>88</v>
      </c>
      <c r="B5">
        <v>8200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23"/>
  <sheetViews>
    <sheetView workbookViewId="0">
      <selection activeCell="G18" sqref="G18"/>
    </sheetView>
  </sheetViews>
  <sheetFormatPr defaultRowHeight="13.2"/>
  <cols>
    <col min="1" max="1" width="36.88671875" style="417" customWidth="1"/>
    <col min="2" max="2" width="8.88671875" style="417"/>
    <col min="3" max="3" width="20" style="417" customWidth="1"/>
    <col min="4" max="16384" width="8.88671875" style="417"/>
  </cols>
  <sheetData>
    <row r="1" spans="1:5" ht="22.8">
      <c r="A1" s="441"/>
      <c r="B1" s="440" t="s">
        <v>835</v>
      </c>
    </row>
    <row r="2" spans="1:5" s="437" customFormat="1">
      <c r="A2" s="439"/>
      <c r="B2" s="438" t="s">
        <v>834</v>
      </c>
    </row>
    <row r="3" spans="1:5" ht="21">
      <c r="A3" s="436"/>
      <c r="B3" s="436" t="s">
        <v>833</v>
      </c>
    </row>
    <row r="4" spans="1:5" s="433" customFormat="1" ht="13.8" thickBot="1">
      <c r="A4" s="435"/>
      <c r="B4" s="434" t="s">
        <v>832</v>
      </c>
    </row>
    <row r="5" spans="1:5" ht="14.4" thickTop="1" thickBot="1">
      <c r="A5" s="431" t="s">
        <v>831</v>
      </c>
      <c r="B5" s="426">
        <v>800</v>
      </c>
      <c r="C5" s="417" t="s">
        <v>830</v>
      </c>
    </row>
    <row r="6" spans="1:5" ht="14.4" thickTop="1" thickBot="1">
      <c r="A6" s="431" t="s">
        <v>829</v>
      </c>
      <c r="B6" s="426">
        <v>1</v>
      </c>
      <c r="C6" s="417" t="s">
        <v>827</v>
      </c>
    </row>
    <row r="7" spans="1:5" ht="14.4" thickTop="1" thickBot="1">
      <c r="A7" s="431" t="s">
        <v>828</v>
      </c>
      <c r="B7" s="426">
        <v>30</v>
      </c>
      <c r="C7" s="417" t="s">
        <v>827</v>
      </c>
      <c r="D7" s="431"/>
    </row>
    <row r="8" spans="1:5" ht="14.4" thickTop="1" thickBot="1">
      <c r="A8" s="419" t="s">
        <v>826</v>
      </c>
      <c r="B8" s="426">
        <v>45</v>
      </c>
      <c r="C8" s="419" t="s">
        <v>825</v>
      </c>
      <c r="D8" s="432">
        <f>((B8+273)*((B7/B6)^((B21-1)/B21)))-273</f>
        <v>567.35301814975844</v>
      </c>
      <c r="E8" s="417" t="s">
        <v>824</v>
      </c>
    </row>
    <row r="9" spans="1:5" ht="14.4" thickTop="1" thickBot="1">
      <c r="A9" s="431" t="s">
        <v>823</v>
      </c>
      <c r="B9" s="426">
        <v>71</v>
      </c>
      <c r="C9" s="417" t="s">
        <v>815</v>
      </c>
    </row>
    <row r="10" spans="1:5" ht="13.8" thickTop="1">
      <c r="A10" s="430" t="s">
        <v>822</v>
      </c>
      <c r="B10" s="424">
        <f>((B5/(1000*60))*B22*D8)/(B9/100)</f>
        <v>8480.9953511212716</v>
      </c>
      <c r="C10" s="423" t="s">
        <v>804</v>
      </c>
    </row>
    <row r="11" spans="1:5">
      <c r="A11" s="430"/>
      <c r="B11" s="424">
        <f>B10/B23</f>
        <v>11.37320210123527</v>
      </c>
      <c r="C11" s="423" t="s">
        <v>821</v>
      </c>
    </row>
    <row r="12" spans="1:5" ht="13.8" thickBot="1">
      <c r="A12" s="428" t="s">
        <v>820</v>
      </c>
      <c r="B12" s="427"/>
    </row>
    <row r="13" spans="1:5" ht="14.4" thickTop="1" thickBot="1">
      <c r="A13" s="429" t="s">
        <v>816</v>
      </c>
      <c r="B13" s="426">
        <v>75</v>
      </c>
      <c r="C13" s="417" t="s">
        <v>815</v>
      </c>
    </row>
    <row r="14" spans="1:5" ht="14.4" thickTop="1" thickBot="1">
      <c r="A14" s="419" t="s">
        <v>819</v>
      </c>
      <c r="B14" s="426">
        <v>220</v>
      </c>
      <c r="C14" s="417" t="s">
        <v>813</v>
      </c>
    </row>
    <row r="15" spans="1:5" ht="13.8" thickTop="1">
      <c r="A15" s="425" t="s">
        <v>818</v>
      </c>
      <c r="B15" s="424">
        <f>(B10/(B13/100))/B14</f>
        <v>51.399971824977406</v>
      </c>
      <c r="C15" s="423" t="s">
        <v>811</v>
      </c>
    </row>
    <row r="16" spans="1:5" ht="13.8" thickBot="1">
      <c r="A16" s="428" t="s">
        <v>817</v>
      </c>
      <c r="B16" s="427"/>
    </row>
    <row r="17" spans="1:3" ht="14.4" thickTop="1" thickBot="1">
      <c r="A17" s="419" t="s">
        <v>816</v>
      </c>
      <c r="B17" s="426">
        <v>75</v>
      </c>
      <c r="C17" s="417" t="s">
        <v>815</v>
      </c>
    </row>
    <row r="18" spans="1:3" ht="14.4" thickTop="1" thickBot="1">
      <c r="A18" s="419" t="s">
        <v>814</v>
      </c>
      <c r="B18" s="426">
        <v>380</v>
      </c>
      <c r="C18" s="417" t="s">
        <v>813</v>
      </c>
    </row>
    <row r="19" spans="1:3" ht="13.8" thickTop="1">
      <c r="A19" s="425" t="s">
        <v>812</v>
      </c>
      <c r="B19" s="424">
        <f>((B10/(B17/100))*(3^0.5))/(3*B18)</f>
        <v>17.180719119178352</v>
      </c>
      <c r="C19" s="423" t="s">
        <v>811</v>
      </c>
    </row>
    <row r="20" spans="1:3">
      <c r="A20" s="422" t="s">
        <v>810</v>
      </c>
    </row>
    <row r="21" spans="1:3">
      <c r="A21" s="419" t="s">
        <v>809</v>
      </c>
      <c r="B21" s="421">
        <v>1.4</v>
      </c>
      <c r="C21" s="417" t="s">
        <v>808</v>
      </c>
    </row>
    <row r="22" spans="1:3">
      <c r="A22" s="419" t="s">
        <v>807</v>
      </c>
      <c r="B22" s="420">
        <v>796</v>
      </c>
      <c r="C22" s="417" t="s">
        <v>806</v>
      </c>
    </row>
    <row r="23" spans="1:3">
      <c r="A23" s="419" t="s">
        <v>805</v>
      </c>
      <c r="B23" s="418">
        <v>745.69987200000003</v>
      </c>
      <c r="C23" s="417" t="s">
        <v>804</v>
      </c>
    </row>
  </sheetData>
  <sheetProtection password="CB35" sheet="1" objects="1" scenarios="1"/>
  <hyperlinks>
    <hyperlink ref="B1" r:id="rId1"/>
  </hyperlinks>
  <pageMargins left="0.75" right="0.75" top="1" bottom="1" header="0.5" footer="0.5"/>
  <pageSetup orientation="portrait" verticalDpi="0"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J52"/>
  <sheetViews>
    <sheetView topLeftCell="B1" workbookViewId="0">
      <selection activeCell="K24" sqref="K24"/>
    </sheetView>
  </sheetViews>
  <sheetFormatPr defaultRowHeight="13.2"/>
  <cols>
    <col min="1" max="1" width="2.109375" style="417" hidden="1" customWidth="1"/>
    <col min="2" max="2" width="16.109375" style="417" customWidth="1"/>
    <col min="3" max="3" width="11.88671875" style="417" customWidth="1"/>
    <col min="4" max="4" width="11" style="417" customWidth="1"/>
    <col min="5" max="5" width="11.33203125" style="417" customWidth="1"/>
    <col min="6" max="6" width="10.109375" style="417" customWidth="1"/>
    <col min="7" max="7" width="10.6640625" style="417" customWidth="1"/>
    <col min="8" max="8" width="10.5546875" style="417" customWidth="1"/>
    <col min="9" max="9" width="10.6640625" style="417" customWidth="1"/>
    <col min="10" max="10" width="10.109375" style="417" customWidth="1"/>
    <col min="11" max="16384" width="8.88671875" style="417"/>
  </cols>
  <sheetData>
    <row r="1" spans="2:10" s="460" customFormat="1" ht="36.75" customHeight="1">
      <c r="B1" s="657" t="s">
        <v>841</v>
      </c>
      <c r="C1" s="657"/>
      <c r="D1" s="657"/>
      <c r="E1" s="655" t="s">
        <v>840</v>
      </c>
      <c r="F1" s="655"/>
      <c r="G1" s="655"/>
      <c r="H1" s="655"/>
      <c r="I1" s="655"/>
      <c r="J1" s="655"/>
    </row>
    <row r="2" spans="2:10" ht="13.8" thickBot="1">
      <c r="B2" s="442"/>
    </row>
    <row r="3" spans="2:10" s="423" customFormat="1">
      <c r="B3" s="459"/>
      <c r="C3" s="457" t="s">
        <v>839</v>
      </c>
      <c r="D3" s="457"/>
      <c r="E3" s="458"/>
      <c r="F3" s="458"/>
      <c r="G3" s="457"/>
      <c r="H3" s="457"/>
      <c r="I3" s="457"/>
      <c r="J3" s="456"/>
    </row>
    <row r="4" spans="2:10" s="423" customFormat="1" ht="15.6">
      <c r="B4" s="455" t="s">
        <v>838</v>
      </c>
      <c r="C4" s="454">
        <v>5</v>
      </c>
      <c r="D4" s="454">
        <v>50</v>
      </c>
      <c r="E4" s="454">
        <v>100</v>
      </c>
      <c r="F4" s="454">
        <v>500</v>
      </c>
      <c r="G4" s="454">
        <v>1000</v>
      </c>
      <c r="H4" s="454">
        <v>2000</v>
      </c>
      <c r="I4" s="454">
        <v>5000</v>
      </c>
      <c r="J4" s="453">
        <v>10000</v>
      </c>
    </row>
    <row r="5" spans="2:10">
      <c r="B5" s="451">
        <v>-430</v>
      </c>
      <c r="C5" s="450">
        <v>4.6623000000000001</v>
      </c>
      <c r="D5" s="450">
        <v>4.6810999999999998</v>
      </c>
      <c r="E5" s="450">
        <v>4.7015000000000002</v>
      </c>
      <c r="F5" s="450"/>
      <c r="G5" s="450"/>
      <c r="H5" s="450"/>
      <c r="I5" s="450"/>
      <c r="J5" s="449"/>
    </row>
    <row r="6" spans="2:10">
      <c r="B6" s="448">
        <v>-400</v>
      </c>
      <c r="C6" s="447">
        <v>1.5879999999999998E-2</v>
      </c>
      <c r="D6" s="447">
        <v>0.17344999999999999</v>
      </c>
      <c r="E6" s="447">
        <v>0.39409</v>
      </c>
      <c r="F6" s="447">
        <v>3.6591999999999998</v>
      </c>
      <c r="G6" s="447">
        <v>4.1082999999999998</v>
      </c>
      <c r="H6" s="447">
        <v>4.5781999999999998</v>
      </c>
      <c r="I6" s="447"/>
      <c r="J6" s="446"/>
    </row>
    <row r="7" spans="2:10">
      <c r="B7" s="451">
        <v>-350</v>
      </c>
      <c r="C7" s="450">
        <v>8.5775000000000001E-3</v>
      </c>
      <c r="D7" s="450">
        <v>8.6943999999999994E-2</v>
      </c>
      <c r="E7" s="450">
        <v>0.17648</v>
      </c>
      <c r="F7" s="450">
        <v>0.97443000000000002</v>
      </c>
      <c r="G7" s="450">
        <v>1.9751000000000001</v>
      </c>
      <c r="H7" s="450">
        <v>3.1518000000000002</v>
      </c>
      <c r="I7" s="450">
        <v>4.4504999999999999</v>
      </c>
      <c r="J7" s="449"/>
    </row>
    <row r="8" spans="2:10">
      <c r="B8" s="448">
        <v>-300</v>
      </c>
      <c r="C8" s="447">
        <v>5.8840999999999997E-3</v>
      </c>
      <c r="D8" s="447">
        <v>5.8973999999999999E-2</v>
      </c>
      <c r="E8" s="447">
        <v>0.11822000000000001</v>
      </c>
      <c r="F8" s="447">
        <v>0.59675999999999996</v>
      </c>
      <c r="G8" s="447">
        <v>1.1775</v>
      </c>
      <c r="H8" s="447">
        <v>2.137</v>
      </c>
      <c r="I8" s="447">
        <v>3.6604000000000001</v>
      </c>
      <c r="J8" s="446"/>
    </row>
    <row r="9" spans="2:10">
      <c r="B9" s="451">
        <v>-250</v>
      </c>
      <c r="C9" s="450">
        <v>4.4793999999999997E-3</v>
      </c>
      <c r="D9" s="450">
        <v>4.4755999999999997E-2</v>
      </c>
      <c r="E9" s="450">
        <v>8.9419999999999999E-2</v>
      </c>
      <c r="F9" s="450">
        <v>0.44188</v>
      </c>
      <c r="G9" s="450">
        <v>0.86302000000000001</v>
      </c>
      <c r="H9" s="450">
        <v>1.6049</v>
      </c>
      <c r="I9" s="450">
        <v>3.0510999999999999</v>
      </c>
      <c r="J9" s="449">
        <v>4.2786</v>
      </c>
    </row>
    <row r="10" spans="2:10">
      <c r="B10" s="448">
        <v>-200</v>
      </c>
      <c r="C10" s="447">
        <v>3.6164000000000001E-3</v>
      </c>
      <c r="D10" s="447">
        <v>3.6096999999999997E-2</v>
      </c>
      <c r="E10" s="447">
        <v>7.2042999999999996E-2</v>
      </c>
      <c r="F10" s="447">
        <v>0.35371000000000002</v>
      </c>
      <c r="G10" s="447">
        <v>0.68899999999999995</v>
      </c>
      <c r="H10" s="447">
        <v>1.2936000000000001</v>
      </c>
      <c r="I10" s="447">
        <v>2.6015999999999999</v>
      </c>
      <c r="J10" s="446">
        <v>3.839</v>
      </c>
    </row>
    <row r="11" spans="2:10">
      <c r="B11" s="451">
        <v>-150</v>
      </c>
      <c r="C11" s="450">
        <v>3.0324000000000002E-3</v>
      </c>
      <c r="D11" s="450">
        <v>3.0258E-2</v>
      </c>
      <c r="E11" s="450">
        <v>6.037E-2</v>
      </c>
      <c r="F11" s="450">
        <v>0.29588999999999999</v>
      </c>
      <c r="G11" s="450">
        <v>0.57638</v>
      </c>
      <c r="H11" s="450">
        <v>1.0888</v>
      </c>
      <c r="I11" s="450">
        <v>2.2658999999999998</v>
      </c>
      <c r="J11" s="449">
        <v>3.4750999999999999</v>
      </c>
    </row>
    <row r="12" spans="2:10">
      <c r="B12" s="448">
        <v>-100</v>
      </c>
      <c r="C12" s="447">
        <v>2.6107999999999999E-3</v>
      </c>
      <c r="D12" s="447">
        <v>2.605E-2</v>
      </c>
      <c r="E12" s="447">
        <v>5.1971999999999997E-2</v>
      </c>
      <c r="F12" s="447">
        <v>0.25474000000000002</v>
      </c>
      <c r="G12" s="447">
        <v>0.49674000000000001</v>
      </c>
      <c r="H12" s="447">
        <v>0.94289999999999996</v>
      </c>
      <c r="I12" s="447">
        <v>2.0081000000000002</v>
      </c>
      <c r="J12" s="446">
        <v>3.1724000000000001</v>
      </c>
    </row>
    <row r="13" spans="2:10">
      <c r="B13" s="451">
        <v>-50</v>
      </c>
      <c r="C13" s="450">
        <v>2.2921999999999999E-3</v>
      </c>
      <c r="D13" s="450">
        <v>2.2872E-2</v>
      </c>
      <c r="E13" s="450">
        <v>4.5635000000000002E-2</v>
      </c>
      <c r="F13" s="450">
        <v>0.22384999999999999</v>
      </c>
      <c r="G13" s="450">
        <v>0.43708999999999998</v>
      </c>
      <c r="H13" s="450">
        <v>0.83308000000000004</v>
      </c>
      <c r="I13" s="450">
        <v>1.8045</v>
      </c>
      <c r="J13" s="449">
        <v>2.9180000000000001</v>
      </c>
    </row>
    <row r="14" spans="2:10">
      <c r="B14" s="448">
        <v>-10</v>
      </c>
      <c r="C14" s="447">
        <v>2.0883E-3</v>
      </c>
      <c r="D14" s="447">
        <v>2.0840000000000001E-2</v>
      </c>
      <c r="E14" s="447">
        <v>4.1583000000000002E-2</v>
      </c>
      <c r="F14" s="447">
        <v>0.20413000000000001</v>
      </c>
      <c r="G14" s="447">
        <v>0.39906000000000003</v>
      </c>
      <c r="H14" s="447">
        <v>0.76278000000000001</v>
      </c>
      <c r="I14" s="447">
        <v>1.6700999999999999</v>
      </c>
      <c r="J14" s="446">
        <v>2.7423999999999999</v>
      </c>
    </row>
    <row r="15" spans="2:10">
      <c r="B15" s="452">
        <v>0</v>
      </c>
      <c r="C15" s="450">
        <v>2.0428999999999998E-3</v>
      </c>
      <c r="D15" s="450">
        <v>2.0386999999999999E-2</v>
      </c>
      <c r="E15" s="450">
        <v>4.0681000000000002E-2</v>
      </c>
      <c r="F15" s="450">
        <v>0.19974</v>
      </c>
      <c r="G15" s="450">
        <v>0.39058999999999999</v>
      </c>
      <c r="H15" s="450">
        <v>0.74709999999999999</v>
      </c>
      <c r="I15" s="450">
        <v>1.6396999999999999</v>
      </c>
      <c r="J15" s="449">
        <v>2.7018</v>
      </c>
    </row>
    <row r="16" spans="2:10">
      <c r="B16" s="448">
        <v>10</v>
      </c>
      <c r="C16" s="447">
        <v>1.9994000000000001E-3</v>
      </c>
      <c r="D16" s="447">
        <v>1.9952999999999999E-2</v>
      </c>
      <c r="E16" s="447">
        <v>3.9815999999999997E-2</v>
      </c>
      <c r="F16" s="447">
        <v>0.19553999999999999</v>
      </c>
      <c r="G16" s="447">
        <v>0.38247999999999999</v>
      </c>
      <c r="H16" s="447">
        <v>0.73207999999999995</v>
      </c>
      <c r="I16" s="447">
        <v>1.6104000000000001</v>
      </c>
      <c r="J16" s="446">
        <v>2.6623999999999999</v>
      </c>
    </row>
    <row r="17" spans="1:10">
      <c r="B17" s="451">
        <v>50</v>
      </c>
      <c r="C17" s="450">
        <v>1.8425E-3</v>
      </c>
      <c r="D17" s="450">
        <v>1.8388999999999999E-2</v>
      </c>
      <c r="E17" s="450">
        <v>3.6699000000000002E-2</v>
      </c>
      <c r="F17" s="450">
        <v>0.18038000000000001</v>
      </c>
      <c r="G17" s="450">
        <v>0.35324</v>
      </c>
      <c r="H17" s="450">
        <v>0.67776999999999998</v>
      </c>
      <c r="I17" s="450">
        <v>1.5035000000000001</v>
      </c>
      <c r="J17" s="449">
        <v>2.516</v>
      </c>
    </row>
    <row r="18" spans="1:10">
      <c r="B18" s="448">
        <v>100</v>
      </c>
      <c r="C18" s="447">
        <v>1.6779E-3</v>
      </c>
      <c r="D18" s="447">
        <v>1.6747999999999999E-2</v>
      </c>
      <c r="E18" s="447">
        <v>3.3429E-2</v>
      </c>
      <c r="F18" s="447">
        <v>0.16447999999999999</v>
      </c>
      <c r="G18" s="447">
        <v>0.32251999999999997</v>
      </c>
      <c r="H18" s="447">
        <v>0.62056999999999995</v>
      </c>
      <c r="I18" s="447">
        <v>1.3889</v>
      </c>
      <c r="J18" s="446">
        <v>2.3546999999999998</v>
      </c>
    </row>
    <row r="19" spans="1:10">
      <c r="B19" s="451">
        <v>150</v>
      </c>
      <c r="C19" s="450">
        <v>1.5403000000000001E-3</v>
      </c>
      <c r="D19" s="450">
        <v>1.5377E-2</v>
      </c>
      <c r="E19" s="450">
        <v>3.0695E-2</v>
      </c>
      <c r="F19" s="450">
        <v>0.15118000000000001</v>
      </c>
      <c r="G19" s="450">
        <v>0.29680000000000001</v>
      </c>
      <c r="H19" s="450">
        <v>0.57249000000000005</v>
      </c>
      <c r="I19" s="450">
        <v>1.2910999999999999</v>
      </c>
      <c r="J19" s="449">
        <v>2.2132999999999998</v>
      </c>
    </row>
    <row r="20" spans="1:10">
      <c r="B20" s="448">
        <v>200</v>
      </c>
      <c r="C20" s="447">
        <v>1.4235999999999999E-3</v>
      </c>
      <c r="D20" s="447">
        <v>1.4213E-2</v>
      </c>
      <c r="E20" s="447">
        <v>2.8375000000000001E-2</v>
      </c>
      <c r="F20" s="447">
        <v>0.13988</v>
      </c>
      <c r="G20" s="447">
        <v>0.27492</v>
      </c>
      <c r="H20" s="447">
        <v>0.53149000000000002</v>
      </c>
      <c r="I20" s="447">
        <v>1.2065999999999999</v>
      </c>
      <c r="J20" s="446">
        <v>2.0884</v>
      </c>
    </row>
    <row r="21" spans="1:10" ht="13.8" thickBot="1">
      <c r="B21" s="445">
        <v>250</v>
      </c>
      <c r="C21" s="444">
        <v>1.3232999999999999E-3</v>
      </c>
      <c r="D21" s="444">
        <v>1.3213000000000001E-2</v>
      </c>
      <c r="E21" s="444">
        <v>2.6381000000000002E-2</v>
      </c>
      <c r="F21" s="444">
        <v>0.13016</v>
      </c>
      <c r="G21" s="444">
        <v>0.25607999999999997</v>
      </c>
      <c r="H21" s="444">
        <v>0.49606</v>
      </c>
      <c r="I21" s="444">
        <v>1.1327</v>
      </c>
      <c r="J21" s="443">
        <v>1.9772000000000001</v>
      </c>
    </row>
    <row r="22" spans="1:10">
      <c r="A22" s="656" t="s">
        <v>837</v>
      </c>
      <c r="B22" s="656"/>
      <c r="C22" s="656"/>
      <c r="D22" s="656"/>
      <c r="E22" s="656"/>
      <c r="F22" s="656"/>
      <c r="G22" s="656"/>
      <c r="H22" s="656"/>
      <c r="I22" s="656"/>
      <c r="J22" s="656"/>
    </row>
    <row r="23" spans="1:10">
      <c r="A23" s="656"/>
      <c r="B23" s="656"/>
      <c r="C23" s="656"/>
      <c r="D23" s="656"/>
      <c r="E23" s="656"/>
      <c r="F23" s="656"/>
      <c r="G23" s="656"/>
      <c r="H23" s="656"/>
      <c r="I23" s="656"/>
      <c r="J23" s="656"/>
    </row>
    <row r="24" spans="1:10">
      <c r="A24" s="654" t="s">
        <v>836</v>
      </c>
      <c r="B24" s="654"/>
      <c r="C24" s="654"/>
      <c r="D24" s="654"/>
      <c r="E24" s="654"/>
      <c r="F24" s="654"/>
      <c r="G24" s="654"/>
      <c r="H24" s="654"/>
      <c r="I24" s="654"/>
      <c r="J24" s="654"/>
    </row>
    <row r="25" spans="1:10">
      <c r="B25" s="442"/>
    </row>
    <row r="26" spans="1:10">
      <c r="B26" s="442"/>
    </row>
    <row r="27" spans="1:10">
      <c r="B27" s="442"/>
    </row>
    <row r="28" spans="1:10">
      <c r="B28" s="442"/>
    </row>
    <row r="29" spans="1:10">
      <c r="B29" s="442"/>
    </row>
    <row r="30" spans="1:10">
      <c r="B30" s="442"/>
    </row>
    <row r="31" spans="1:10">
      <c r="B31" s="442"/>
    </row>
    <row r="32" spans="1:10">
      <c r="B32" s="442"/>
    </row>
    <row r="33" spans="2:2">
      <c r="B33" s="442"/>
    </row>
    <row r="34" spans="2:2">
      <c r="B34" s="442"/>
    </row>
    <row r="35" spans="2:2">
      <c r="B35" s="442"/>
    </row>
    <row r="36" spans="2:2">
      <c r="B36" s="442"/>
    </row>
    <row r="37" spans="2:2">
      <c r="B37" s="442"/>
    </row>
    <row r="38" spans="2:2">
      <c r="B38" s="442"/>
    </row>
    <row r="39" spans="2:2">
      <c r="B39" s="442"/>
    </row>
    <row r="40" spans="2:2">
      <c r="B40" s="442"/>
    </row>
    <row r="41" spans="2:2">
      <c r="B41" s="442"/>
    </row>
    <row r="42" spans="2:2">
      <c r="B42" s="442"/>
    </row>
    <row r="43" spans="2:2">
      <c r="B43" s="442"/>
    </row>
    <row r="44" spans="2:2">
      <c r="B44" s="442"/>
    </row>
    <row r="45" spans="2:2">
      <c r="B45" s="442"/>
    </row>
    <row r="46" spans="2:2">
      <c r="B46" s="442"/>
    </row>
    <row r="47" spans="2:2">
      <c r="B47" s="442"/>
    </row>
    <row r="48" spans="2:2">
      <c r="B48" s="442"/>
    </row>
    <row r="49" spans="2:2">
      <c r="B49" s="442"/>
    </row>
    <row r="50" spans="2:2">
      <c r="B50" s="442"/>
    </row>
    <row r="51" spans="2:2">
      <c r="B51" s="442"/>
    </row>
    <row r="52" spans="2:2">
      <c r="B52" s="442"/>
    </row>
  </sheetData>
  <mergeCells count="4">
    <mergeCell ref="A24:J24"/>
    <mergeCell ref="E1:J1"/>
    <mergeCell ref="A22:J23"/>
    <mergeCell ref="B1:D1"/>
  </mergeCells>
  <hyperlinks>
    <hyperlink ref="A24" r:id="rId1" display="Sources: NIST Chemistry WebBook. http://webbook.nist.gov/cgi/fluid.cgi?ID=C1333740&amp;Action=Page"/>
  </hyperlinks>
  <pageMargins left="0.75" right="0.75" top="1" bottom="1" header="0.5" footer="0.5"/>
  <pageSetup scale="69" fitToHeight="2" orientation="landscape" r:id="rId2"/>
  <headerFooter alignWithMargins="0"/>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
  <sheetViews>
    <sheetView workbookViewId="0">
      <selection activeCell="L17" sqref="L17"/>
    </sheetView>
  </sheetViews>
  <sheetFormatPr defaultRowHeight="14.4"/>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Z31"/>
  <sheetViews>
    <sheetView topLeftCell="D1" workbookViewId="0">
      <selection activeCell="K35" sqref="K35"/>
    </sheetView>
  </sheetViews>
  <sheetFormatPr defaultRowHeight="14.4"/>
  <cols>
    <col min="1" max="3" width="8.88671875" style="157"/>
    <col min="4" max="4" width="10" style="157" customWidth="1"/>
    <col min="5" max="7" width="8.88671875" style="157"/>
    <col min="8" max="8" width="10.109375" style="157" customWidth="1"/>
    <col min="9" max="16" width="8.88671875" style="157"/>
    <col min="17" max="17" width="9.33203125" style="157" customWidth="1"/>
    <col min="18" max="16384" width="8.88671875" style="157"/>
  </cols>
  <sheetData>
    <row r="1" spans="1:26" ht="15" thickBot="1">
      <c r="A1" s="663" t="s">
        <v>868</v>
      </c>
      <c r="B1" s="664"/>
      <c r="C1" s="664"/>
      <c r="D1" s="664"/>
      <c r="E1" s="664"/>
      <c r="F1" s="664"/>
      <c r="G1" s="664"/>
      <c r="H1" s="665"/>
      <c r="J1" s="666" t="s">
        <v>869</v>
      </c>
      <c r="K1" s="667"/>
      <c r="L1" s="667"/>
      <c r="M1" s="667"/>
      <c r="N1" s="667"/>
      <c r="O1" s="667"/>
      <c r="P1" s="667"/>
      <c r="Q1" s="668"/>
      <c r="S1" s="674" t="s">
        <v>871</v>
      </c>
      <c r="T1" s="675"/>
      <c r="U1" s="675"/>
      <c r="V1" s="675"/>
      <c r="W1" s="675"/>
      <c r="X1" s="675"/>
      <c r="Y1" s="675"/>
      <c r="Z1" s="676"/>
    </row>
    <row r="2" spans="1:26" ht="15" thickBot="1"/>
    <row r="3" spans="1:26" ht="15" thickBot="1">
      <c r="A3" s="658" t="s">
        <v>861</v>
      </c>
      <c r="B3" s="659"/>
      <c r="C3" s="659"/>
      <c r="D3" s="659"/>
      <c r="E3" s="659" t="s">
        <v>860</v>
      </c>
      <c r="F3" s="659"/>
      <c r="G3" s="659"/>
      <c r="H3" s="660"/>
      <c r="J3" s="658" t="s">
        <v>861</v>
      </c>
      <c r="K3" s="659"/>
      <c r="L3" s="659"/>
      <c r="M3" s="659"/>
      <c r="N3" s="659" t="s">
        <v>860</v>
      </c>
      <c r="O3" s="659"/>
      <c r="P3" s="659"/>
      <c r="Q3" s="660"/>
      <c r="S3" s="658" t="s">
        <v>861</v>
      </c>
      <c r="T3" s="659"/>
      <c r="U3" s="659"/>
      <c r="V3" s="659"/>
      <c r="W3" s="659" t="s">
        <v>860</v>
      </c>
      <c r="X3" s="659"/>
      <c r="Y3" s="659"/>
      <c r="Z3" s="660"/>
    </row>
    <row r="4" spans="1:26" ht="15" thickBot="1">
      <c r="A4" s="487" t="s">
        <v>859</v>
      </c>
      <c r="B4" s="488" t="s">
        <v>762</v>
      </c>
      <c r="C4" s="228" t="s">
        <v>749</v>
      </c>
      <c r="D4" s="380" t="s">
        <v>867</v>
      </c>
      <c r="E4" s="487" t="s">
        <v>859</v>
      </c>
      <c r="F4" s="488" t="s">
        <v>762</v>
      </c>
      <c r="G4" s="228" t="s">
        <v>749</v>
      </c>
      <c r="H4" s="489" t="s">
        <v>867</v>
      </c>
      <c r="J4" s="487" t="s">
        <v>859</v>
      </c>
      <c r="K4" s="488" t="s">
        <v>762</v>
      </c>
      <c r="L4" s="228" t="s">
        <v>749</v>
      </c>
      <c r="M4" s="380" t="s">
        <v>867</v>
      </c>
      <c r="N4" s="487" t="s">
        <v>859</v>
      </c>
      <c r="O4" s="488" t="s">
        <v>762</v>
      </c>
      <c r="P4" s="228" t="s">
        <v>749</v>
      </c>
      <c r="Q4" s="489" t="s">
        <v>867</v>
      </c>
      <c r="S4" s="487" t="s">
        <v>859</v>
      </c>
      <c r="T4" s="488" t="s">
        <v>762</v>
      </c>
      <c r="U4" s="228" t="s">
        <v>749</v>
      </c>
      <c r="V4" s="380" t="s">
        <v>867</v>
      </c>
      <c r="W4" s="487" t="s">
        <v>859</v>
      </c>
      <c r="X4" s="488" t="s">
        <v>762</v>
      </c>
      <c r="Y4" s="228" t="s">
        <v>749</v>
      </c>
      <c r="Z4" s="489" t="s">
        <v>867</v>
      </c>
    </row>
    <row r="5" spans="1:26" ht="15" thickBot="1">
      <c r="A5" s="485">
        <v>7900</v>
      </c>
      <c r="B5" s="486">
        <v>3277</v>
      </c>
      <c r="C5" s="494">
        <f>A5/1000*B5/1000</f>
        <v>25.888300000000005</v>
      </c>
      <c r="D5" s="482">
        <f>C8/C5*100</f>
        <v>24.335317498638378</v>
      </c>
      <c r="E5" s="485">
        <v>7900</v>
      </c>
      <c r="F5" s="486">
        <v>3277</v>
      </c>
      <c r="G5" s="494">
        <f>E5/1000*F5/1000</f>
        <v>25.888300000000005</v>
      </c>
      <c r="H5" s="490">
        <f>G8/G5*100</f>
        <v>10.390794297037656</v>
      </c>
      <c r="J5" s="485">
        <v>8400</v>
      </c>
      <c r="K5" s="486">
        <v>3277</v>
      </c>
      <c r="L5" s="494">
        <f>J5/1000*K5/1000</f>
        <v>27.526800000000001</v>
      </c>
      <c r="M5" s="482">
        <f>L8/L5*100</f>
        <v>22.232878503858057</v>
      </c>
      <c r="N5" s="485">
        <v>8400</v>
      </c>
      <c r="O5" s="486">
        <v>3277</v>
      </c>
      <c r="P5" s="494">
        <f>N5/1000*O5/1000</f>
        <v>27.526800000000001</v>
      </c>
      <c r="Q5" s="490">
        <f>P8/P5*100</f>
        <v>10.898469854832381</v>
      </c>
      <c r="S5" s="485">
        <v>36000</v>
      </c>
      <c r="T5" s="486">
        <v>3277</v>
      </c>
      <c r="U5" s="494">
        <f>S5/1000*T5/1000</f>
        <v>117.97199999999999</v>
      </c>
      <c r="V5" s="482">
        <f>U8/U5*100</f>
        <v>19.089275421286409</v>
      </c>
      <c r="W5" s="485">
        <v>36000</v>
      </c>
      <c r="X5" s="486">
        <v>3277</v>
      </c>
      <c r="Y5" s="494">
        <f>W5/1000*X5/1000</f>
        <v>117.97199999999999</v>
      </c>
      <c r="Z5" s="490">
        <f>Y8/Y5*100</f>
        <v>14.681449835554201</v>
      </c>
    </row>
    <row r="6" spans="1:26" ht="15" thickBot="1">
      <c r="A6" s="556" t="s">
        <v>862</v>
      </c>
      <c r="B6" s="557"/>
      <c r="C6" s="557"/>
      <c r="D6" s="18" t="s">
        <v>866</v>
      </c>
      <c r="E6" s="658" t="s">
        <v>862</v>
      </c>
      <c r="F6" s="659"/>
      <c r="G6" s="669"/>
      <c r="H6" s="18" t="s">
        <v>866</v>
      </c>
      <c r="J6" s="556" t="s">
        <v>862</v>
      </c>
      <c r="K6" s="557"/>
      <c r="L6" s="557"/>
      <c r="M6" s="18" t="s">
        <v>866</v>
      </c>
      <c r="N6" s="658" t="s">
        <v>862</v>
      </c>
      <c r="O6" s="659"/>
      <c r="P6" s="669"/>
      <c r="Q6" s="18" t="s">
        <v>866</v>
      </c>
      <c r="S6" s="556" t="s">
        <v>862</v>
      </c>
      <c r="T6" s="557"/>
      <c r="U6" s="557"/>
      <c r="V6" s="18" t="s">
        <v>866</v>
      </c>
      <c r="W6" s="658" t="s">
        <v>862</v>
      </c>
      <c r="X6" s="659"/>
      <c r="Y6" s="669"/>
      <c r="Z6" s="18" t="s">
        <v>866</v>
      </c>
    </row>
    <row r="7" spans="1:26" ht="15" thickBot="1">
      <c r="A7" s="670" t="s">
        <v>864</v>
      </c>
      <c r="B7" s="672" t="s">
        <v>863</v>
      </c>
      <c r="C7" s="495" t="s">
        <v>865</v>
      </c>
      <c r="D7" s="491">
        <f>G8/(C8+G8)*100</f>
        <v>29.922135706340374</v>
      </c>
      <c r="E7" s="670" t="s">
        <v>864</v>
      </c>
      <c r="F7" s="672" t="s">
        <v>863</v>
      </c>
      <c r="G7" s="495" t="s">
        <v>865</v>
      </c>
      <c r="H7" s="504">
        <f>C8/(G8+C8)*100</f>
        <v>70.07786429365963</v>
      </c>
      <c r="J7" s="670" t="s">
        <v>864</v>
      </c>
      <c r="K7" s="672" t="s">
        <v>863</v>
      </c>
      <c r="L7" s="495" t="s">
        <v>865</v>
      </c>
      <c r="M7" s="491">
        <f>P8/(L8+P8)*100</f>
        <v>32.89473684210526</v>
      </c>
      <c r="N7" s="670" t="s">
        <v>864</v>
      </c>
      <c r="O7" s="672" t="s">
        <v>863</v>
      </c>
      <c r="P7" s="495" t="s">
        <v>865</v>
      </c>
      <c r="Q7" s="504">
        <f>L8/(P8+L8)*100</f>
        <v>67.10526315789474</v>
      </c>
      <c r="S7" s="670" t="s">
        <v>864</v>
      </c>
      <c r="T7" s="672" t="s">
        <v>863</v>
      </c>
      <c r="U7" s="495" t="s">
        <v>865</v>
      </c>
      <c r="V7" s="491">
        <f>Y8/(U8+Y8)*100</f>
        <v>43.473895582329313</v>
      </c>
      <c r="W7" s="670" t="s">
        <v>864</v>
      </c>
      <c r="X7" s="672" t="s">
        <v>863</v>
      </c>
      <c r="Y7" s="495" t="s">
        <v>865</v>
      </c>
      <c r="Z7" s="504">
        <f>U8/(Y8+U8)*100</f>
        <v>56.526104417670673</v>
      </c>
    </row>
    <row r="8" spans="1:26" ht="15" thickBot="1">
      <c r="A8" s="671"/>
      <c r="B8" s="673"/>
      <c r="C8" s="18">
        <f>SUM(C9:C15)</f>
        <v>6.3000000000000007</v>
      </c>
      <c r="D8" s="117"/>
      <c r="E8" s="671"/>
      <c r="F8" s="673"/>
      <c r="G8" s="18">
        <f>SUM(G9:G15)</f>
        <v>2.69</v>
      </c>
      <c r="H8" s="117"/>
      <c r="J8" s="671"/>
      <c r="K8" s="673"/>
      <c r="L8" s="18">
        <f>SUM(L9:L15)</f>
        <v>6.12</v>
      </c>
      <c r="M8" s="117"/>
      <c r="N8" s="671"/>
      <c r="O8" s="673"/>
      <c r="P8" s="18">
        <f>SUM(P9:P15)</f>
        <v>3</v>
      </c>
      <c r="Q8" s="117"/>
      <c r="S8" s="671"/>
      <c r="T8" s="673"/>
      <c r="U8" s="18">
        <f>SUM(U9:U15)</f>
        <v>22.52</v>
      </c>
      <c r="V8" s="117"/>
      <c r="W8" s="671"/>
      <c r="X8" s="673"/>
      <c r="Y8" s="18">
        <f>SUM(Y9:Y15)</f>
        <v>17.32</v>
      </c>
      <c r="Z8" s="117"/>
    </row>
    <row r="9" spans="1:26">
      <c r="A9" s="483">
        <v>1</v>
      </c>
      <c r="B9" s="2">
        <v>3.59</v>
      </c>
      <c r="C9" s="198">
        <f t="shared" ref="C9:C15" si="0">A9*B9</f>
        <v>3.59</v>
      </c>
      <c r="D9" s="492"/>
      <c r="E9" s="483">
        <v>1</v>
      </c>
      <c r="F9" s="2">
        <v>1.51</v>
      </c>
      <c r="G9" s="198">
        <f t="shared" ref="G9:G15" si="1">E9*F9</f>
        <v>1.51</v>
      </c>
      <c r="H9" s="492"/>
      <c r="J9" s="483">
        <v>1</v>
      </c>
      <c r="K9" s="2">
        <v>2.14</v>
      </c>
      <c r="L9" s="198">
        <f t="shared" ref="L9:L15" si="2">J9*K9</f>
        <v>2.14</v>
      </c>
      <c r="M9" s="492"/>
      <c r="N9" s="483">
        <v>1</v>
      </c>
      <c r="O9" s="2">
        <v>1.51</v>
      </c>
      <c r="P9" s="198">
        <f t="shared" ref="P9:P15" si="3">N9*O9</f>
        <v>1.51</v>
      </c>
      <c r="Q9" s="492"/>
      <c r="S9" s="483">
        <v>3</v>
      </c>
      <c r="T9" s="2">
        <v>2.14</v>
      </c>
      <c r="U9" s="198">
        <f t="shared" ref="U9:U15" si="4">S9*T9</f>
        <v>6.42</v>
      </c>
      <c r="V9" s="492"/>
      <c r="W9" s="483">
        <v>1</v>
      </c>
      <c r="X9" s="2">
        <v>5.8</v>
      </c>
      <c r="Y9" s="198">
        <f t="shared" ref="Y9:Y15" si="5">W9*X9</f>
        <v>5.8</v>
      </c>
      <c r="Z9" s="492"/>
    </row>
    <row r="10" spans="1:26">
      <c r="A10" s="484">
        <v>1</v>
      </c>
      <c r="B10" s="2">
        <v>1.73</v>
      </c>
      <c r="C10" s="4">
        <f t="shared" si="0"/>
        <v>1.73</v>
      </c>
      <c r="D10" s="117"/>
      <c r="E10" s="484">
        <v>1</v>
      </c>
      <c r="F10" s="2">
        <v>0.49</v>
      </c>
      <c r="G10" s="4">
        <f t="shared" si="1"/>
        <v>0.49</v>
      </c>
      <c r="H10" s="117"/>
      <c r="J10" s="484">
        <v>1</v>
      </c>
      <c r="K10" s="2">
        <v>0.48</v>
      </c>
      <c r="L10" s="4">
        <f t="shared" si="2"/>
        <v>0.48</v>
      </c>
      <c r="M10" s="117"/>
      <c r="N10" s="484">
        <v>1</v>
      </c>
      <c r="O10" s="2">
        <v>0.49</v>
      </c>
      <c r="P10" s="4">
        <f t="shared" si="3"/>
        <v>0.49</v>
      </c>
      <c r="Q10" s="117"/>
      <c r="S10" s="484">
        <v>4</v>
      </c>
      <c r="T10" s="2">
        <v>0.48</v>
      </c>
      <c r="U10" s="4">
        <f t="shared" si="4"/>
        <v>1.92</v>
      </c>
      <c r="V10" s="117"/>
      <c r="W10" s="484">
        <v>1</v>
      </c>
      <c r="X10" s="2">
        <v>6.6</v>
      </c>
      <c r="Y10" s="4">
        <f t="shared" si="5"/>
        <v>6.6</v>
      </c>
      <c r="Z10" s="117"/>
    </row>
    <row r="11" spans="1:26">
      <c r="A11" s="483">
        <v>1</v>
      </c>
      <c r="B11" s="2">
        <v>0.48</v>
      </c>
      <c r="C11" s="4">
        <f t="shared" si="0"/>
        <v>0.48</v>
      </c>
      <c r="D11" s="117"/>
      <c r="E11" s="484">
        <v>1</v>
      </c>
      <c r="F11" s="503">
        <v>0.69</v>
      </c>
      <c r="G11" s="4">
        <f t="shared" si="1"/>
        <v>0.69</v>
      </c>
      <c r="H11" s="117"/>
      <c r="J11" s="501">
        <v>1</v>
      </c>
      <c r="K11" s="502">
        <v>3.5</v>
      </c>
      <c r="L11" s="4">
        <f t="shared" si="2"/>
        <v>3.5</v>
      </c>
      <c r="M11" s="117"/>
      <c r="N11" s="501">
        <v>1</v>
      </c>
      <c r="O11" s="502">
        <v>1</v>
      </c>
      <c r="P11" s="4">
        <f t="shared" si="3"/>
        <v>1</v>
      </c>
      <c r="Q11" s="117"/>
      <c r="S11" s="483">
        <v>2</v>
      </c>
      <c r="T11" s="2">
        <v>3.59</v>
      </c>
      <c r="U11" s="4">
        <f t="shared" si="4"/>
        <v>7.18</v>
      </c>
      <c r="V11" s="117"/>
      <c r="W11" s="484">
        <v>8</v>
      </c>
      <c r="X11" s="2">
        <v>0.49</v>
      </c>
      <c r="Y11" s="4">
        <f t="shared" si="5"/>
        <v>3.92</v>
      </c>
      <c r="Z11" s="117"/>
    </row>
    <row r="12" spans="1:26" ht="15" thickBot="1">
      <c r="A12" s="501">
        <v>1</v>
      </c>
      <c r="B12" s="502">
        <v>0.5</v>
      </c>
      <c r="C12" s="4">
        <f t="shared" si="0"/>
        <v>0.5</v>
      </c>
      <c r="D12" s="117"/>
      <c r="E12" s="483"/>
      <c r="F12" s="2"/>
      <c r="G12" s="4">
        <f t="shared" si="1"/>
        <v>0</v>
      </c>
      <c r="H12" s="117"/>
      <c r="J12" s="484"/>
      <c r="K12" s="503"/>
      <c r="L12" s="4">
        <f t="shared" si="2"/>
        <v>0</v>
      </c>
      <c r="M12" s="117"/>
      <c r="N12" s="483"/>
      <c r="O12" s="2"/>
      <c r="P12" s="4">
        <f t="shared" si="3"/>
        <v>0</v>
      </c>
      <c r="Q12" s="117"/>
      <c r="S12" s="501">
        <v>1</v>
      </c>
      <c r="T12" s="502">
        <v>7</v>
      </c>
      <c r="U12" s="4">
        <f t="shared" si="4"/>
        <v>7</v>
      </c>
      <c r="V12" s="117"/>
      <c r="W12" s="501">
        <v>1</v>
      </c>
      <c r="X12" s="502">
        <v>1</v>
      </c>
      <c r="Y12" s="4">
        <f t="shared" si="5"/>
        <v>1</v>
      </c>
      <c r="Z12" s="117"/>
    </row>
    <row r="13" spans="1:26" ht="15" thickBot="1">
      <c r="A13" s="483"/>
      <c r="B13" s="2"/>
      <c r="C13" s="4">
        <f t="shared" si="0"/>
        <v>0</v>
      </c>
      <c r="D13" s="117"/>
      <c r="E13" s="483"/>
      <c r="F13" s="2"/>
      <c r="G13" s="4">
        <f t="shared" si="1"/>
        <v>0</v>
      </c>
      <c r="H13" s="380" t="s">
        <v>873</v>
      </c>
      <c r="J13" s="483"/>
      <c r="K13" s="2"/>
      <c r="L13" s="4">
        <f t="shared" si="2"/>
        <v>0</v>
      </c>
      <c r="M13" s="117"/>
      <c r="N13" s="483"/>
      <c r="O13" s="2"/>
      <c r="P13" s="4">
        <f t="shared" si="3"/>
        <v>0</v>
      </c>
      <c r="Q13" s="380" t="s">
        <v>873</v>
      </c>
      <c r="S13" s="483"/>
      <c r="T13" s="2"/>
      <c r="U13" s="4">
        <f t="shared" si="4"/>
        <v>0</v>
      </c>
      <c r="V13" s="117"/>
      <c r="W13" s="483"/>
      <c r="X13" s="2"/>
      <c r="Y13" s="4">
        <f t="shared" si="5"/>
        <v>0</v>
      </c>
      <c r="Z13" s="380" t="s">
        <v>873</v>
      </c>
    </row>
    <row r="14" spans="1:26" ht="15" thickBot="1">
      <c r="A14" s="483"/>
      <c r="B14" s="2"/>
      <c r="C14" s="4">
        <f t="shared" si="0"/>
        <v>0</v>
      </c>
      <c r="D14" s="117"/>
      <c r="E14" s="483"/>
      <c r="F14" s="2"/>
      <c r="G14" s="4">
        <f t="shared" si="1"/>
        <v>0</v>
      </c>
      <c r="H14" s="482">
        <f>(C8+G8)/G16*100</f>
        <v>14.068527342863627</v>
      </c>
      <c r="J14" s="483"/>
      <c r="K14" s="2"/>
      <c r="L14" s="4">
        <f t="shared" si="2"/>
        <v>0</v>
      </c>
      <c r="M14" s="117"/>
      <c r="N14" s="483"/>
      <c r="O14" s="2"/>
      <c r="P14" s="4">
        <f t="shared" si="3"/>
        <v>0</v>
      </c>
      <c r="Q14" s="482">
        <f>(L8+P8)/P16*100</f>
        <v>13.57577201039023</v>
      </c>
      <c r="S14" s="483"/>
      <c r="T14" s="2"/>
      <c r="U14" s="4">
        <f t="shared" si="4"/>
        <v>0</v>
      </c>
      <c r="V14" s="117"/>
      <c r="W14" s="483"/>
      <c r="X14" s="2"/>
      <c r="Y14" s="4">
        <f t="shared" si="5"/>
        <v>0</v>
      </c>
      <c r="Z14" s="482">
        <f>(U8+Y8)/Y16*100</f>
        <v>16.06005428330597</v>
      </c>
    </row>
    <row r="15" spans="1:26" ht="15" thickBot="1">
      <c r="A15" s="483"/>
      <c r="B15" s="2"/>
      <c r="C15" s="4">
        <f t="shared" si="0"/>
        <v>0</v>
      </c>
      <c r="D15" s="117"/>
      <c r="E15" s="496"/>
      <c r="F15" s="497"/>
      <c r="G15" s="226">
        <f t="shared" si="1"/>
        <v>0</v>
      </c>
      <c r="H15" s="380" t="s">
        <v>867</v>
      </c>
      <c r="J15" s="496"/>
      <c r="K15" s="497"/>
      <c r="L15" s="226">
        <f t="shared" si="2"/>
        <v>0</v>
      </c>
      <c r="M15" s="117"/>
      <c r="N15" s="483"/>
      <c r="O15" s="2"/>
      <c r="P15" s="4">
        <f t="shared" si="3"/>
        <v>0</v>
      </c>
      <c r="Q15" s="380" t="s">
        <v>867</v>
      </c>
      <c r="S15" s="496"/>
      <c r="T15" s="497"/>
      <c r="U15" s="226">
        <f t="shared" si="4"/>
        <v>0</v>
      </c>
      <c r="V15" s="117"/>
      <c r="W15" s="483"/>
      <c r="X15" s="2"/>
      <c r="Y15" s="4">
        <f t="shared" si="5"/>
        <v>0</v>
      </c>
      <c r="Z15" s="380" t="s">
        <v>867</v>
      </c>
    </row>
    <row r="16" spans="1:26" ht="15" thickBot="1">
      <c r="A16" s="661" t="s">
        <v>870</v>
      </c>
      <c r="B16" s="662"/>
      <c r="C16" s="498" t="str">
        <f>IF(((30-H16)/100*C5)&gt;0,(30-H16)/100*C5,"OK")</f>
        <v>OK</v>
      </c>
      <c r="D16" s="493"/>
      <c r="E16" s="499" t="s">
        <v>872</v>
      </c>
      <c r="F16" s="500">
        <v>1850</v>
      </c>
      <c r="G16" s="498">
        <f>(E5/1000*2+F16/1000*2)*F5/1000</f>
        <v>63.901499999999999</v>
      </c>
      <c r="H16" s="482">
        <f>D5+H5</f>
        <v>34.726111795676033</v>
      </c>
      <c r="J16" s="661" t="s">
        <v>870</v>
      </c>
      <c r="K16" s="662"/>
      <c r="L16" s="498" t="str">
        <f>IF(((30-Q16)/100*L5)&gt;0,(30-Q16)/100*L5,"OK")</f>
        <v>OK</v>
      </c>
      <c r="M16" s="493"/>
      <c r="N16" s="499" t="s">
        <v>872</v>
      </c>
      <c r="O16" s="500">
        <v>1850</v>
      </c>
      <c r="P16" s="498">
        <f>(N5/1000*2+O16/1000*2)*O5/1000</f>
        <v>67.1785</v>
      </c>
      <c r="Q16" s="482">
        <f>M5+Q5</f>
        <v>33.131348358690438</v>
      </c>
      <c r="S16" s="661" t="s">
        <v>870</v>
      </c>
      <c r="T16" s="662"/>
      <c r="U16" s="498" t="str">
        <f>IF(((30-Z16)/100*U5)&gt;0,(30-Z16)/100*U5,"OK")</f>
        <v>OK</v>
      </c>
      <c r="V16" s="493"/>
      <c r="W16" s="499" t="s">
        <v>872</v>
      </c>
      <c r="X16" s="500">
        <v>1850</v>
      </c>
      <c r="Y16" s="498">
        <f>(W5/1000*2+X16/1000*2)*X5/1000</f>
        <v>248.06890000000001</v>
      </c>
      <c r="Z16" s="482">
        <f>V5+Z5</f>
        <v>33.770725256840606</v>
      </c>
    </row>
    <row r="17" spans="1:26" ht="15" thickBot="1"/>
    <row r="18" spans="1:26" ht="15" thickBot="1">
      <c r="A18" s="658" t="s">
        <v>861</v>
      </c>
      <c r="B18" s="659"/>
      <c r="C18" s="659"/>
      <c r="D18" s="659"/>
      <c r="E18" s="659" t="s">
        <v>860</v>
      </c>
      <c r="F18" s="659"/>
      <c r="G18" s="659"/>
      <c r="H18" s="660"/>
      <c r="J18" s="658" t="s">
        <v>861</v>
      </c>
      <c r="K18" s="659"/>
      <c r="L18" s="659"/>
      <c r="M18" s="659"/>
      <c r="N18" s="659" t="s">
        <v>860</v>
      </c>
      <c r="O18" s="659"/>
      <c r="P18" s="659"/>
      <c r="Q18" s="660"/>
      <c r="S18" s="658" t="s">
        <v>861</v>
      </c>
      <c r="T18" s="659"/>
      <c r="U18" s="659"/>
      <c r="V18" s="659"/>
      <c r="W18" s="659" t="s">
        <v>860</v>
      </c>
      <c r="X18" s="659"/>
      <c r="Y18" s="659"/>
      <c r="Z18" s="660"/>
    </row>
    <row r="19" spans="1:26" ht="15" thickBot="1">
      <c r="A19" s="487" t="s">
        <v>859</v>
      </c>
      <c r="B19" s="488" t="s">
        <v>762</v>
      </c>
      <c r="C19" s="228" t="s">
        <v>749</v>
      </c>
      <c r="D19" s="380" t="s">
        <v>867</v>
      </c>
      <c r="E19" s="487" t="s">
        <v>859</v>
      </c>
      <c r="F19" s="488" t="s">
        <v>762</v>
      </c>
      <c r="G19" s="228" t="s">
        <v>749</v>
      </c>
      <c r="H19" s="489" t="s">
        <v>867</v>
      </c>
      <c r="J19" s="487" t="s">
        <v>859</v>
      </c>
      <c r="K19" s="488" t="s">
        <v>762</v>
      </c>
      <c r="L19" s="228" t="s">
        <v>749</v>
      </c>
      <c r="M19" s="380" t="s">
        <v>867</v>
      </c>
      <c r="N19" s="487" t="s">
        <v>859</v>
      </c>
      <c r="O19" s="488" t="s">
        <v>762</v>
      </c>
      <c r="P19" s="228" t="s">
        <v>749</v>
      </c>
      <c r="Q19" s="489" t="s">
        <v>867</v>
      </c>
      <c r="S19" s="487" t="s">
        <v>859</v>
      </c>
      <c r="T19" s="488" t="s">
        <v>762</v>
      </c>
      <c r="U19" s="228" t="s">
        <v>749</v>
      </c>
      <c r="V19" s="380" t="s">
        <v>867</v>
      </c>
      <c r="W19" s="487" t="s">
        <v>859</v>
      </c>
      <c r="X19" s="488" t="s">
        <v>762</v>
      </c>
      <c r="Y19" s="228" t="s">
        <v>749</v>
      </c>
      <c r="Z19" s="489" t="s">
        <v>867</v>
      </c>
    </row>
    <row r="20" spans="1:26" ht="15" thickBot="1">
      <c r="A20" s="485">
        <v>24100</v>
      </c>
      <c r="B20" s="486">
        <v>3277</v>
      </c>
      <c r="C20" s="494">
        <f>(A20/1000*B20/1000)-(15*0.9)</f>
        <v>65.475700000000018</v>
      </c>
      <c r="D20" s="482">
        <f>C23/C20*100</f>
        <v>19.671420084092258</v>
      </c>
      <c r="E20" s="485">
        <v>24100</v>
      </c>
      <c r="F20" s="486">
        <v>3277</v>
      </c>
      <c r="G20" s="494">
        <f>(E20/1000*F20/1000)-(15*0.9)</f>
        <v>65.475700000000018</v>
      </c>
      <c r="H20" s="490">
        <f>G23/G20*100</f>
        <v>13.211008053369417</v>
      </c>
      <c r="J20" s="485">
        <v>28200</v>
      </c>
      <c r="K20" s="486">
        <v>3277</v>
      </c>
      <c r="L20" s="494">
        <f>J20/1000*K20/1000</f>
        <v>92.4114</v>
      </c>
      <c r="M20" s="482">
        <f>L23/L20*100</f>
        <v>15.582493069036937</v>
      </c>
      <c r="N20" s="485">
        <v>28200</v>
      </c>
      <c r="O20" s="486">
        <v>3160</v>
      </c>
      <c r="P20" s="494">
        <f>N20/1000*O20/1000</f>
        <v>89.111999999999995</v>
      </c>
      <c r="Q20" s="490">
        <f>P23/P20*100</f>
        <v>17.797827453092737</v>
      </c>
      <c r="S20" s="485"/>
      <c r="T20" s="486"/>
      <c r="U20" s="494">
        <f>S20/1000*T20/1000</f>
        <v>0</v>
      </c>
      <c r="V20" s="482" t="e">
        <f>U23/U20*100</f>
        <v>#DIV/0!</v>
      </c>
      <c r="W20" s="485"/>
      <c r="X20" s="486"/>
      <c r="Y20" s="494">
        <f>W20/1000*X20/1000</f>
        <v>0</v>
      </c>
      <c r="Z20" s="490" t="e">
        <f>Y23/Y20*100</f>
        <v>#DIV/0!</v>
      </c>
    </row>
    <row r="21" spans="1:26" ht="15" thickBot="1">
      <c r="A21" s="556" t="s">
        <v>862</v>
      </c>
      <c r="B21" s="557"/>
      <c r="C21" s="557"/>
      <c r="D21" s="18" t="s">
        <v>866</v>
      </c>
      <c r="E21" s="658" t="s">
        <v>862</v>
      </c>
      <c r="F21" s="659"/>
      <c r="G21" s="669"/>
      <c r="H21" s="18" t="s">
        <v>866</v>
      </c>
      <c r="J21" s="556" t="s">
        <v>862</v>
      </c>
      <c r="K21" s="557"/>
      <c r="L21" s="557"/>
      <c r="M21" s="18" t="s">
        <v>866</v>
      </c>
      <c r="N21" s="658" t="s">
        <v>862</v>
      </c>
      <c r="O21" s="659"/>
      <c r="P21" s="669"/>
      <c r="Q21" s="18" t="s">
        <v>866</v>
      </c>
      <c r="S21" s="556" t="s">
        <v>862</v>
      </c>
      <c r="T21" s="557"/>
      <c r="U21" s="557"/>
      <c r="V21" s="18" t="s">
        <v>866</v>
      </c>
      <c r="W21" s="658" t="s">
        <v>862</v>
      </c>
      <c r="X21" s="659"/>
      <c r="Y21" s="669"/>
      <c r="Z21" s="18" t="s">
        <v>866</v>
      </c>
    </row>
    <row r="22" spans="1:26" ht="15" thickBot="1">
      <c r="A22" s="670" t="s">
        <v>864</v>
      </c>
      <c r="B22" s="672" t="s">
        <v>863</v>
      </c>
      <c r="C22" s="495" t="s">
        <v>865</v>
      </c>
      <c r="D22" s="491">
        <f>G23/(C23+G23)*100</f>
        <v>40.176497909893172</v>
      </c>
      <c r="E22" s="670" t="s">
        <v>864</v>
      </c>
      <c r="F22" s="672" t="s">
        <v>863</v>
      </c>
      <c r="G22" s="495" t="s">
        <v>865</v>
      </c>
      <c r="H22" s="504">
        <f>C23/(G23+C23)*100</f>
        <v>59.823502090106814</v>
      </c>
      <c r="J22" s="670" t="s">
        <v>864</v>
      </c>
      <c r="K22" s="672" t="s">
        <v>863</v>
      </c>
      <c r="L22" s="495" t="s">
        <v>865</v>
      </c>
      <c r="M22" s="491">
        <f>P23/(L23+P23)*100</f>
        <v>52.412425644415073</v>
      </c>
      <c r="N22" s="670" t="s">
        <v>864</v>
      </c>
      <c r="O22" s="672" t="s">
        <v>863</v>
      </c>
      <c r="P22" s="495" t="s">
        <v>865</v>
      </c>
      <c r="Q22" s="504">
        <f>L23/(P23+L23)*100</f>
        <v>47.587574355584934</v>
      </c>
      <c r="S22" s="670" t="s">
        <v>864</v>
      </c>
      <c r="T22" s="672" t="s">
        <v>863</v>
      </c>
      <c r="U22" s="495" t="s">
        <v>865</v>
      </c>
      <c r="V22" s="491" t="e">
        <f>Y23/(U23+Y23)*100</f>
        <v>#DIV/0!</v>
      </c>
      <c r="W22" s="670" t="s">
        <v>864</v>
      </c>
      <c r="X22" s="672" t="s">
        <v>863</v>
      </c>
      <c r="Y22" s="495" t="s">
        <v>865</v>
      </c>
      <c r="Z22" s="504" t="e">
        <f>U23/(Y23+U23)*100</f>
        <v>#DIV/0!</v>
      </c>
    </row>
    <row r="23" spans="1:26" ht="15" thickBot="1">
      <c r="A23" s="671"/>
      <c r="B23" s="673"/>
      <c r="C23" s="18">
        <f>SUM(C24:C30)</f>
        <v>12.879999999999999</v>
      </c>
      <c r="D23" s="117"/>
      <c r="E23" s="671"/>
      <c r="F23" s="673"/>
      <c r="G23" s="18">
        <f>SUM(G24:G30)</f>
        <v>8.65</v>
      </c>
      <c r="H23" s="117"/>
      <c r="J23" s="671"/>
      <c r="K23" s="673"/>
      <c r="L23" s="18">
        <f>SUM(L24:L30)</f>
        <v>14.4</v>
      </c>
      <c r="M23" s="117"/>
      <c r="N23" s="671"/>
      <c r="O23" s="673"/>
      <c r="P23" s="18">
        <f>SUM(P24:P30)</f>
        <v>15.86</v>
      </c>
      <c r="Q23" s="117"/>
      <c r="S23" s="671"/>
      <c r="T23" s="673"/>
      <c r="U23" s="18">
        <f>SUM(U24:U30)</f>
        <v>0</v>
      </c>
      <c r="V23" s="117"/>
      <c r="W23" s="671"/>
      <c r="X23" s="673"/>
      <c r="Y23" s="18">
        <f>SUM(Y24:Y30)</f>
        <v>0</v>
      </c>
      <c r="Z23" s="117"/>
    </row>
    <row r="24" spans="1:26">
      <c r="A24" s="483">
        <v>1</v>
      </c>
      <c r="B24" s="2">
        <v>1.81</v>
      </c>
      <c r="C24" s="198">
        <f t="shared" ref="C24:C30" si="6">A24*B24</f>
        <v>1.81</v>
      </c>
      <c r="D24" s="492"/>
      <c r="E24" s="483">
        <v>2</v>
      </c>
      <c r="F24" s="2">
        <v>1.51</v>
      </c>
      <c r="G24" s="198">
        <f t="shared" ref="G24:G30" si="7">E24*F24</f>
        <v>3.02</v>
      </c>
      <c r="H24" s="492"/>
      <c r="J24" s="483">
        <v>2</v>
      </c>
      <c r="K24" s="2">
        <v>2.14</v>
      </c>
      <c r="L24" s="198">
        <f t="shared" ref="L24:L30" si="8">J24*K24</f>
        <v>4.28</v>
      </c>
      <c r="M24" s="492"/>
      <c r="N24" s="483">
        <v>1</v>
      </c>
      <c r="O24" s="2">
        <v>5.8</v>
      </c>
      <c r="P24" s="198">
        <f t="shared" ref="P24:P30" si="9">N24*O24</f>
        <v>5.8</v>
      </c>
      <c r="Q24" s="492"/>
      <c r="S24" s="483"/>
      <c r="T24" s="2"/>
      <c r="U24" s="198">
        <f t="shared" ref="U24:U30" si="10">S24*T24</f>
        <v>0</v>
      </c>
      <c r="V24" s="492"/>
      <c r="W24" s="483"/>
      <c r="X24" s="2"/>
      <c r="Y24" s="198">
        <f t="shared" ref="Y24:Y30" si="11">W24*X24</f>
        <v>0</v>
      </c>
      <c r="Z24" s="492"/>
    </row>
    <row r="25" spans="1:26">
      <c r="A25" s="484">
        <v>1</v>
      </c>
      <c r="B25" s="2">
        <v>1.46</v>
      </c>
      <c r="C25" s="4">
        <f t="shared" si="6"/>
        <v>1.46</v>
      </c>
      <c r="D25" s="117"/>
      <c r="E25" s="484">
        <v>6</v>
      </c>
      <c r="F25" s="2">
        <v>0.49</v>
      </c>
      <c r="G25" s="4">
        <f t="shared" si="7"/>
        <v>2.94</v>
      </c>
      <c r="H25" s="117"/>
      <c r="J25" s="484">
        <v>2</v>
      </c>
      <c r="K25" s="2">
        <v>3.59</v>
      </c>
      <c r="L25" s="4">
        <f t="shared" si="8"/>
        <v>7.18</v>
      </c>
      <c r="M25" s="117"/>
      <c r="N25" s="484">
        <v>1</v>
      </c>
      <c r="O25" s="2">
        <v>6.6</v>
      </c>
      <c r="P25" s="4">
        <f t="shared" si="9"/>
        <v>6.6</v>
      </c>
      <c r="Q25" s="117"/>
      <c r="S25" s="484"/>
      <c r="T25" s="2"/>
      <c r="U25" s="4">
        <f t="shared" si="10"/>
        <v>0</v>
      </c>
      <c r="V25" s="117"/>
      <c r="W25" s="484"/>
      <c r="X25" s="2"/>
      <c r="Y25" s="4">
        <f t="shared" si="11"/>
        <v>0</v>
      </c>
      <c r="Z25" s="117"/>
    </row>
    <row r="26" spans="1:26">
      <c r="A26" s="483">
        <v>1</v>
      </c>
      <c r="B26" s="2">
        <v>3.03</v>
      </c>
      <c r="C26" s="4">
        <f t="shared" si="6"/>
        <v>3.03</v>
      </c>
      <c r="D26" s="117"/>
      <c r="E26" s="484">
        <v>1</v>
      </c>
      <c r="F26" s="503">
        <v>0.69</v>
      </c>
      <c r="G26" s="4">
        <f t="shared" si="7"/>
        <v>0.69</v>
      </c>
      <c r="H26" s="117"/>
      <c r="J26" s="483">
        <v>3</v>
      </c>
      <c r="K26" s="2">
        <v>0.48</v>
      </c>
      <c r="L26" s="4">
        <f t="shared" si="8"/>
        <v>1.44</v>
      </c>
      <c r="M26" s="117"/>
      <c r="N26" s="484">
        <v>4</v>
      </c>
      <c r="O26" s="2">
        <v>0.49</v>
      </c>
      <c r="P26" s="4">
        <f t="shared" si="9"/>
        <v>1.96</v>
      </c>
      <c r="Q26" s="117"/>
      <c r="S26" s="483"/>
      <c r="T26" s="2"/>
      <c r="U26" s="4">
        <f t="shared" si="10"/>
        <v>0</v>
      </c>
      <c r="V26" s="117"/>
      <c r="W26" s="483"/>
      <c r="X26" s="2"/>
      <c r="Y26" s="4">
        <f t="shared" si="11"/>
        <v>0</v>
      </c>
      <c r="Z26" s="117"/>
    </row>
    <row r="27" spans="1:26" ht="15" thickBot="1">
      <c r="A27" s="483">
        <v>1</v>
      </c>
      <c r="B27" s="2">
        <v>2.14</v>
      </c>
      <c r="C27" s="4">
        <f t="shared" si="6"/>
        <v>2.14</v>
      </c>
      <c r="D27" s="117"/>
      <c r="E27" s="501">
        <v>1</v>
      </c>
      <c r="F27" s="502">
        <v>2</v>
      </c>
      <c r="G27" s="4">
        <f t="shared" si="7"/>
        <v>2</v>
      </c>
      <c r="H27" s="117"/>
      <c r="J27" s="501">
        <v>1</v>
      </c>
      <c r="K27" s="502">
        <v>1.5</v>
      </c>
      <c r="L27" s="4">
        <f t="shared" si="8"/>
        <v>1.5</v>
      </c>
      <c r="M27" s="117"/>
      <c r="N27" s="501">
        <v>1</v>
      </c>
      <c r="O27" s="502">
        <v>1.5</v>
      </c>
      <c r="P27" s="4">
        <f t="shared" si="9"/>
        <v>1.5</v>
      </c>
      <c r="Q27" s="117"/>
      <c r="S27" s="483"/>
      <c r="T27" s="2"/>
      <c r="U27" s="4">
        <f t="shared" si="10"/>
        <v>0</v>
      </c>
      <c r="V27" s="117"/>
      <c r="W27" s="483"/>
      <c r="X27" s="2"/>
      <c r="Y27" s="4">
        <f t="shared" si="11"/>
        <v>0</v>
      </c>
      <c r="Z27" s="117"/>
    </row>
    <row r="28" spans="1:26" ht="15" thickBot="1">
      <c r="A28" s="483">
        <v>3</v>
      </c>
      <c r="B28" s="2">
        <v>0.48</v>
      </c>
      <c r="C28" s="4">
        <f t="shared" si="6"/>
        <v>1.44</v>
      </c>
      <c r="D28" s="117"/>
      <c r="E28" s="483"/>
      <c r="F28" s="2"/>
      <c r="G28" s="4">
        <f t="shared" si="7"/>
        <v>0</v>
      </c>
      <c r="H28" s="380" t="s">
        <v>873</v>
      </c>
      <c r="J28" s="483"/>
      <c r="K28" s="2"/>
      <c r="L28" s="4">
        <f t="shared" si="8"/>
        <v>0</v>
      </c>
      <c r="M28" s="117"/>
      <c r="N28" s="483"/>
      <c r="O28" s="2"/>
      <c r="P28" s="4">
        <f t="shared" si="9"/>
        <v>0</v>
      </c>
      <c r="Q28" s="380" t="s">
        <v>873</v>
      </c>
      <c r="S28" s="483"/>
      <c r="T28" s="2"/>
      <c r="U28" s="4">
        <f t="shared" si="10"/>
        <v>0</v>
      </c>
      <c r="V28" s="117"/>
      <c r="W28" s="483"/>
      <c r="X28" s="2"/>
      <c r="Y28" s="4">
        <f t="shared" si="11"/>
        <v>0</v>
      </c>
      <c r="Z28" s="380" t="s">
        <v>873</v>
      </c>
    </row>
    <row r="29" spans="1:26" ht="15" thickBot="1">
      <c r="A29" s="501">
        <v>1</v>
      </c>
      <c r="B29" s="502">
        <v>3</v>
      </c>
      <c r="C29" s="4">
        <f t="shared" si="6"/>
        <v>3</v>
      </c>
      <c r="D29" s="117"/>
      <c r="E29" s="483"/>
      <c r="F29" s="2"/>
      <c r="G29" s="4">
        <f t="shared" si="7"/>
        <v>0</v>
      </c>
      <c r="H29" s="482">
        <f>(C23+G23)/G31*100</f>
        <v>12.659024214426115</v>
      </c>
      <c r="J29" s="483"/>
      <c r="K29" s="2"/>
      <c r="L29" s="4">
        <f t="shared" si="8"/>
        <v>0</v>
      </c>
      <c r="M29" s="117"/>
      <c r="N29" s="483"/>
      <c r="O29" s="2"/>
      <c r="P29" s="4">
        <f t="shared" si="9"/>
        <v>0</v>
      </c>
      <c r="Q29" s="482">
        <f>(L23+P23)/P31*100</f>
        <v>15.933360011794687</v>
      </c>
      <c r="S29" s="483"/>
      <c r="T29" s="2"/>
      <c r="U29" s="4">
        <f t="shared" si="10"/>
        <v>0</v>
      </c>
      <c r="V29" s="117"/>
      <c r="W29" s="483"/>
      <c r="X29" s="2"/>
      <c r="Y29" s="4">
        <f t="shared" si="11"/>
        <v>0</v>
      </c>
      <c r="Z29" s="482" t="e">
        <f>(U23+Y23)/Y31*100</f>
        <v>#DIV/0!</v>
      </c>
    </row>
    <row r="30" spans="1:26" ht="15" thickBot="1">
      <c r="A30" s="483"/>
      <c r="B30" s="2"/>
      <c r="C30" s="4">
        <f t="shared" si="6"/>
        <v>0</v>
      </c>
      <c r="D30" s="117"/>
      <c r="E30" s="483"/>
      <c r="F30" s="2"/>
      <c r="G30" s="4">
        <f t="shared" si="7"/>
        <v>0</v>
      </c>
      <c r="H30" s="380" t="s">
        <v>867</v>
      </c>
      <c r="J30" s="483"/>
      <c r="K30" s="2"/>
      <c r="L30" s="4">
        <f t="shared" si="8"/>
        <v>0</v>
      </c>
      <c r="M30" s="117"/>
      <c r="N30" s="483"/>
      <c r="O30" s="2"/>
      <c r="P30" s="4">
        <f t="shared" si="9"/>
        <v>0</v>
      </c>
      <c r="Q30" s="380" t="s">
        <v>867</v>
      </c>
      <c r="S30" s="483"/>
      <c r="T30" s="2"/>
      <c r="U30" s="4">
        <f t="shared" si="10"/>
        <v>0</v>
      </c>
      <c r="V30" s="117"/>
      <c r="W30" s="483"/>
      <c r="X30" s="2"/>
      <c r="Y30" s="4">
        <f t="shared" si="11"/>
        <v>0</v>
      </c>
      <c r="Z30" s="380" t="s">
        <v>867</v>
      </c>
    </row>
    <row r="31" spans="1:26" ht="15" thickBot="1">
      <c r="A31" s="661" t="s">
        <v>870</v>
      </c>
      <c r="B31" s="662"/>
      <c r="C31" s="498" t="str">
        <f>IF(((30-H31)/100*C20)&gt;0,(30-H31)/100*C20,"OK")</f>
        <v>OK</v>
      </c>
      <c r="D31" s="493"/>
      <c r="E31" s="499" t="s">
        <v>872</v>
      </c>
      <c r="F31" s="500">
        <v>1850</v>
      </c>
      <c r="G31" s="498">
        <f>(E20/1000*2+F31/1000*2)*F20/1000</f>
        <v>170.0763</v>
      </c>
      <c r="H31" s="482">
        <f>D20+H20</f>
        <v>32.882428137461673</v>
      </c>
      <c r="J31" s="661" t="s">
        <v>870</v>
      </c>
      <c r="K31" s="662"/>
      <c r="L31" s="498" t="str">
        <f>IF(((30-Q31)/100*L20)&gt;0,(30-Q31)/100*L20,"OK")</f>
        <v>OK</v>
      </c>
      <c r="M31" s="493"/>
      <c r="N31" s="499" t="s">
        <v>872</v>
      </c>
      <c r="O31" s="500">
        <v>1850</v>
      </c>
      <c r="P31" s="498">
        <f>(N20/1000*2+O31/1000*2)*O20/1000</f>
        <v>189.916</v>
      </c>
      <c r="Q31" s="482">
        <f>M20+Q20</f>
        <v>33.380320522129672</v>
      </c>
      <c r="S31" s="661" t="s">
        <v>870</v>
      </c>
      <c r="T31" s="662"/>
      <c r="U31" s="498" t="e">
        <f>IF(((30-Z31)/100*U20)&gt;0,(30-Z31)/100*U20,"OK")</f>
        <v>#DIV/0!</v>
      </c>
      <c r="V31" s="493"/>
      <c r="W31" s="499" t="s">
        <v>872</v>
      </c>
      <c r="X31" s="500"/>
      <c r="Y31" s="498">
        <f>(W20/1000*2+X31/1000*2)*X20/1000</f>
        <v>0</v>
      </c>
      <c r="Z31" s="482" t="e">
        <f>V20+Z20</f>
        <v>#DIV/0!</v>
      </c>
    </row>
  </sheetData>
  <mergeCells count="57">
    <mergeCell ref="S31:T31"/>
    <mergeCell ref="S16:T16"/>
    <mergeCell ref="S18:V18"/>
    <mergeCell ref="W18:Z18"/>
    <mergeCell ref="S21:U21"/>
    <mergeCell ref="W21:Y21"/>
    <mergeCell ref="S22:S23"/>
    <mergeCell ref="T22:T23"/>
    <mergeCell ref="W22:W23"/>
    <mergeCell ref="X22:X23"/>
    <mergeCell ref="S1:Z1"/>
    <mergeCell ref="S3:V3"/>
    <mergeCell ref="W3:Z3"/>
    <mergeCell ref="S6:U6"/>
    <mergeCell ref="W6:Y6"/>
    <mergeCell ref="S7:S8"/>
    <mergeCell ref="T7:T8"/>
    <mergeCell ref="W7:W8"/>
    <mergeCell ref="X7:X8"/>
    <mergeCell ref="A16:B16"/>
    <mergeCell ref="J7:J8"/>
    <mergeCell ref="K7:K8"/>
    <mergeCell ref="N7:N8"/>
    <mergeCell ref="O7:O8"/>
    <mergeCell ref="B7:B8"/>
    <mergeCell ref="E7:E8"/>
    <mergeCell ref="F7:F8"/>
    <mergeCell ref="A7:A8"/>
    <mergeCell ref="A31:B31"/>
    <mergeCell ref="J31:K31"/>
    <mergeCell ref="J21:L21"/>
    <mergeCell ref="N21:P21"/>
    <mergeCell ref="J22:J23"/>
    <mergeCell ref="K22:K23"/>
    <mergeCell ref="N22:N23"/>
    <mergeCell ref="O22:O23"/>
    <mergeCell ref="A21:C21"/>
    <mergeCell ref="E21:G21"/>
    <mergeCell ref="A22:A23"/>
    <mergeCell ref="B22:B23"/>
    <mergeCell ref="E22:E23"/>
    <mergeCell ref="F22:F23"/>
    <mergeCell ref="A1:H1"/>
    <mergeCell ref="J1:Q1"/>
    <mergeCell ref="J3:M3"/>
    <mergeCell ref="N3:Q3"/>
    <mergeCell ref="J6:L6"/>
    <mergeCell ref="N6:P6"/>
    <mergeCell ref="A6:C6"/>
    <mergeCell ref="E6:G6"/>
    <mergeCell ref="A3:D3"/>
    <mergeCell ref="E3:H3"/>
    <mergeCell ref="J18:M18"/>
    <mergeCell ref="N18:Q18"/>
    <mergeCell ref="J16:K16"/>
    <mergeCell ref="A18:D18"/>
    <mergeCell ref="E18:H18"/>
  </mergeCells>
  <conditionalFormatting sqref="C16 C31 L31 L16 U16 U31">
    <cfRule type="cellIs" dxfId="0" priority="1" operator="greaterThan">
      <formula>0</formula>
    </cfRule>
  </conditionalFormatting>
  <pageMargins left="0.7" right="0.7" top="0.75" bottom="0.75" header="0.3" footer="0.3"/>
  <pageSetup paperSize="9" orientation="portrait" horizontalDpi="300" verticalDpi="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2"/>
  <sheetViews>
    <sheetView topLeftCell="A115" workbookViewId="0">
      <selection activeCell="C3" sqref="C3:C5"/>
    </sheetView>
  </sheetViews>
  <sheetFormatPr defaultRowHeight="14.4"/>
  <cols>
    <col min="1" max="5" width="14.109375" customWidth="1"/>
    <col min="8" max="8" width="21.44140625" customWidth="1"/>
    <col min="9" max="18" width="9.88671875" customWidth="1"/>
    <col min="20" max="20" width="30" customWidth="1"/>
  </cols>
  <sheetData>
    <row r="1" spans="1:20">
      <c r="A1" s="683" t="s">
        <v>924</v>
      </c>
      <c r="B1" s="683" t="s">
        <v>925</v>
      </c>
      <c r="C1" s="685" t="s">
        <v>926</v>
      </c>
      <c r="D1" s="683" t="s">
        <v>927</v>
      </c>
      <c r="E1" s="683" t="s">
        <v>928</v>
      </c>
      <c r="F1" s="530" t="s">
        <v>929</v>
      </c>
      <c r="G1" s="529" t="s">
        <v>929</v>
      </c>
      <c r="H1" s="530" t="s">
        <v>932</v>
      </c>
      <c r="I1" s="683" t="s">
        <v>934</v>
      </c>
      <c r="J1" s="683" t="s">
        <v>935</v>
      </c>
      <c r="K1" s="683" t="s">
        <v>936</v>
      </c>
      <c r="L1" s="683" t="s">
        <v>36</v>
      </c>
      <c r="M1" s="683" t="s">
        <v>937</v>
      </c>
      <c r="N1" s="683" t="s">
        <v>938</v>
      </c>
      <c r="O1" s="683" t="s">
        <v>939</v>
      </c>
      <c r="P1" s="683" t="s">
        <v>940</v>
      </c>
      <c r="Q1" s="683" t="s">
        <v>647</v>
      </c>
      <c r="R1" s="683" t="s">
        <v>941</v>
      </c>
      <c r="S1" s="683" t="s">
        <v>942</v>
      </c>
      <c r="T1" s="530" t="s">
        <v>943</v>
      </c>
    </row>
    <row r="2" spans="1:20" ht="28.8">
      <c r="A2" s="684"/>
      <c r="B2" s="684"/>
      <c r="C2" s="686"/>
      <c r="D2" s="684"/>
      <c r="E2" s="684"/>
      <c r="F2" s="531" t="s">
        <v>930</v>
      </c>
      <c r="G2" s="532" t="s">
        <v>931</v>
      </c>
      <c r="H2" s="531" t="s">
        <v>933</v>
      </c>
      <c r="I2" s="684"/>
      <c r="J2" s="684"/>
      <c r="K2" s="684"/>
      <c r="L2" s="684"/>
      <c r="M2" s="684"/>
      <c r="N2" s="684"/>
      <c r="O2" s="684"/>
      <c r="P2" s="684"/>
      <c r="Q2" s="684"/>
      <c r="R2" s="684"/>
      <c r="S2" s="684"/>
      <c r="T2" s="531" t="s">
        <v>944</v>
      </c>
    </row>
    <row r="3" spans="1:20" ht="28.8" customHeight="1">
      <c r="A3" s="677" t="s">
        <v>945</v>
      </c>
      <c r="B3" s="677" t="s">
        <v>946</v>
      </c>
      <c r="C3" s="680">
        <v>17100</v>
      </c>
      <c r="D3" s="677" t="s">
        <v>947</v>
      </c>
      <c r="E3" s="677">
        <v>10025</v>
      </c>
      <c r="F3" s="680" t="s">
        <v>948</v>
      </c>
      <c r="G3" s="677" t="s">
        <v>949</v>
      </c>
      <c r="H3" s="533" t="s">
        <v>950</v>
      </c>
      <c r="I3" s="677" t="s">
        <v>952</v>
      </c>
      <c r="J3" s="677" t="s">
        <v>622</v>
      </c>
      <c r="K3" s="677" t="s">
        <v>622</v>
      </c>
      <c r="L3" s="677" t="s">
        <v>953</v>
      </c>
      <c r="M3" s="677" t="s">
        <v>954</v>
      </c>
      <c r="N3" s="677" t="s">
        <v>622</v>
      </c>
      <c r="O3" s="677" t="s">
        <v>622</v>
      </c>
      <c r="P3" s="677" t="s">
        <v>622</v>
      </c>
      <c r="Q3" s="677" t="s">
        <v>622</v>
      </c>
      <c r="R3" s="677" t="s">
        <v>622</v>
      </c>
      <c r="S3" s="677" t="s">
        <v>622</v>
      </c>
      <c r="T3" s="680" t="s">
        <v>955</v>
      </c>
    </row>
    <row r="4" spans="1:20">
      <c r="A4" s="678"/>
      <c r="B4" s="678"/>
      <c r="C4" s="681"/>
      <c r="D4" s="678"/>
      <c r="E4" s="678"/>
      <c r="F4" s="681"/>
      <c r="G4" s="678"/>
      <c r="H4" s="534"/>
      <c r="I4" s="678"/>
      <c r="J4" s="678"/>
      <c r="K4" s="678"/>
      <c r="L4" s="678"/>
      <c r="M4" s="678"/>
      <c r="N4" s="678"/>
      <c r="O4" s="678"/>
      <c r="P4" s="678"/>
      <c r="Q4" s="678"/>
      <c r="R4" s="678"/>
      <c r="S4" s="678"/>
      <c r="T4" s="681"/>
    </row>
    <row r="5" spans="1:20">
      <c r="A5" s="679"/>
      <c r="B5" s="679"/>
      <c r="C5" s="682"/>
      <c r="D5" s="679"/>
      <c r="E5" s="679"/>
      <c r="F5" s="682"/>
      <c r="G5" s="679"/>
      <c r="H5" s="535" t="s">
        <v>951</v>
      </c>
      <c r="I5" s="679"/>
      <c r="J5" s="679"/>
      <c r="K5" s="679"/>
      <c r="L5" s="679"/>
      <c r="M5" s="679"/>
      <c r="N5" s="679"/>
      <c r="O5" s="679"/>
      <c r="P5" s="679"/>
      <c r="Q5" s="679"/>
      <c r="R5" s="679"/>
      <c r="S5" s="679"/>
      <c r="T5" s="682"/>
    </row>
    <row r="6" spans="1:20" ht="28.8">
      <c r="A6" s="536" t="s">
        <v>956</v>
      </c>
      <c r="B6" s="536" t="s">
        <v>957</v>
      </c>
      <c r="C6" s="537">
        <v>17140</v>
      </c>
      <c r="D6" s="536" t="s">
        <v>958</v>
      </c>
      <c r="E6" s="536">
        <v>10025</v>
      </c>
      <c r="F6" s="537" t="s">
        <v>959</v>
      </c>
      <c r="G6" s="536" t="s">
        <v>949</v>
      </c>
      <c r="H6" s="537" t="s">
        <v>960</v>
      </c>
      <c r="I6" s="536" t="s">
        <v>961</v>
      </c>
      <c r="J6" s="536" t="s">
        <v>357</v>
      </c>
      <c r="K6" s="536" t="s">
        <v>962</v>
      </c>
      <c r="L6" s="536" t="s">
        <v>963</v>
      </c>
      <c r="M6" s="536" t="s">
        <v>357</v>
      </c>
      <c r="N6" s="536" t="s">
        <v>964</v>
      </c>
      <c r="O6" s="536" t="s">
        <v>964</v>
      </c>
      <c r="P6" s="536" t="s">
        <v>622</v>
      </c>
      <c r="Q6" s="536" t="s">
        <v>622</v>
      </c>
      <c r="R6" s="536" t="s">
        <v>622</v>
      </c>
      <c r="S6" s="536" t="s">
        <v>964</v>
      </c>
      <c r="T6" s="537" t="s">
        <v>955</v>
      </c>
    </row>
    <row r="7" spans="1:20">
      <c r="A7" s="677" t="s">
        <v>965</v>
      </c>
      <c r="B7" s="677" t="s">
        <v>966</v>
      </c>
      <c r="C7" s="680">
        <v>2393</v>
      </c>
      <c r="D7" s="677" t="s">
        <v>967</v>
      </c>
      <c r="E7" s="677">
        <v>10025</v>
      </c>
      <c r="F7" s="680" t="s">
        <v>968</v>
      </c>
      <c r="G7" s="677" t="s">
        <v>969</v>
      </c>
      <c r="H7" s="533" t="s">
        <v>970</v>
      </c>
      <c r="I7" s="677" t="s">
        <v>990</v>
      </c>
      <c r="J7" s="677">
        <v>0.5</v>
      </c>
      <c r="K7" s="677" t="s">
        <v>991</v>
      </c>
      <c r="L7" s="677" t="s">
        <v>992</v>
      </c>
      <c r="M7" s="677" t="s">
        <v>992</v>
      </c>
      <c r="N7" s="677" t="s">
        <v>993</v>
      </c>
      <c r="O7" s="677" t="s">
        <v>993</v>
      </c>
      <c r="P7" s="677" t="s">
        <v>994</v>
      </c>
      <c r="Q7" s="677"/>
      <c r="R7" s="677"/>
      <c r="S7" s="677" t="s">
        <v>995</v>
      </c>
      <c r="T7" s="533" t="s">
        <v>996</v>
      </c>
    </row>
    <row r="8" spans="1:20">
      <c r="A8" s="678"/>
      <c r="B8" s="678"/>
      <c r="C8" s="681"/>
      <c r="D8" s="678"/>
      <c r="E8" s="678"/>
      <c r="F8" s="681"/>
      <c r="G8" s="678"/>
      <c r="H8" s="534" t="s">
        <v>971</v>
      </c>
      <c r="I8" s="678"/>
      <c r="J8" s="678"/>
      <c r="K8" s="678"/>
      <c r="L8" s="678"/>
      <c r="M8" s="678"/>
      <c r="N8" s="678"/>
      <c r="O8" s="678"/>
      <c r="P8" s="678"/>
      <c r="Q8" s="678"/>
      <c r="R8" s="678"/>
      <c r="S8" s="678"/>
      <c r="T8" s="534"/>
    </row>
    <row r="9" spans="1:20">
      <c r="A9" s="678"/>
      <c r="B9" s="678"/>
      <c r="C9" s="681"/>
      <c r="D9" s="678"/>
      <c r="E9" s="678"/>
      <c r="F9" s="681"/>
      <c r="G9" s="678"/>
      <c r="H9" s="534" t="s">
        <v>972</v>
      </c>
      <c r="I9" s="678"/>
      <c r="J9" s="678"/>
      <c r="K9" s="678"/>
      <c r="L9" s="678"/>
      <c r="M9" s="678"/>
      <c r="N9" s="678"/>
      <c r="O9" s="678"/>
      <c r="P9" s="678"/>
      <c r="Q9" s="678"/>
      <c r="R9" s="678"/>
      <c r="S9" s="678"/>
      <c r="T9" s="538" t="s">
        <v>997</v>
      </c>
    </row>
    <row r="10" spans="1:20">
      <c r="A10" s="678"/>
      <c r="B10" s="678"/>
      <c r="C10" s="681"/>
      <c r="D10" s="678"/>
      <c r="E10" s="678"/>
      <c r="F10" s="681"/>
      <c r="G10" s="678"/>
      <c r="H10" s="534" t="s">
        <v>973</v>
      </c>
      <c r="I10" s="678"/>
      <c r="J10" s="678"/>
      <c r="K10" s="678"/>
      <c r="L10" s="678"/>
      <c r="M10" s="678"/>
      <c r="N10" s="678"/>
      <c r="O10" s="678"/>
      <c r="P10" s="678"/>
      <c r="Q10" s="678"/>
      <c r="R10" s="678"/>
      <c r="S10" s="678"/>
      <c r="T10" s="534"/>
    </row>
    <row r="11" spans="1:20">
      <c r="A11" s="678"/>
      <c r="B11" s="678"/>
      <c r="C11" s="681"/>
      <c r="D11" s="678"/>
      <c r="E11" s="678"/>
      <c r="F11" s="681"/>
      <c r="G11" s="678"/>
      <c r="H11" s="534" t="s">
        <v>974</v>
      </c>
      <c r="I11" s="678"/>
      <c r="J11" s="678"/>
      <c r="K11" s="678"/>
      <c r="L11" s="678"/>
      <c r="M11" s="678"/>
      <c r="N11" s="678"/>
      <c r="O11" s="678"/>
      <c r="P11" s="678"/>
      <c r="Q11" s="678"/>
      <c r="R11" s="678"/>
      <c r="S11" s="678"/>
      <c r="T11" s="534"/>
    </row>
    <row r="12" spans="1:20">
      <c r="A12" s="678"/>
      <c r="B12" s="678"/>
      <c r="C12" s="681"/>
      <c r="D12" s="678"/>
      <c r="E12" s="678"/>
      <c r="F12" s="681"/>
      <c r="G12" s="678"/>
      <c r="H12" s="534" t="s">
        <v>975</v>
      </c>
      <c r="I12" s="678"/>
      <c r="J12" s="678"/>
      <c r="K12" s="678"/>
      <c r="L12" s="678"/>
      <c r="M12" s="678"/>
      <c r="N12" s="678"/>
      <c r="O12" s="678"/>
      <c r="P12" s="678"/>
      <c r="Q12" s="678"/>
      <c r="R12" s="678"/>
      <c r="S12" s="678"/>
      <c r="T12" s="534"/>
    </row>
    <row r="13" spans="1:20">
      <c r="A13" s="678"/>
      <c r="B13" s="678"/>
      <c r="C13" s="681"/>
      <c r="D13" s="678"/>
      <c r="E13" s="678"/>
      <c r="F13" s="681"/>
      <c r="G13" s="678"/>
      <c r="H13" s="534" t="s">
        <v>976</v>
      </c>
      <c r="I13" s="678"/>
      <c r="J13" s="678"/>
      <c r="K13" s="678"/>
      <c r="L13" s="678"/>
      <c r="M13" s="678"/>
      <c r="N13" s="678"/>
      <c r="O13" s="678"/>
      <c r="P13" s="678"/>
      <c r="Q13" s="678"/>
      <c r="R13" s="678"/>
      <c r="S13" s="678"/>
      <c r="T13" s="534"/>
    </row>
    <row r="14" spans="1:20">
      <c r="A14" s="678"/>
      <c r="B14" s="678"/>
      <c r="C14" s="681"/>
      <c r="D14" s="678"/>
      <c r="E14" s="678"/>
      <c r="F14" s="681"/>
      <c r="G14" s="678"/>
      <c r="H14" s="534" t="s">
        <v>977</v>
      </c>
      <c r="I14" s="678"/>
      <c r="J14" s="678"/>
      <c r="K14" s="678"/>
      <c r="L14" s="678"/>
      <c r="M14" s="678"/>
      <c r="N14" s="678"/>
      <c r="O14" s="678"/>
      <c r="P14" s="678"/>
      <c r="Q14" s="678"/>
      <c r="R14" s="678"/>
      <c r="S14" s="678"/>
      <c r="T14" s="534"/>
    </row>
    <row r="15" spans="1:20">
      <c r="A15" s="678"/>
      <c r="B15" s="678"/>
      <c r="C15" s="681"/>
      <c r="D15" s="678"/>
      <c r="E15" s="678"/>
      <c r="F15" s="681"/>
      <c r="G15" s="678"/>
      <c r="H15" s="534" t="s">
        <v>978</v>
      </c>
      <c r="I15" s="678"/>
      <c r="J15" s="678"/>
      <c r="K15" s="678"/>
      <c r="L15" s="678"/>
      <c r="M15" s="678"/>
      <c r="N15" s="678"/>
      <c r="O15" s="678"/>
      <c r="P15" s="678"/>
      <c r="Q15" s="678"/>
      <c r="R15" s="678"/>
      <c r="S15" s="678"/>
      <c r="T15" s="534"/>
    </row>
    <row r="16" spans="1:20">
      <c r="A16" s="678"/>
      <c r="B16" s="678"/>
      <c r="C16" s="681"/>
      <c r="D16" s="678"/>
      <c r="E16" s="678"/>
      <c r="F16" s="681"/>
      <c r="G16" s="678"/>
      <c r="H16" s="534" t="s">
        <v>979</v>
      </c>
      <c r="I16" s="678"/>
      <c r="J16" s="678"/>
      <c r="K16" s="678"/>
      <c r="L16" s="678"/>
      <c r="M16" s="678"/>
      <c r="N16" s="678"/>
      <c r="O16" s="678"/>
      <c r="P16" s="678"/>
      <c r="Q16" s="678"/>
      <c r="R16" s="678"/>
      <c r="S16" s="678"/>
      <c r="T16" s="534"/>
    </row>
    <row r="17" spans="1:20">
      <c r="A17" s="678"/>
      <c r="B17" s="678"/>
      <c r="C17" s="681"/>
      <c r="D17" s="678"/>
      <c r="E17" s="678"/>
      <c r="F17" s="681"/>
      <c r="G17" s="678"/>
      <c r="H17" s="534" t="s">
        <v>980</v>
      </c>
      <c r="I17" s="678"/>
      <c r="J17" s="678"/>
      <c r="K17" s="678"/>
      <c r="L17" s="678"/>
      <c r="M17" s="678"/>
      <c r="N17" s="678"/>
      <c r="O17" s="678"/>
      <c r="P17" s="678"/>
      <c r="Q17" s="678"/>
      <c r="R17" s="678"/>
      <c r="S17" s="678"/>
      <c r="T17" s="534"/>
    </row>
    <row r="18" spans="1:20">
      <c r="A18" s="678"/>
      <c r="B18" s="678"/>
      <c r="C18" s="681"/>
      <c r="D18" s="678"/>
      <c r="E18" s="678"/>
      <c r="F18" s="681"/>
      <c r="G18" s="678"/>
      <c r="H18" s="534" t="s">
        <v>981</v>
      </c>
      <c r="I18" s="678"/>
      <c r="J18" s="678"/>
      <c r="K18" s="678"/>
      <c r="L18" s="678"/>
      <c r="M18" s="678"/>
      <c r="N18" s="678"/>
      <c r="O18" s="678"/>
      <c r="P18" s="678"/>
      <c r="Q18" s="678"/>
      <c r="R18" s="678"/>
      <c r="S18" s="678"/>
      <c r="T18" s="534"/>
    </row>
    <row r="19" spans="1:20">
      <c r="A19" s="678"/>
      <c r="B19" s="678"/>
      <c r="C19" s="681"/>
      <c r="D19" s="678"/>
      <c r="E19" s="678"/>
      <c r="F19" s="681"/>
      <c r="G19" s="678"/>
      <c r="H19" s="534" t="s">
        <v>982</v>
      </c>
      <c r="I19" s="678"/>
      <c r="J19" s="678"/>
      <c r="K19" s="678"/>
      <c r="L19" s="678"/>
      <c r="M19" s="678"/>
      <c r="N19" s="678"/>
      <c r="O19" s="678"/>
      <c r="P19" s="678"/>
      <c r="Q19" s="678"/>
      <c r="R19" s="678"/>
      <c r="S19" s="678"/>
      <c r="T19" s="534"/>
    </row>
    <row r="20" spans="1:20">
      <c r="A20" s="678"/>
      <c r="B20" s="678"/>
      <c r="C20" s="681"/>
      <c r="D20" s="678"/>
      <c r="E20" s="678"/>
      <c r="F20" s="681"/>
      <c r="G20" s="678"/>
      <c r="H20" s="534" t="s">
        <v>983</v>
      </c>
      <c r="I20" s="678"/>
      <c r="J20" s="678"/>
      <c r="K20" s="678"/>
      <c r="L20" s="678"/>
      <c r="M20" s="678"/>
      <c r="N20" s="678"/>
      <c r="O20" s="678"/>
      <c r="P20" s="678"/>
      <c r="Q20" s="678"/>
      <c r="R20" s="678"/>
      <c r="S20" s="678"/>
      <c r="T20" s="534"/>
    </row>
    <row r="21" spans="1:20">
      <c r="A21" s="678"/>
      <c r="B21" s="678"/>
      <c r="C21" s="681"/>
      <c r="D21" s="678"/>
      <c r="E21" s="678"/>
      <c r="F21" s="681"/>
      <c r="G21" s="678"/>
      <c r="H21" s="534" t="s">
        <v>984</v>
      </c>
      <c r="I21" s="678"/>
      <c r="J21" s="678"/>
      <c r="K21" s="678"/>
      <c r="L21" s="678"/>
      <c r="M21" s="678"/>
      <c r="N21" s="678"/>
      <c r="O21" s="678"/>
      <c r="P21" s="678"/>
      <c r="Q21" s="678"/>
      <c r="R21" s="678"/>
      <c r="S21" s="678"/>
      <c r="T21" s="534"/>
    </row>
    <row r="22" spans="1:20">
      <c r="A22" s="678"/>
      <c r="B22" s="678"/>
      <c r="C22" s="681"/>
      <c r="D22" s="678"/>
      <c r="E22" s="678"/>
      <c r="F22" s="681"/>
      <c r="G22" s="678"/>
      <c r="H22" s="534" t="s">
        <v>985</v>
      </c>
      <c r="I22" s="678"/>
      <c r="J22" s="678"/>
      <c r="K22" s="678"/>
      <c r="L22" s="678"/>
      <c r="M22" s="678"/>
      <c r="N22" s="678"/>
      <c r="O22" s="678"/>
      <c r="P22" s="678"/>
      <c r="Q22" s="678"/>
      <c r="R22" s="678"/>
      <c r="S22" s="678"/>
      <c r="T22" s="534"/>
    </row>
    <row r="23" spans="1:20">
      <c r="A23" s="678"/>
      <c r="B23" s="678"/>
      <c r="C23" s="681"/>
      <c r="D23" s="678"/>
      <c r="E23" s="678"/>
      <c r="F23" s="681"/>
      <c r="G23" s="678"/>
      <c r="H23" s="534" t="s">
        <v>986</v>
      </c>
      <c r="I23" s="678"/>
      <c r="J23" s="678"/>
      <c r="K23" s="678"/>
      <c r="L23" s="678"/>
      <c r="M23" s="678"/>
      <c r="N23" s="678"/>
      <c r="O23" s="678"/>
      <c r="P23" s="678"/>
      <c r="Q23" s="678"/>
      <c r="R23" s="678"/>
      <c r="S23" s="678"/>
      <c r="T23" s="534"/>
    </row>
    <row r="24" spans="1:20">
      <c r="A24" s="678"/>
      <c r="B24" s="678"/>
      <c r="C24" s="681"/>
      <c r="D24" s="678"/>
      <c r="E24" s="678"/>
      <c r="F24" s="681"/>
      <c r="G24" s="678"/>
      <c r="H24" s="534" t="s">
        <v>987</v>
      </c>
      <c r="I24" s="678"/>
      <c r="J24" s="678"/>
      <c r="K24" s="678"/>
      <c r="L24" s="678"/>
      <c r="M24" s="678"/>
      <c r="N24" s="678"/>
      <c r="O24" s="678"/>
      <c r="P24" s="678"/>
      <c r="Q24" s="678"/>
      <c r="R24" s="678"/>
      <c r="S24" s="678"/>
      <c r="T24" s="534"/>
    </row>
    <row r="25" spans="1:20">
      <c r="A25" s="678"/>
      <c r="B25" s="678"/>
      <c r="C25" s="681"/>
      <c r="D25" s="678"/>
      <c r="E25" s="678"/>
      <c r="F25" s="681"/>
      <c r="G25" s="678"/>
      <c r="H25" s="534" t="s">
        <v>988</v>
      </c>
      <c r="I25" s="678"/>
      <c r="J25" s="678"/>
      <c r="K25" s="678"/>
      <c r="L25" s="678"/>
      <c r="M25" s="678"/>
      <c r="N25" s="678"/>
      <c r="O25" s="678"/>
      <c r="P25" s="678"/>
      <c r="Q25" s="678"/>
      <c r="R25" s="678"/>
      <c r="S25" s="678"/>
      <c r="T25" s="534"/>
    </row>
    <row r="26" spans="1:20">
      <c r="A26" s="679"/>
      <c r="B26" s="679"/>
      <c r="C26" s="682"/>
      <c r="D26" s="679"/>
      <c r="E26" s="679"/>
      <c r="F26" s="682"/>
      <c r="G26" s="679"/>
      <c r="H26" s="535" t="s">
        <v>989</v>
      </c>
      <c r="I26" s="679"/>
      <c r="J26" s="679"/>
      <c r="K26" s="679"/>
      <c r="L26" s="679"/>
      <c r="M26" s="679"/>
      <c r="N26" s="679"/>
      <c r="O26" s="679"/>
      <c r="P26" s="679"/>
      <c r="Q26" s="679"/>
      <c r="R26" s="679"/>
      <c r="S26" s="679"/>
      <c r="T26" s="535"/>
    </row>
    <row r="27" spans="1:20">
      <c r="A27" s="677" t="s">
        <v>998</v>
      </c>
      <c r="B27" s="677" t="s">
        <v>999</v>
      </c>
      <c r="C27" s="680">
        <v>17100</v>
      </c>
      <c r="D27" s="677" t="s">
        <v>1000</v>
      </c>
      <c r="E27" s="677">
        <v>10025</v>
      </c>
      <c r="F27" s="680" t="s">
        <v>1001</v>
      </c>
      <c r="G27" s="677" t="s">
        <v>949</v>
      </c>
      <c r="H27" s="533" t="s">
        <v>1002</v>
      </c>
      <c r="I27" s="677" t="s">
        <v>1006</v>
      </c>
      <c r="J27" s="677" t="s">
        <v>357</v>
      </c>
      <c r="K27" s="677" t="s">
        <v>962</v>
      </c>
      <c r="L27" s="677" t="s">
        <v>963</v>
      </c>
      <c r="M27" s="677" t="s">
        <v>357</v>
      </c>
      <c r="N27" s="677" t="s">
        <v>964</v>
      </c>
      <c r="O27" s="677" t="s">
        <v>964</v>
      </c>
      <c r="P27" s="677" t="s">
        <v>622</v>
      </c>
      <c r="Q27" s="677" t="s">
        <v>622</v>
      </c>
      <c r="R27" s="677" t="s">
        <v>964</v>
      </c>
      <c r="S27" s="677"/>
      <c r="T27" s="680" t="s">
        <v>1007</v>
      </c>
    </row>
    <row r="28" spans="1:20">
      <c r="A28" s="678"/>
      <c r="B28" s="678"/>
      <c r="C28" s="681"/>
      <c r="D28" s="678"/>
      <c r="E28" s="678"/>
      <c r="F28" s="681"/>
      <c r="G28" s="678"/>
      <c r="H28" s="534" t="s">
        <v>1003</v>
      </c>
      <c r="I28" s="678"/>
      <c r="J28" s="678"/>
      <c r="K28" s="678"/>
      <c r="L28" s="678"/>
      <c r="M28" s="678"/>
      <c r="N28" s="678"/>
      <c r="O28" s="678"/>
      <c r="P28" s="678"/>
      <c r="Q28" s="678"/>
      <c r="R28" s="678"/>
      <c r="S28" s="678"/>
      <c r="T28" s="681"/>
    </row>
    <row r="29" spans="1:20">
      <c r="A29" s="678"/>
      <c r="B29" s="678"/>
      <c r="C29" s="681"/>
      <c r="D29" s="678"/>
      <c r="E29" s="678"/>
      <c r="F29" s="681"/>
      <c r="G29" s="678"/>
      <c r="H29" s="534" t="s">
        <v>1004</v>
      </c>
      <c r="I29" s="678"/>
      <c r="J29" s="678"/>
      <c r="K29" s="678"/>
      <c r="L29" s="678"/>
      <c r="M29" s="678"/>
      <c r="N29" s="678"/>
      <c r="O29" s="678"/>
      <c r="P29" s="678"/>
      <c r="Q29" s="678"/>
      <c r="R29" s="678"/>
      <c r="S29" s="678"/>
      <c r="T29" s="681"/>
    </row>
    <row r="30" spans="1:20">
      <c r="A30" s="678"/>
      <c r="B30" s="678"/>
      <c r="C30" s="681"/>
      <c r="D30" s="678"/>
      <c r="E30" s="678"/>
      <c r="F30" s="681"/>
      <c r="G30" s="678"/>
      <c r="H30" s="534"/>
      <c r="I30" s="678"/>
      <c r="J30" s="678"/>
      <c r="K30" s="678"/>
      <c r="L30" s="678"/>
      <c r="M30" s="678"/>
      <c r="N30" s="678"/>
      <c r="O30" s="678"/>
      <c r="P30" s="678"/>
      <c r="Q30" s="678"/>
      <c r="R30" s="678"/>
      <c r="S30" s="678"/>
      <c r="T30" s="681"/>
    </row>
    <row r="31" spans="1:20">
      <c r="A31" s="679"/>
      <c r="B31" s="679"/>
      <c r="C31" s="682"/>
      <c r="D31" s="679"/>
      <c r="E31" s="679"/>
      <c r="F31" s="682"/>
      <c r="G31" s="679"/>
      <c r="H31" s="535" t="s">
        <v>1005</v>
      </c>
      <c r="I31" s="679"/>
      <c r="J31" s="679"/>
      <c r="K31" s="679"/>
      <c r="L31" s="679"/>
      <c r="M31" s="679"/>
      <c r="N31" s="679"/>
      <c r="O31" s="679"/>
      <c r="P31" s="679"/>
      <c r="Q31" s="679"/>
      <c r="R31" s="679"/>
      <c r="S31" s="679"/>
      <c r="T31" s="682"/>
    </row>
    <row r="32" spans="1:20" ht="28.8" customHeight="1">
      <c r="A32" s="677" t="s">
        <v>1008</v>
      </c>
      <c r="B32" s="677" t="s">
        <v>1009</v>
      </c>
      <c r="C32" s="680">
        <v>17100</v>
      </c>
      <c r="D32" s="677" t="s">
        <v>1010</v>
      </c>
      <c r="E32" s="677">
        <v>10025</v>
      </c>
      <c r="F32" s="680" t="s">
        <v>1011</v>
      </c>
      <c r="G32" s="677" t="s">
        <v>949</v>
      </c>
      <c r="H32" s="533">
        <v>3000</v>
      </c>
      <c r="I32" s="677" t="s">
        <v>1014</v>
      </c>
      <c r="J32" s="677" t="s">
        <v>1015</v>
      </c>
      <c r="K32" s="677" t="s">
        <v>1016</v>
      </c>
      <c r="L32" s="677" t="s">
        <v>963</v>
      </c>
      <c r="M32" s="677" t="s">
        <v>357</v>
      </c>
      <c r="N32" s="677" t="s">
        <v>964</v>
      </c>
      <c r="O32" s="677" t="s">
        <v>964</v>
      </c>
      <c r="P32" s="677" t="s">
        <v>622</v>
      </c>
      <c r="Q32" s="677" t="s">
        <v>622</v>
      </c>
      <c r="R32" s="677" t="s">
        <v>964</v>
      </c>
      <c r="S32" s="677"/>
      <c r="T32" s="680" t="s">
        <v>1017</v>
      </c>
    </row>
    <row r="33" spans="1:20">
      <c r="A33" s="678"/>
      <c r="B33" s="678"/>
      <c r="C33" s="681"/>
      <c r="D33" s="678"/>
      <c r="E33" s="678"/>
      <c r="F33" s="681"/>
      <c r="G33" s="678"/>
      <c r="H33" s="534"/>
      <c r="I33" s="678"/>
      <c r="J33" s="678"/>
      <c r="K33" s="678"/>
      <c r="L33" s="678"/>
      <c r="M33" s="678"/>
      <c r="N33" s="678"/>
      <c r="O33" s="678"/>
      <c r="P33" s="678"/>
      <c r="Q33" s="678"/>
      <c r="R33" s="678"/>
      <c r="S33" s="678"/>
      <c r="T33" s="681"/>
    </row>
    <row r="34" spans="1:20">
      <c r="A34" s="678"/>
      <c r="B34" s="678"/>
      <c r="C34" s="681"/>
      <c r="D34" s="678"/>
      <c r="E34" s="678"/>
      <c r="F34" s="681"/>
      <c r="G34" s="678"/>
      <c r="H34" s="534" t="s">
        <v>1012</v>
      </c>
      <c r="I34" s="678"/>
      <c r="J34" s="678"/>
      <c r="K34" s="678"/>
      <c r="L34" s="678"/>
      <c r="M34" s="678"/>
      <c r="N34" s="678"/>
      <c r="O34" s="678"/>
      <c r="P34" s="678"/>
      <c r="Q34" s="678"/>
      <c r="R34" s="678"/>
      <c r="S34" s="678"/>
      <c r="T34" s="681"/>
    </row>
    <row r="35" spans="1:20">
      <c r="A35" s="678"/>
      <c r="B35" s="678"/>
      <c r="C35" s="681"/>
      <c r="D35" s="678"/>
      <c r="E35" s="678"/>
      <c r="F35" s="681"/>
      <c r="G35" s="678"/>
      <c r="H35" s="534"/>
      <c r="I35" s="678"/>
      <c r="J35" s="678"/>
      <c r="K35" s="678"/>
      <c r="L35" s="678"/>
      <c r="M35" s="678"/>
      <c r="N35" s="678"/>
      <c r="O35" s="678"/>
      <c r="P35" s="678"/>
      <c r="Q35" s="678"/>
      <c r="R35" s="678"/>
      <c r="S35" s="678"/>
      <c r="T35" s="681"/>
    </row>
    <row r="36" spans="1:20">
      <c r="A36" s="679"/>
      <c r="B36" s="679"/>
      <c r="C36" s="682"/>
      <c r="D36" s="679"/>
      <c r="E36" s="679"/>
      <c r="F36" s="682"/>
      <c r="G36" s="679"/>
      <c r="H36" s="535" t="s">
        <v>1013</v>
      </c>
      <c r="I36" s="679"/>
      <c r="J36" s="679"/>
      <c r="K36" s="679"/>
      <c r="L36" s="679"/>
      <c r="M36" s="679"/>
      <c r="N36" s="679"/>
      <c r="O36" s="679"/>
      <c r="P36" s="679"/>
      <c r="Q36" s="679"/>
      <c r="R36" s="679"/>
      <c r="S36" s="679"/>
      <c r="T36" s="682"/>
    </row>
    <row r="37" spans="1:20" ht="28.8">
      <c r="A37" s="536" t="s">
        <v>1018</v>
      </c>
      <c r="B37" s="536" t="s">
        <v>1019</v>
      </c>
      <c r="C37" s="537">
        <v>17100</v>
      </c>
      <c r="D37" s="536" t="s">
        <v>1020</v>
      </c>
      <c r="E37" s="536">
        <v>10025</v>
      </c>
      <c r="F37" s="537" t="s">
        <v>1021</v>
      </c>
      <c r="G37" s="536" t="s">
        <v>1022</v>
      </c>
      <c r="H37" s="537" t="s">
        <v>1023</v>
      </c>
      <c r="I37" s="536"/>
      <c r="J37" s="536"/>
      <c r="K37" s="536"/>
      <c r="L37" s="536"/>
      <c r="M37" s="536"/>
      <c r="N37" s="536"/>
      <c r="O37" s="536"/>
      <c r="P37" s="536"/>
      <c r="Q37" s="536"/>
      <c r="R37" s="536"/>
      <c r="S37" s="536"/>
      <c r="T37" s="537" t="s">
        <v>1024</v>
      </c>
    </row>
    <row r="38" spans="1:20">
      <c r="A38" s="677" t="s">
        <v>1025</v>
      </c>
      <c r="B38" s="677" t="s">
        <v>1026</v>
      </c>
      <c r="C38" s="680">
        <v>17100</v>
      </c>
      <c r="D38" s="677" t="s">
        <v>1027</v>
      </c>
      <c r="E38" s="677">
        <v>10025</v>
      </c>
      <c r="F38" s="680" t="s">
        <v>1028</v>
      </c>
      <c r="G38" s="677" t="s">
        <v>1029</v>
      </c>
      <c r="H38" s="533" t="s">
        <v>1030</v>
      </c>
      <c r="I38" s="677"/>
      <c r="J38" s="677"/>
      <c r="K38" s="677"/>
      <c r="L38" s="677"/>
      <c r="M38" s="677"/>
      <c r="N38" s="677"/>
      <c r="O38" s="677"/>
      <c r="P38" s="677"/>
      <c r="Q38" s="677"/>
      <c r="R38" s="677"/>
      <c r="S38" s="677"/>
      <c r="T38" s="680" t="s">
        <v>955</v>
      </c>
    </row>
    <row r="39" spans="1:20">
      <c r="A39" s="678"/>
      <c r="B39" s="678"/>
      <c r="C39" s="681"/>
      <c r="D39" s="678"/>
      <c r="E39" s="678"/>
      <c r="F39" s="681"/>
      <c r="G39" s="678"/>
      <c r="H39" s="534" t="s">
        <v>1031</v>
      </c>
      <c r="I39" s="678"/>
      <c r="J39" s="678"/>
      <c r="K39" s="678"/>
      <c r="L39" s="678"/>
      <c r="M39" s="678"/>
      <c r="N39" s="678"/>
      <c r="O39" s="678"/>
      <c r="P39" s="678"/>
      <c r="Q39" s="678"/>
      <c r="R39" s="678"/>
      <c r="S39" s="678"/>
      <c r="T39" s="681"/>
    </row>
    <row r="40" spans="1:20">
      <c r="A40" s="678"/>
      <c r="B40" s="678"/>
      <c r="C40" s="681"/>
      <c r="D40" s="678"/>
      <c r="E40" s="678"/>
      <c r="F40" s="681"/>
      <c r="G40" s="678"/>
      <c r="H40" s="534"/>
      <c r="I40" s="678"/>
      <c r="J40" s="678"/>
      <c r="K40" s="678"/>
      <c r="L40" s="678"/>
      <c r="M40" s="678"/>
      <c r="N40" s="678"/>
      <c r="O40" s="678"/>
      <c r="P40" s="678"/>
      <c r="Q40" s="678"/>
      <c r="R40" s="678"/>
      <c r="S40" s="678"/>
      <c r="T40" s="681"/>
    </row>
    <row r="41" spans="1:20">
      <c r="A41" s="679"/>
      <c r="B41" s="679"/>
      <c r="C41" s="682"/>
      <c r="D41" s="679"/>
      <c r="E41" s="679"/>
      <c r="F41" s="682"/>
      <c r="G41" s="679"/>
      <c r="H41" s="535" t="s">
        <v>1032</v>
      </c>
      <c r="I41" s="679"/>
      <c r="J41" s="679"/>
      <c r="K41" s="679"/>
      <c r="L41" s="679"/>
      <c r="M41" s="679"/>
      <c r="N41" s="679"/>
      <c r="O41" s="679"/>
      <c r="P41" s="679"/>
      <c r="Q41" s="679"/>
      <c r="R41" s="679"/>
      <c r="S41" s="679"/>
      <c r="T41" s="682"/>
    </row>
    <row r="42" spans="1:20" ht="28.8" customHeight="1">
      <c r="A42" s="677" t="s">
        <v>1033</v>
      </c>
      <c r="B42" s="677" t="s">
        <v>1034</v>
      </c>
      <c r="C42" s="680">
        <v>17440</v>
      </c>
      <c r="D42" s="677" t="s">
        <v>1035</v>
      </c>
      <c r="E42" s="677">
        <v>10025</v>
      </c>
      <c r="F42" s="680">
        <v>55</v>
      </c>
      <c r="G42" s="677" t="s">
        <v>1029</v>
      </c>
      <c r="H42" s="533" t="s">
        <v>1036</v>
      </c>
      <c r="I42" s="677"/>
      <c r="J42" s="677"/>
      <c r="K42" s="677"/>
      <c r="L42" s="677"/>
      <c r="M42" s="677"/>
      <c r="N42" s="677"/>
      <c r="O42" s="677"/>
      <c r="P42" s="677"/>
      <c r="Q42" s="677"/>
      <c r="R42" s="677"/>
      <c r="S42" s="677"/>
      <c r="T42" s="680" t="s">
        <v>955</v>
      </c>
    </row>
    <row r="43" spans="1:20">
      <c r="A43" s="678"/>
      <c r="B43" s="678"/>
      <c r="C43" s="681"/>
      <c r="D43" s="678"/>
      <c r="E43" s="678"/>
      <c r="F43" s="681"/>
      <c r="G43" s="678"/>
      <c r="H43" s="534"/>
      <c r="I43" s="678"/>
      <c r="J43" s="678"/>
      <c r="K43" s="678"/>
      <c r="L43" s="678"/>
      <c r="M43" s="678"/>
      <c r="N43" s="678"/>
      <c r="O43" s="678"/>
      <c r="P43" s="678"/>
      <c r="Q43" s="678"/>
      <c r="R43" s="678"/>
      <c r="S43" s="678"/>
      <c r="T43" s="681"/>
    </row>
    <row r="44" spans="1:20">
      <c r="A44" s="679"/>
      <c r="B44" s="679"/>
      <c r="C44" s="682"/>
      <c r="D44" s="679"/>
      <c r="E44" s="679"/>
      <c r="F44" s="682"/>
      <c r="G44" s="679"/>
      <c r="H44" s="535" t="s">
        <v>1037</v>
      </c>
      <c r="I44" s="679"/>
      <c r="J44" s="679"/>
      <c r="K44" s="679"/>
      <c r="L44" s="679"/>
      <c r="M44" s="679"/>
      <c r="N44" s="679"/>
      <c r="O44" s="679"/>
      <c r="P44" s="679"/>
      <c r="Q44" s="679"/>
      <c r="R44" s="679"/>
      <c r="S44" s="679"/>
      <c r="T44" s="682"/>
    </row>
    <row r="45" spans="1:20" ht="57.6">
      <c r="A45" s="536" t="s">
        <v>1038</v>
      </c>
      <c r="B45" s="536" t="s">
        <v>1039</v>
      </c>
      <c r="C45" s="537"/>
      <c r="D45" s="536" t="s">
        <v>1040</v>
      </c>
      <c r="E45" s="536">
        <v>10025</v>
      </c>
      <c r="F45" s="537"/>
      <c r="G45" s="536"/>
      <c r="H45" s="537" t="s">
        <v>1041</v>
      </c>
      <c r="I45" s="536"/>
      <c r="J45" s="536"/>
      <c r="K45" s="536"/>
      <c r="L45" s="536"/>
      <c r="M45" s="536"/>
      <c r="N45" s="536"/>
      <c r="O45" s="536"/>
      <c r="P45" s="536"/>
      <c r="Q45" s="536"/>
      <c r="R45" s="536"/>
      <c r="S45" s="536"/>
      <c r="T45" s="537" t="s">
        <v>1042</v>
      </c>
    </row>
    <row r="46" spans="1:20">
      <c r="A46" s="536" t="s">
        <v>1043</v>
      </c>
      <c r="B46" s="536" t="s">
        <v>1044</v>
      </c>
      <c r="C46" s="537"/>
      <c r="D46" s="536" t="s">
        <v>1045</v>
      </c>
      <c r="E46" s="536">
        <v>10025</v>
      </c>
      <c r="F46" s="537"/>
      <c r="G46" s="536"/>
      <c r="H46" s="537"/>
      <c r="I46" s="536"/>
      <c r="J46" s="536"/>
      <c r="K46" s="536"/>
      <c r="L46" s="536"/>
      <c r="M46" s="536"/>
      <c r="N46" s="536"/>
      <c r="O46" s="536"/>
      <c r="P46" s="536"/>
      <c r="Q46" s="536"/>
      <c r="R46" s="536"/>
      <c r="S46" s="536"/>
      <c r="T46" s="537" t="s">
        <v>1046</v>
      </c>
    </row>
    <row r="47" spans="1:20">
      <c r="A47" s="677" t="s">
        <v>1047</v>
      </c>
      <c r="B47" s="677" t="s">
        <v>1048</v>
      </c>
      <c r="C47" s="680">
        <v>17119</v>
      </c>
      <c r="D47" s="677" t="s">
        <v>1049</v>
      </c>
      <c r="E47" s="677">
        <v>10025</v>
      </c>
      <c r="F47" s="680" t="s">
        <v>1050</v>
      </c>
      <c r="G47" s="677"/>
      <c r="H47" s="533" t="s">
        <v>1051</v>
      </c>
      <c r="I47" s="677" t="s">
        <v>1054</v>
      </c>
      <c r="J47" s="677"/>
      <c r="K47" s="677"/>
      <c r="L47" s="677" t="s">
        <v>963</v>
      </c>
      <c r="M47" s="677" t="s">
        <v>1055</v>
      </c>
      <c r="N47" s="677"/>
      <c r="O47" s="677"/>
      <c r="P47" s="677"/>
      <c r="Q47" s="677"/>
      <c r="R47" s="677"/>
      <c r="S47" s="677"/>
      <c r="T47" s="533" t="s">
        <v>1056</v>
      </c>
    </row>
    <row r="48" spans="1:20">
      <c r="A48" s="678"/>
      <c r="B48" s="678"/>
      <c r="C48" s="681"/>
      <c r="D48" s="678"/>
      <c r="E48" s="678"/>
      <c r="F48" s="681"/>
      <c r="G48" s="678"/>
      <c r="H48" s="534" t="s">
        <v>1052</v>
      </c>
      <c r="I48" s="678"/>
      <c r="J48" s="678"/>
      <c r="K48" s="678"/>
      <c r="L48" s="678"/>
      <c r="M48" s="678"/>
      <c r="N48" s="678"/>
      <c r="O48" s="678"/>
      <c r="P48" s="678"/>
      <c r="Q48" s="678"/>
      <c r="R48" s="678"/>
      <c r="S48" s="678"/>
      <c r="T48" s="534"/>
    </row>
    <row r="49" spans="1:20">
      <c r="A49" s="679"/>
      <c r="B49" s="679"/>
      <c r="C49" s="682"/>
      <c r="D49" s="679"/>
      <c r="E49" s="679"/>
      <c r="F49" s="682"/>
      <c r="G49" s="679"/>
      <c r="H49" s="535" t="s">
        <v>1053</v>
      </c>
      <c r="I49" s="679"/>
      <c r="J49" s="679"/>
      <c r="K49" s="679"/>
      <c r="L49" s="679"/>
      <c r="M49" s="679"/>
      <c r="N49" s="679"/>
      <c r="O49" s="679"/>
      <c r="P49" s="679"/>
      <c r="Q49" s="679"/>
      <c r="R49" s="679"/>
      <c r="S49" s="679"/>
      <c r="T49" s="539" t="s">
        <v>997</v>
      </c>
    </row>
    <row r="50" spans="1:20">
      <c r="A50" s="536" t="s">
        <v>1057</v>
      </c>
      <c r="B50" s="536" t="s">
        <v>1058</v>
      </c>
      <c r="C50" s="540">
        <v>1319257</v>
      </c>
      <c r="D50" s="536" t="s">
        <v>1059</v>
      </c>
      <c r="E50" s="536">
        <v>10025</v>
      </c>
      <c r="F50" s="537"/>
      <c r="G50" s="536"/>
      <c r="H50" s="537"/>
      <c r="I50" s="536"/>
      <c r="J50" s="536"/>
      <c r="K50" s="536"/>
      <c r="L50" s="536"/>
      <c r="M50" s="536"/>
      <c r="N50" s="536"/>
      <c r="O50" s="536"/>
      <c r="P50" s="536"/>
      <c r="Q50" s="536"/>
      <c r="R50" s="536"/>
      <c r="S50" s="536"/>
      <c r="T50" s="537" t="s">
        <v>1056</v>
      </c>
    </row>
    <row r="51" spans="1:20" ht="28.8">
      <c r="A51" s="536" t="s">
        <v>1060</v>
      </c>
      <c r="B51" s="536" t="s">
        <v>1061</v>
      </c>
      <c r="C51" s="537">
        <v>2393</v>
      </c>
      <c r="D51" s="536" t="s">
        <v>1062</v>
      </c>
      <c r="E51" s="536">
        <v>10025</v>
      </c>
      <c r="F51" s="537" t="s">
        <v>968</v>
      </c>
      <c r="G51" s="536" t="s">
        <v>969</v>
      </c>
      <c r="H51" s="537"/>
      <c r="I51" s="536" t="s">
        <v>1063</v>
      </c>
      <c r="J51" s="536" t="s">
        <v>1064</v>
      </c>
      <c r="K51" s="536" t="s">
        <v>1065</v>
      </c>
      <c r="L51" s="536" t="s">
        <v>357</v>
      </c>
      <c r="M51" s="536" t="s">
        <v>357</v>
      </c>
      <c r="N51" s="536" t="s">
        <v>964</v>
      </c>
      <c r="O51" s="536" t="s">
        <v>964</v>
      </c>
      <c r="P51" s="536" t="s">
        <v>622</v>
      </c>
      <c r="Q51" s="536" t="s">
        <v>622</v>
      </c>
      <c r="R51" s="536" t="s">
        <v>622</v>
      </c>
      <c r="S51" s="536" t="s">
        <v>1066</v>
      </c>
      <c r="T51" s="537" t="s">
        <v>955</v>
      </c>
    </row>
    <row r="52" spans="1:20" ht="28.8">
      <c r="A52" s="536" t="s">
        <v>1067</v>
      </c>
      <c r="B52" s="536" t="s">
        <v>1068</v>
      </c>
      <c r="C52" s="537"/>
      <c r="D52" s="536" t="s">
        <v>1069</v>
      </c>
      <c r="E52" s="536">
        <v>10025</v>
      </c>
      <c r="F52" s="537"/>
      <c r="G52" s="536"/>
      <c r="H52" s="537"/>
      <c r="I52" s="536"/>
      <c r="J52" s="536"/>
      <c r="K52" s="536"/>
      <c r="L52" s="536"/>
      <c r="M52" s="536"/>
      <c r="N52" s="536"/>
      <c r="O52" s="536"/>
      <c r="P52" s="536"/>
      <c r="Q52" s="536"/>
      <c r="R52" s="536"/>
      <c r="S52" s="536"/>
      <c r="T52" s="537" t="s">
        <v>1070</v>
      </c>
    </row>
    <row r="53" spans="1:20" ht="28.8">
      <c r="A53" s="536" t="s">
        <v>1071</v>
      </c>
      <c r="B53" s="536" t="s">
        <v>1072</v>
      </c>
      <c r="C53" s="537"/>
      <c r="D53" s="536" t="s">
        <v>1073</v>
      </c>
      <c r="E53" s="536">
        <v>10025</v>
      </c>
      <c r="F53" s="537"/>
      <c r="G53" s="536"/>
      <c r="H53" s="537"/>
      <c r="I53" s="536"/>
      <c r="J53" s="536"/>
      <c r="K53" s="536"/>
      <c r="L53" s="536"/>
      <c r="M53" s="536"/>
      <c r="N53" s="536"/>
      <c r="O53" s="536"/>
      <c r="P53" s="536"/>
      <c r="Q53" s="536"/>
      <c r="R53" s="536"/>
      <c r="S53" s="536"/>
      <c r="T53" s="537" t="s">
        <v>1070</v>
      </c>
    </row>
    <row r="54" spans="1:20" ht="43.2" customHeight="1">
      <c r="A54" s="677" t="s">
        <v>1074</v>
      </c>
      <c r="B54" s="677" t="s">
        <v>1075</v>
      </c>
      <c r="C54" s="680">
        <v>17119</v>
      </c>
      <c r="D54" s="677" t="s">
        <v>1076</v>
      </c>
      <c r="E54" s="677">
        <v>10025</v>
      </c>
      <c r="F54" s="680" t="s">
        <v>1077</v>
      </c>
      <c r="G54" s="677" t="s">
        <v>949</v>
      </c>
      <c r="H54" s="533" t="s">
        <v>1078</v>
      </c>
      <c r="I54" s="677" t="s">
        <v>1014</v>
      </c>
      <c r="J54" s="677" t="s">
        <v>1015</v>
      </c>
      <c r="K54" s="677" t="s">
        <v>1016</v>
      </c>
      <c r="L54" s="677" t="s">
        <v>963</v>
      </c>
      <c r="M54" s="677" t="s">
        <v>357</v>
      </c>
      <c r="N54" s="677" t="s">
        <v>964</v>
      </c>
      <c r="O54" s="677" t="s">
        <v>964</v>
      </c>
      <c r="P54" s="677" t="s">
        <v>622</v>
      </c>
      <c r="Q54" s="677" t="s">
        <v>622</v>
      </c>
      <c r="R54" s="677" t="s">
        <v>622</v>
      </c>
      <c r="S54" s="677" t="s">
        <v>964</v>
      </c>
      <c r="T54" s="680" t="s">
        <v>1080</v>
      </c>
    </row>
    <row r="55" spans="1:20">
      <c r="A55" s="678"/>
      <c r="B55" s="678"/>
      <c r="C55" s="681"/>
      <c r="D55" s="678"/>
      <c r="E55" s="678"/>
      <c r="F55" s="681"/>
      <c r="G55" s="678"/>
      <c r="H55" s="534" t="s">
        <v>1012</v>
      </c>
      <c r="I55" s="678"/>
      <c r="J55" s="678"/>
      <c r="K55" s="678"/>
      <c r="L55" s="678"/>
      <c r="M55" s="678"/>
      <c r="N55" s="678"/>
      <c r="O55" s="678"/>
      <c r="P55" s="678"/>
      <c r="Q55" s="678"/>
      <c r="R55" s="678"/>
      <c r="S55" s="678"/>
      <c r="T55" s="681"/>
    </row>
    <row r="56" spans="1:20">
      <c r="A56" s="678"/>
      <c r="B56" s="678"/>
      <c r="C56" s="681"/>
      <c r="D56" s="678"/>
      <c r="E56" s="678"/>
      <c r="F56" s="681"/>
      <c r="G56" s="678"/>
      <c r="H56" s="534"/>
      <c r="I56" s="678"/>
      <c r="J56" s="678"/>
      <c r="K56" s="678"/>
      <c r="L56" s="678"/>
      <c r="M56" s="678"/>
      <c r="N56" s="678"/>
      <c r="O56" s="678"/>
      <c r="P56" s="678"/>
      <c r="Q56" s="678"/>
      <c r="R56" s="678"/>
      <c r="S56" s="678"/>
      <c r="T56" s="681"/>
    </row>
    <row r="57" spans="1:20">
      <c r="A57" s="679"/>
      <c r="B57" s="679"/>
      <c r="C57" s="682"/>
      <c r="D57" s="679"/>
      <c r="E57" s="679"/>
      <c r="F57" s="682"/>
      <c r="G57" s="679"/>
      <c r="H57" s="535" t="s">
        <v>1079</v>
      </c>
      <c r="I57" s="679"/>
      <c r="J57" s="679"/>
      <c r="K57" s="679"/>
      <c r="L57" s="679"/>
      <c r="M57" s="679"/>
      <c r="N57" s="679"/>
      <c r="O57" s="679"/>
      <c r="P57" s="679"/>
      <c r="Q57" s="679"/>
      <c r="R57" s="679"/>
      <c r="S57" s="679"/>
      <c r="T57" s="682"/>
    </row>
    <row r="58" spans="1:20" ht="28.8">
      <c r="A58" s="536" t="s">
        <v>1081</v>
      </c>
      <c r="B58" s="536" t="s">
        <v>1082</v>
      </c>
      <c r="C58" s="537"/>
      <c r="D58" s="536" t="s">
        <v>1083</v>
      </c>
      <c r="E58" s="536" t="s">
        <v>1084</v>
      </c>
      <c r="F58" s="537"/>
      <c r="G58" s="536"/>
      <c r="H58" s="537"/>
      <c r="I58" s="536"/>
      <c r="J58" s="536"/>
      <c r="K58" s="536"/>
      <c r="L58" s="536"/>
      <c r="M58" s="536"/>
      <c r="N58" s="536"/>
      <c r="O58" s="536"/>
      <c r="P58" s="536"/>
      <c r="Q58" s="536"/>
      <c r="R58" s="536"/>
      <c r="S58" s="536"/>
      <c r="T58" s="537" t="s">
        <v>1085</v>
      </c>
    </row>
    <row r="59" spans="1:20" ht="28.8">
      <c r="A59" s="536" t="s">
        <v>1086</v>
      </c>
      <c r="B59" s="536" t="s">
        <v>1087</v>
      </c>
      <c r="C59" s="537">
        <v>17100</v>
      </c>
      <c r="D59" s="536" t="s">
        <v>1088</v>
      </c>
      <c r="E59" s="536">
        <v>10025</v>
      </c>
      <c r="F59" s="537"/>
      <c r="G59" s="536"/>
      <c r="H59" s="537" t="s">
        <v>1089</v>
      </c>
      <c r="I59" s="536"/>
      <c r="J59" s="536"/>
      <c r="K59" s="536"/>
      <c r="L59" s="536"/>
      <c r="M59" s="536"/>
      <c r="N59" s="536"/>
      <c r="O59" s="536"/>
      <c r="P59" s="536"/>
      <c r="Q59" s="536"/>
      <c r="R59" s="536"/>
      <c r="S59" s="536"/>
      <c r="T59" s="537" t="s">
        <v>1090</v>
      </c>
    </row>
    <row r="60" spans="1:20" ht="28.8">
      <c r="A60" s="536" t="s">
        <v>1091</v>
      </c>
      <c r="B60" s="536" t="s">
        <v>1092</v>
      </c>
      <c r="C60" s="537"/>
      <c r="D60" s="536" t="s">
        <v>1093</v>
      </c>
      <c r="E60" s="536">
        <v>10025</v>
      </c>
      <c r="F60" s="537"/>
      <c r="G60" s="536"/>
      <c r="H60" s="537"/>
      <c r="I60" s="536"/>
      <c r="J60" s="536"/>
      <c r="K60" s="536"/>
      <c r="L60" s="536"/>
      <c r="M60" s="536"/>
      <c r="N60" s="536"/>
      <c r="O60" s="536"/>
      <c r="P60" s="536"/>
      <c r="Q60" s="536"/>
      <c r="R60" s="536"/>
      <c r="S60" s="536"/>
      <c r="T60" s="537" t="s">
        <v>1094</v>
      </c>
    </row>
    <row r="61" spans="1:20" ht="28.8">
      <c r="A61" s="536" t="s">
        <v>1095</v>
      </c>
      <c r="B61" s="536" t="s">
        <v>1096</v>
      </c>
      <c r="C61" s="537"/>
      <c r="D61" s="536" t="s">
        <v>1097</v>
      </c>
      <c r="E61" s="536">
        <v>10025</v>
      </c>
      <c r="F61" s="537" t="s">
        <v>1098</v>
      </c>
      <c r="G61" s="536" t="s">
        <v>1099</v>
      </c>
      <c r="H61" s="537" t="s">
        <v>1089</v>
      </c>
      <c r="I61" s="536"/>
      <c r="J61" s="536"/>
      <c r="K61" s="536"/>
      <c r="L61" s="536"/>
      <c r="M61" s="536"/>
      <c r="N61" s="536"/>
      <c r="O61" s="536"/>
      <c r="P61" s="536"/>
      <c r="Q61" s="536"/>
      <c r="R61" s="536"/>
      <c r="S61" s="536"/>
      <c r="T61" s="537" t="s">
        <v>1090</v>
      </c>
    </row>
    <row r="62" spans="1:20">
      <c r="A62" s="677" t="s">
        <v>1100</v>
      </c>
      <c r="B62" s="677" t="s">
        <v>1101</v>
      </c>
      <c r="C62" s="680"/>
      <c r="D62" s="677" t="s">
        <v>1102</v>
      </c>
      <c r="E62" s="677">
        <v>10025</v>
      </c>
      <c r="F62" s="680"/>
      <c r="G62" s="677"/>
      <c r="H62" s="533" t="s">
        <v>1103</v>
      </c>
      <c r="I62" s="677"/>
      <c r="J62" s="677"/>
      <c r="K62" s="677"/>
      <c r="L62" s="677"/>
      <c r="M62" s="677"/>
      <c r="N62" s="677"/>
      <c r="O62" s="677"/>
      <c r="P62" s="677"/>
      <c r="Q62" s="677"/>
      <c r="R62" s="677"/>
      <c r="S62" s="677"/>
      <c r="T62" s="680" t="s">
        <v>1106</v>
      </c>
    </row>
    <row r="63" spans="1:20">
      <c r="A63" s="678"/>
      <c r="B63" s="678"/>
      <c r="C63" s="681"/>
      <c r="D63" s="678"/>
      <c r="E63" s="678"/>
      <c r="F63" s="681"/>
      <c r="G63" s="678"/>
      <c r="H63" s="534" t="s">
        <v>1104</v>
      </c>
      <c r="I63" s="678"/>
      <c r="J63" s="678"/>
      <c r="K63" s="678"/>
      <c r="L63" s="678"/>
      <c r="M63" s="678"/>
      <c r="N63" s="678"/>
      <c r="O63" s="678"/>
      <c r="P63" s="678"/>
      <c r="Q63" s="678"/>
      <c r="R63" s="678"/>
      <c r="S63" s="678"/>
      <c r="T63" s="681"/>
    </row>
    <row r="64" spans="1:20">
      <c r="A64" s="679"/>
      <c r="B64" s="679"/>
      <c r="C64" s="682"/>
      <c r="D64" s="679"/>
      <c r="E64" s="679"/>
      <c r="F64" s="682"/>
      <c r="G64" s="679"/>
      <c r="H64" s="535" t="s">
        <v>1105</v>
      </c>
      <c r="I64" s="679"/>
      <c r="J64" s="679"/>
      <c r="K64" s="679"/>
      <c r="L64" s="679"/>
      <c r="M64" s="679"/>
      <c r="N64" s="679"/>
      <c r="O64" s="679"/>
      <c r="P64" s="679"/>
      <c r="Q64" s="679"/>
      <c r="R64" s="679"/>
      <c r="S64" s="679"/>
      <c r="T64" s="682"/>
    </row>
    <row r="65" spans="1:20">
      <c r="A65" s="536" t="s">
        <v>1107</v>
      </c>
      <c r="B65" s="536" t="s">
        <v>1108</v>
      </c>
      <c r="C65" s="537"/>
      <c r="D65" s="536" t="s">
        <v>1109</v>
      </c>
      <c r="E65" s="536" t="s">
        <v>1084</v>
      </c>
      <c r="F65" s="537"/>
      <c r="G65" s="536"/>
      <c r="H65" s="537" t="s">
        <v>1110</v>
      </c>
      <c r="I65" s="536"/>
      <c r="J65" s="536"/>
      <c r="K65" s="536"/>
      <c r="L65" s="536"/>
      <c r="M65" s="536"/>
      <c r="N65" s="536"/>
      <c r="O65" s="536"/>
      <c r="P65" s="536"/>
      <c r="Q65" s="536"/>
      <c r="R65" s="536"/>
      <c r="S65" s="536"/>
      <c r="T65" s="537" t="s">
        <v>1106</v>
      </c>
    </row>
    <row r="66" spans="1:20" ht="28.8">
      <c r="A66" s="536" t="s">
        <v>1111</v>
      </c>
      <c r="B66" s="536" t="s">
        <v>1112</v>
      </c>
      <c r="C66" s="537">
        <v>17100</v>
      </c>
      <c r="D66" s="536" t="s">
        <v>1113</v>
      </c>
      <c r="E66" s="536">
        <v>10025</v>
      </c>
      <c r="F66" s="537"/>
      <c r="G66" s="536"/>
      <c r="H66" s="537"/>
      <c r="I66" s="536"/>
      <c r="J66" s="536"/>
      <c r="K66" s="536"/>
      <c r="L66" s="536"/>
      <c r="M66" s="536"/>
      <c r="N66" s="536"/>
      <c r="O66" s="536"/>
      <c r="P66" s="536"/>
      <c r="Q66" s="536"/>
      <c r="R66" s="536"/>
      <c r="S66" s="536"/>
      <c r="T66" s="537" t="s">
        <v>1070</v>
      </c>
    </row>
    <row r="67" spans="1:20">
      <c r="A67" s="536" t="s">
        <v>1114</v>
      </c>
      <c r="B67" s="536" t="s">
        <v>1115</v>
      </c>
      <c r="C67" s="537">
        <v>17100</v>
      </c>
      <c r="D67" s="536" t="s">
        <v>1116</v>
      </c>
      <c r="E67" s="536">
        <v>10025</v>
      </c>
      <c r="F67" s="537"/>
      <c r="G67" s="536"/>
      <c r="H67" s="537"/>
      <c r="I67" s="536"/>
      <c r="J67" s="536"/>
      <c r="K67" s="536"/>
      <c r="L67" s="536"/>
      <c r="M67" s="536"/>
      <c r="N67" s="536"/>
      <c r="O67" s="536"/>
      <c r="P67" s="536"/>
      <c r="Q67" s="536"/>
      <c r="R67" s="536"/>
      <c r="S67" s="536"/>
      <c r="T67" s="537" t="s">
        <v>996</v>
      </c>
    </row>
    <row r="68" spans="1:20" ht="43.2">
      <c r="A68" s="536" t="s">
        <v>1117</v>
      </c>
      <c r="B68" s="536" t="s">
        <v>1118</v>
      </c>
      <c r="C68" s="537"/>
      <c r="D68" s="536" t="s">
        <v>1119</v>
      </c>
      <c r="E68" s="536">
        <v>10147</v>
      </c>
      <c r="F68" s="537"/>
      <c r="G68" s="536"/>
      <c r="H68" s="537"/>
      <c r="I68" s="536"/>
      <c r="J68" s="536"/>
      <c r="K68" s="536"/>
      <c r="L68" s="536"/>
      <c r="M68" s="536"/>
      <c r="N68" s="536"/>
      <c r="O68" s="536"/>
      <c r="P68" s="536"/>
      <c r="Q68" s="536"/>
      <c r="R68" s="536"/>
      <c r="S68" s="536"/>
      <c r="T68" s="537" t="s">
        <v>1120</v>
      </c>
    </row>
    <row r="69" spans="1:20" ht="43.2">
      <c r="A69" s="536" t="s">
        <v>1121</v>
      </c>
      <c r="B69" s="536" t="s">
        <v>1122</v>
      </c>
      <c r="C69" s="537"/>
      <c r="D69" s="536" t="s">
        <v>1123</v>
      </c>
      <c r="E69" s="536">
        <v>10147</v>
      </c>
      <c r="F69" s="537"/>
      <c r="G69" s="536"/>
      <c r="H69" s="537"/>
      <c r="I69" s="536"/>
      <c r="J69" s="536"/>
      <c r="K69" s="536"/>
      <c r="L69" s="536"/>
      <c r="M69" s="536"/>
      <c r="N69" s="536"/>
      <c r="O69" s="536"/>
      <c r="P69" s="536"/>
      <c r="Q69" s="536"/>
      <c r="R69" s="536"/>
      <c r="S69" s="536"/>
      <c r="T69" s="537" t="s">
        <v>1120</v>
      </c>
    </row>
    <row r="70" spans="1:20" ht="43.2">
      <c r="A70" s="536" t="s">
        <v>1124</v>
      </c>
      <c r="B70" s="536" t="s">
        <v>1125</v>
      </c>
      <c r="C70" s="537"/>
      <c r="D70" s="536" t="s">
        <v>1126</v>
      </c>
      <c r="E70" s="536">
        <v>10147</v>
      </c>
      <c r="F70" s="537"/>
      <c r="G70" s="536"/>
      <c r="H70" s="537"/>
      <c r="I70" s="536"/>
      <c r="J70" s="536"/>
      <c r="K70" s="536"/>
      <c r="L70" s="536"/>
      <c r="M70" s="536"/>
      <c r="N70" s="536"/>
      <c r="O70" s="536"/>
      <c r="P70" s="536"/>
      <c r="Q70" s="536"/>
      <c r="R70" s="536"/>
      <c r="S70" s="536"/>
      <c r="T70" s="537" t="s">
        <v>1120</v>
      </c>
    </row>
    <row r="71" spans="1:20">
      <c r="A71" s="536" t="s">
        <v>1127</v>
      </c>
      <c r="B71" s="536" t="s">
        <v>1128</v>
      </c>
      <c r="C71" s="537"/>
      <c r="D71" s="536" t="s">
        <v>1129</v>
      </c>
      <c r="E71" s="536" t="s">
        <v>1130</v>
      </c>
      <c r="F71" s="537"/>
      <c r="G71" s="536"/>
      <c r="H71" s="537"/>
      <c r="I71" s="536"/>
      <c r="J71" s="536"/>
      <c r="K71" s="536"/>
      <c r="L71" s="536"/>
      <c r="M71" s="536"/>
      <c r="N71" s="536"/>
      <c r="O71" s="536"/>
      <c r="P71" s="536"/>
      <c r="Q71" s="536"/>
      <c r="R71" s="536"/>
      <c r="S71" s="536"/>
      <c r="T71" s="537" t="s">
        <v>1131</v>
      </c>
    </row>
    <row r="72" spans="1:20">
      <c r="A72" s="536" t="s">
        <v>1132</v>
      </c>
      <c r="B72" s="536" t="s">
        <v>1133</v>
      </c>
      <c r="C72" s="537"/>
      <c r="D72" s="536" t="s">
        <v>1134</v>
      </c>
      <c r="E72" s="536">
        <v>10130</v>
      </c>
      <c r="F72" s="537"/>
      <c r="G72" s="536"/>
      <c r="H72" s="537"/>
      <c r="I72" s="536"/>
      <c r="J72" s="536"/>
      <c r="K72" s="536"/>
      <c r="L72" s="536"/>
      <c r="M72" s="536"/>
      <c r="N72" s="536"/>
      <c r="O72" s="536"/>
      <c r="P72" s="536"/>
      <c r="Q72" s="536"/>
      <c r="R72" s="536"/>
      <c r="S72" s="536"/>
      <c r="T72" s="537" t="s">
        <v>1046</v>
      </c>
    </row>
    <row r="73" spans="1:20">
      <c r="A73" s="677" t="s">
        <v>1135</v>
      </c>
      <c r="B73" s="677" t="s">
        <v>1136</v>
      </c>
      <c r="C73" s="680">
        <v>17140</v>
      </c>
      <c r="D73" s="677" t="s">
        <v>1137</v>
      </c>
      <c r="E73" s="677" t="s">
        <v>1130</v>
      </c>
      <c r="F73" s="680">
        <v>17140</v>
      </c>
      <c r="G73" s="677" t="s">
        <v>1022</v>
      </c>
      <c r="H73" s="533" t="s">
        <v>970</v>
      </c>
      <c r="I73" s="677"/>
      <c r="J73" s="677"/>
      <c r="K73" s="677"/>
      <c r="L73" s="677"/>
      <c r="M73" s="677"/>
      <c r="N73" s="677"/>
      <c r="O73" s="677"/>
      <c r="P73" s="677"/>
      <c r="Q73" s="677"/>
      <c r="R73" s="677"/>
      <c r="S73" s="677"/>
      <c r="T73" s="680" t="s">
        <v>1131</v>
      </c>
    </row>
    <row r="74" spans="1:20">
      <c r="A74" s="678"/>
      <c r="B74" s="678"/>
      <c r="C74" s="681"/>
      <c r="D74" s="678"/>
      <c r="E74" s="678"/>
      <c r="F74" s="681"/>
      <c r="G74" s="678"/>
      <c r="H74" s="534" t="s">
        <v>974</v>
      </c>
      <c r="I74" s="678"/>
      <c r="J74" s="678"/>
      <c r="K74" s="678"/>
      <c r="L74" s="678"/>
      <c r="M74" s="678"/>
      <c r="N74" s="678"/>
      <c r="O74" s="678"/>
      <c r="P74" s="678"/>
      <c r="Q74" s="678"/>
      <c r="R74" s="678"/>
      <c r="S74" s="678"/>
      <c r="T74" s="681"/>
    </row>
    <row r="75" spans="1:20">
      <c r="A75" s="678"/>
      <c r="B75" s="678"/>
      <c r="C75" s="681"/>
      <c r="D75" s="678"/>
      <c r="E75" s="678"/>
      <c r="F75" s="681"/>
      <c r="G75" s="678"/>
      <c r="H75" s="534" t="s">
        <v>975</v>
      </c>
      <c r="I75" s="678"/>
      <c r="J75" s="678"/>
      <c r="K75" s="678"/>
      <c r="L75" s="678"/>
      <c r="M75" s="678"/>
      <c r="N75" s="678"/>
      <c r="O75" s="678"/>
      <c r="P75" s="678"/>
      <c r="Q75" s="678"/>
      <c r="R75" s="678"/>
      <c r="S75" s="678"/>
      <c r="T75" s="681"/>
    </row>
    <row r="76" spans="1:20">
      <c r="A76" s="678"/>
      <c r="B76" s="678"/>
      <c r="C76" s="681"/>
      <c r="D76" s="678"/>
      <c r="E76" s="678"/>
      <c r="F76" s="681"/>
      <c r="G76" s="678"/>
      <c r="H76" s="534" t="s">
        <v>980</v>
      </c>
      <c r="I76" s="678"/>
      <c r="J76" s="678"/>
      <c r="K76" s="678"/>
      <c r="L76" s="678"/>
      <c r="M76" s="678"/>
      <c r="N76" s="678"/>
      <c r="O76" s="678"/>
      <c r="P76" s="678"/>
      <c r="Q76" s="678"/>
      <c r="R76" s="678"/>
      <c r="S76" s="678"/>
      <c r="T76" s="681"/>
    </row>
    <row r="77" spans="1:20">
      <c r="A77" s="678"/>
      <c r="B77" s="678"/>
      <c r="C77" s="681"/>
      <c r="D77" s="678"/>
      <c r="E77" s="678"/>
      <c r="F77" s="681"/>
      <c r="G77" s="678"/>
      <c r="H77" s="534" t="s">
        <v>982</v>
      </c>
      <c r="I77" s="678"/>
      <c r="J77" s="678"/>
      <c r="K77" s="678"/>
      <c r="L77" s="678"/>
      <c r="M77" s="678"/>
      <c r="N77" s="678"/>
      <c r="O77" s="678"/>
      <c r="P77" s="678"/>
      <c r="Q77" s="678"/>
      <c r="R77" s="678"/>
      <c r="S77" s="678"/>
      <c r="T77" s="681"/>
    </row>
    <row r="78" spans="1:20">
      <c r="A78" s="678"/>
      <c r="B78" s="678"/>
      <c r="C78" s="681"/>
      <c r="D78" s="678"/>
      <c r="E78" s="678"/>
      <c r="F78" s="681"/>
      <c r="G78" s="678"/>
      <c r="H78" s="534" t="s">
        <v>985</v>
      </c>
      <c r="I78" s="678"/>
      <c r="J78" s="678"/>
      <c r="K78" s="678"/>
      <c r="L78" s="678"/>
      <c r="M78" s="678"/>
      <c r="N78" s="678"/>
      <c r="O78" s="678"/>
      <c r="P78" s="678"/>
      <c r="Q78" s="678"/>
      <c r="R78" s="678"/>
      <c r="S78" s="678"/>
      <c r="T78" s="681"/>
    </row>
    <row r="79" spans="1:20">
      <c r="A79" s="678"/>
      <c r="B79" s="678"/>
      <c r="C79" s="681"/>
      <c r="D79" s="678"/>
      <c r="E79" s="678"/>
      <c r="F79" s="681"/>
      <c r="G79" s="678"/>
      <c r="H79" s="534" t="s">
        <v>988</v>
      </c>
      <c r="I79" s="678"/>
      <c r="J79" s="678"/>
      <c r="K79" s="678"/>
      <c r="L79" s="678"/>
      <c r="M79" s="678"/>
      <c r="N79" s="678"/>
      <c r="O79" s="678"/>
      <c r="P79" s="678"/>
      <c r="Q79" s="678"/>
      <c r="R79" s="678"/>
      <c r="S79" s="678"/>
      <c r="T79" s="681"/>
    </row>
    <row r="80" spans="1:20">
      <c r="A80" s="678"/>
      <c r="B80" s="678"/>
      <c r="C80" s="681"/>
      <c r="D80" s="678"/>
      <c r="E80" s="678"/>
      <c r="F80" s="681"/>
      <c r="G80" s="678"/>
      <c r="H80" s="534" t="s">
        <v>989</v>
      </c>
      <c r="I80" s="678"/>
      <c r="J80" s="678"/>
      <c r="K80" s="678"/>
      <c r="L80" s="678"/>
      <c r="M80" s="678"/>
      <c r="N80" s="678"/>
      <c r="O80" s="678"/>
      <c r="P80" s="678"/>
      <c r="Q80" s="678"/>
      <c r="R80" s="678"/>
      <c r="S80" s="678"/>
      <c r="T80" s="681"/>
    </row>
    <row r="81" spans="1:20">
      <c r="A81" s="678"/>
      <c r="B81" s="678"/>
      <c r="C81" s="681"/>
      <c r="D81" s="678"/>
      <c r="E81" s="678"/>
      <c r="F81" s="681"/>
      <c r="G81" s="678"/>
      <c r="H81" s="534"/>
      <c r="I81" s="678"/>
      <c r="J81" s="678"/>
      <c r="K81" s="678"/>
      <c r="L81" s="678"/>
      <c r="M81" s="678"/>
      <c r="N81" s="678"/>
      <c r="O81" s="678"/>
      <c r="P81" s="678"/>
      <c r="Q81" s="678"/>
      <c r="R81" s="678"/>
      <c r="S81" s="678"/>
      <c r="T81" s="681"/>
    </row>
    <row r="82" spans="1:20">
      <c r="A82" s="679"/>
      <c r="B82" s="679"/>
      <c r="C82" s="682"/>
      <c r="D82" s="679"/>
      <c r="E82" s="679"/>
      <c r="F82" s="682"/>
      <c r="G82" s="679"/>
      <c r="H82" s="535">
        <v>1006</v>
      </c>
      <c r="I82" s="679"/>
      <c r="J82" s="679"/>
      <c r="K82" s="679"/>
      <c r="L82" s="679"/>
      <c r="M82" s="679"/>
      <c r="N82" s="679"/>
      <c r="O82" s="679"/>
      <c r="P82" s="679"/>
      <c r="Q82" s="679"/>
      <c r="R82" s="679"/>
      <c r="S82" s="679"/>
      <c r="T82" s="682"/>
    </row>
    <row r="83" spans="1:20">
      <c r="A83" s="536" t="s">
        <v>1138</v>
      </c>
      <c r="B83" s="536" t="s">
        <v>1139</v>
      </c>
      <c r="C83" s="537">
        <v>17172</v>
      </c>
      <c r="D83" s="536" t="s">
        <v>1140</v>
      </c>
      <c r="E83" s="536" t="s">
        <v>1141</v>
      </c>
      <c r="F83" s="537"/>
      <c r="G83" s="536"/>
      <c r="H83" s="537"/>
      <c r="I83" s="536" t="s">
        <v>1142</v>
      </c>
      <c r="J83" s="536" t="s">
        <v>1143</v>
      </c>
      <c r="K83" s="536" t="s">
        <v>1144</v>
      </c>
      <c r="L83" s="536" t="s">
        <v>1145</v>
      </c>
      <c r="M83" s="536" t="s">
        <v>1145</v>
      </c>
      <c r="N83" s="536"/>
      <c r="O83" s="536"/>
      <c r="P83" s="536"/>
      <c r="Q83" s="536"/>
      <c r="R83" s="536"/>
      <c r="S83" s="536"/>
      <c r="T83" s="537" t="s">
        <v>1146</v>
      </c>
    </row>
    <row r="84" spans="1:20">
      <c r="A84" s="677" t="s">
        <v>1147</v>
      </c>
      <c r="B84" s="677" t="s">
        <v>1148</v>
      </c>
      <c r="C84" s="680" t="s">
        <v>1149</v>
      </c>
      <c r="D84" s="677" t="s">
        <v>1150</v>
      </c>
      <c r="E84" s="677">
        <v>10130</v>
      </c>
      <c r="F84" s="680"/>
      <c r="G84" s="677"/>
      <c r="H84" s="533" t="s">
        <v>1151</v>
      </c>
      <c r="I84" s="677"/>
      <c r="J84" s="677"/>
      <c r="K84" s="677"/>
      <c r="L84" s="677"/>
      <c r="M84" s="677"/>
      <c r="N84" s="677"/>
      <c r="O84" s="677"/>
      <c r="P84" s="677"/>
      <c r="Q84" s="677"/>
      <c r="R84" s="677"/>
      <c r="S84" s="677"/>
      <c r="T84" s="680" t="s">
        <v>1158</v>
      </c>
    </row>
    <row r="85" spans="1:20">
      <c r="A85" s="678"/>
      <c r="B85" s="678"/>
      <c r="C85" s="681"/>
      <c r="D85" s="678"/>
      <c r="E85" s="678"/>
      <c r="F85" s="681"/>
      <c r="G85" s="678"/>
      <c r="H85" s="534" t="s">
        <v>970</v>
      </c>
      <c r="I85" s="678"/>
      <c r="J85" s="678"/>
      <c r="K85" s="678"/>
      <c r="L85" s="678"/>
      <c r="M85" s="678"/>
      <c r="N85" s="678"/>
      <c r="O85" s="678"/>
      <c r="P85" s="678"/>
      <c r="Q85" s="678"/>
      <c r="R85" s="678"/>
      <c r="S85" s="678"/>
      <c r="T85" s="681"/>
    </row>
    <row r="86" spans="1:20">
      <c r="A86" s="678"/>
      <c r="B86" s="678"/>
      <c r="C86" s="681"/>
      <c r="D86" s="678"/>
      <c r="E86" s="678"/>
      <c r="F86" s="681"/>
      <c r="G86" s="678"/>
      <c r="H86" s="534" t="s">
        <v>971</v>
      </c>
      <c r="I86" s="678"/>
      <c r="J86" s="678"/>
      <c r="K86" s="678"/>
      <c r="L86" s="678"/>
      <c r="M86" s="678"/>
      <c r="N86" s="678"/>
      <c r="O86" s="678"/>
      <c r="P86" s="678"/>
      <c r="Q86" s="678"/>
      <c r="R86" s="678"/>
      <c r="S86" s="678"/>
      <c r="T86" s="681"/>
    </row>
    <row r="87" spans="1:20">
      <c r="A87" s="678"/>
      <c r="B87" s="678"/>
      <c r="C87" s="681"/>
      <c r="D87" s="678"/>
      <c r="E87" s="678"/>
      <c r="F87" s="681"/>
      <c r="G87" s="678"/>
      <c r="H87" s="534" t="s">
        <v>1152</v>
      </c>
      <c r="I87" s="678"/>
      <c r="J87" s="678"/>
      <c r="K87" s="678"/>
      <c r="L87" s="678"/>
      <c r="M87" s="678"/>
      <c r="N87" s="678"/>
      <c r="O87" s="678"/>
      <c r="P87" s="678"/>
      <c r="Q87" s="678"/>
      <c r="R87" s="678"/>
      <c r="S87" s="678"/>
      <c r="T87" s="681"/>
    </row>
    <row r="88" spans="1:20">
      <c r="A88" s="678"/>
      <c r="B88" s="678"/>
      <c r="C88" s="681"/>
      <c r="D88" s="678"/>
      <c r="E88" s="678"/>
      <c r="F88" s="681"/>
      <c r="G88" s="678"/>
      <c r="H88" s="534" t="s">
        <v>975</v>
      </c>
      <c r="I88" s="678"/>
      <c r="J88" s="678"/>
      <c r="K88" s="678"/>
      <c r="L88" s="678"/>
      <c r="M88" s="678"/>
      <c r="N88" s="678"/>
      <c r="O88" s="678"/>
      <c r="P88" s="678"/>
      <c r="Q88" s="678"/>
      <c r="R88" s="678"/>
      <c r="S88" s="678"/>
      <c r="T88" s="681"/>
    </row>
    <row r="89" spans="1:20">
      <c r="A89" s="678"/>
      <c r="B89" s="678"/>
      <c r="C89" s="681"/>
      <c r="D89" s="678"/>
      <c r="E89" s="678"/>
      <c r="F89" s="681"/>
      <c r="G89" s="678"/>
      <c r="H89" s="534" t="s">
        <v>976</v>
      </c>
      <c r="I89" s="678"/>
      <c r="J89" s="678"/>
      <c r="K89" s="678"/>
      <c r="L89" s="678"/>
      <c r="M89" s="678"/>
      <c r="N89" s="678"/>
      <c r="O89" s="678"/>
      <c r="P89" s="678"/>
      <c r="Q89" s="678"/>
      <c r="R89" s="678"/>
      <c r="S89" s="678"/>
      <c r="T89" s="681"/>
    </row>
    <row r="90" spans="1:20">
      <c r="A90" s="678"/>
      <c r="B90" s="678"/>
      <c r="C90" s="681"/>
      <c r="D90" s="678"/>
      <c r="E90" s="678"/>
      <c r="F90" s="681"/>
      <c r="G90" s="678"/>
      <c r="H90" s="534" t="s">
        <v>977</v>
      </c>
      <c r="I90" s="678"/>
      <c r="J90" s="678"/>
      <c r="K90" s="678"/>
      <c r="L90" s="678"/>
      <c r="M90" s="678"/>
      <c r="N90" s="678"/>
      <c r="O90" s="678"/>
      <c r="P90" s="678"/>
      <c r="Q90" s="678"/>
      <c r="R90" s="678"/>
      <c r="S90" s="678"/>
      <c r="T90" s="681"/>
    </row>
    <row r="91" spans="1:20">
      <c r="A91" s="678"/>
      <c r="B91" s="678"/>
      <c r="C91" s="681"/>
      <c r="D91" s="678"/>
      <c r="E91" s="678"/>
      <c r="F91" s="681"/>
      <c r="G91" s="678"/>
      <c r="H91" s="534" t="s">
        <v>979</v>
      </c>
      <c r="I91" s="678"/>
      <c r="J91" s="678"/>
      <c r="K91" s="678"/>
      <c r="L91" s="678"/>
      <c r="M91" s="678"/>
      <c r="N91" s="678"/>
      <c r="O91" s="678"/>
      <c r="P91" s="678"/>
      <c r="Q91" s="678"/>
      <c r="R91" s="678"/>
      <c r="S91" s="678"/>
      <c r="T91" s="681"/>
    </row>
    <row r="92" spans="1:20">
      <c r="A92" s="678"/>
      <c r="B92" s="678"/>
      <c r="C92" s="681"/>
      <c r="D92" s="678"/>
      <c r="E92" s="678"/>
      <c r="F92" s="681"/>
      <c r="G92" s="678"/>
      <c r="H92" s="534" t="s">
        <v>980</v>
      </c>
      <c r="I92" s="678"/>
      <c r="J92" s="678"/>
      <c r="K92" s="678"/>
      <c r="L92" s="678"/>
      <c r="M92" s="678"/>
      <c r="N92" s="678"/>
      <c r="O92" s="678"/>
      <c r="P92" s="678"/>
      <c r="Q92" s="678"/>
      <c r="R92" s="678"/>
      <c r="S92" s="678"/>
      <c r="T92" s="681"/>
    </row>
    <row r="93" spans="1:20">
      <c r="A93" s="678"/>
      <c r="B93" s="678"/>
      <c r="C93" s="681"/>
      <c r="D93" s="678"/>
      <c r="E93" s="678"/>
      <c r="F93" s="681"/>
      <c r="G93" s="678"/>
      <c r="H93" s="534" t="s">
        <v>981</v>
      </c>
      <c r="I93" s="678"/>
      <c r="J93" s="678"/>
      <c r="K93" s="678"/>
      <c r="L93" s="678"/>
      <c r="M93" s="678"/>
      <c r="N93" s="678"/>
      <c r="O93" s="678"/>
      <c r="P93" s="678"/>
      <c r="Q93" s="678"/>
      <c r="R93" s="678"/>
      <c r="S93" s="678"/>
      <c r="T93" s="681"/>
    </row>
    <row r="94" spans="1:20">
      <c r="A94" s="678"/>
      <c r="B94" s="678"/>
      <c r="C94" s="681"/>
      <c r="D94" s="678"/>
      <c r="E94" s="678"/>
      <c r="F94" s="681"/>
      <c r="G94" s="678"/>
      <c r="H94" s="534" t="s">
        <v>982</v>
      </c>
      <c r="I94" s="678"/>
      <c r="J94" s="678"/>
      <c r="K94" s="678"/>
      <c r="L94" s="678"/>
      <c r="M94" s="678"/>
      <c r="N94" s="678"/>
      <c r="O94" s="678"/>
      <c r="P94" s="678"/>
      <c r="Q94" s="678"/>
      <c r="R94" s="678"/>
      <c r="S94" s="678"/>
      <c r="T94" s="681"/>
    </row>
    <row r="95" spans="1:20">
      <c r="A95" s="678"/>
      <c r="B95" s="678"/>
      <c r="C95" s="681"/>
      <c r="D95" s="678"/>
      <c r="E95" s="678"/>
      <c r="F95" s="681"/>
      <c r="G95" s="678"/>
      <c r="H95" s="534" t="s">
        <v>984</v>
      </c>
      <c r="I95" s="678"/>
      <c r="J95" s="678"/>
      <c r="K95" s="678"/>
      <c r="L95" s="678"/>
      <c r="M95" s="678"/>
      <c r="N95" s="678"/>
      <c r="O95" s="678"/>
      <c r="P95" s="678"/>
      <c r="Q95" s="678"/>
      <c r="R95" s="678"/>
      <c r="S95" s="678"/>
      <c r="T95" s="681"/>
    </row>
    <row r="96" spans="1:20">
      <c r="A96" s="678"/>
      <c r="B96" s="678"/>
      <c r="C96" s="681"/>
      <c r="D96" s="678"/>
      <c r="E96" s="678"/>
      <c r="F96" s="681"/>
      <c r="G96" s="678"/>
      <c r="H96" s="534" t="s">
        <v>985</v>
      </c>
      <c r="I96" s="678"/>
      <c r="J96" s="678"/>
      <c r="K96" s="678"/>
      <c r="L96" s="678"/>
      <c r="M96" s="678"/>
      <c r="N96" s="678"/>
      <c r="O96" s="678"/>
      <c r="P96" s="678"/>
      <c r="Q96" s="678"/>
      <c r="R96" s="678"/>
      <c r="S96" s="678"/>
      <c r="T96" s="681"/>
    </row>
    <row r="97" spans="1:20">
      <c r="A97" s="678"/>
      <c r="B97" s="678"/>
      <c r="C97" s="681"/>
      <c r="D97" s="678"/>
      <c r="E97" s="678"/>
      <c r="F97" s="681"/>
      <c r="G97" s="678"/>
      <c r="H97" s="534" t="s">
        <v>986</v>
      </c>
      <c r="I97" s="678"/>
      <c r="J97" s="678"/>
      <c r="K97" s="678"/>
      <c r="L97" s="678"/>
      <c r="M97" s="678"/>
      <c r="N97" s="678"/>
      <c r="O97" s="678"/>
      <c r="P97" s="678"/>
      <c r="Q97" s="678"/>
      <c r="R97" s="678"/>
      <c r="S97" s="678"/>
      <c r="T97" s="681"/>
    </row>
    <row r="98" spans="1:20">
      <c r="A98" s="678"/>
      <c r="B98" s="678"/>
      <c r="C98" s="681"/>
      <c r="D98" s="678"/>
      <c r="E98" s="678"/>
      <c r="F98" s="681"/>
      <c r="G98" s="678"/>
      <c r="H98" s="534" t="s">
        <v>988</v>
      </c>
      <c r="I98" s="678"/>
      <c r="J98" s="678"/>
      <c r="K98" s="678"/>
      <c r="L98" s="678"/>
      <c r="M98" s="678"/>
      <c r="N98" s="678"/>
      <c r="O98" s="678"/>
      <c r="P98" s="678"/>
      <c r="Q98" s="678"/>
      <c r="R98" s="678"/>
      <c r="S98" s="678"/>
      <c r="T98" s="681"/>
    </row>
    <row r="99" spans="1:20">
      <c r="A99" s="678"/>
      <c r="B99" s="678"/>
      <c r="C99" s="681"/>
      <c r="D99" s="678"/>
      <c r="E99" s="678"/>
      <c r="F99" s="681"/>
      <c r="G99" s="678"/>
      <c r="H99" s="534" t="s">
        <v>1153</v>
      </c>
      <c r="I99" s="678"/>
      <c r="J99" s="678"/>
      <c r="K99" s="678"/>
      <c r="L99" s="678"/>
      <c r="M99" s="678"/>
      <c r="N99" s="678"/>
      <c r="O99" s="678"/>
      <c r="P99" s="678"/>
      <c r="Q99" s="678"/>
      <c r="R99" s="678"/>
      <c r="S99" s="678"/>
      <c r="T99" s="681"/>
    </row>
    <row r="100" spans="1:20">
      <c r="A100" s="678"/>
      <c r="B100" s="678"/>
      <c r="C100" s="681"/>
      <c r="D100" s="678"/>
      <c r="E100" s="678"/>
      <c r="F100" s="681"/>
      <c r="G100" s="678"/>
      <c r="H100" s="534" t="s">
        <v>1154</v>
      </c>
      <c r="I100" s="678"/>
      <c r="J100" s="678"/>
      <c r="K100" s="678"/>
      <c r="L100" s="678"/>
      <c r="M100" s="678"/>
      <c r="N100" s="678"/>
      <c r="O100" s="678"/>
      <c r="P100" s="678"/>
      <c r="Q100" s="678"/>
      <c r="R100" s="678"/>
      <c r="S100" s="678"/>
      <c r="T100" s="681"/>
    </row>
    <row r="101" spans="1:20">
      <c r="A101" s="678"/>
      <c r="B101" s="678"/>
      <c r="C101" s="681"/>
      <c r="D101" s="678"/>
      <c r="E101" s="678"/>
      <c r="F101" s="681"/>
      <c r="G101" s="678"/>
      <c r="H101" s="534"/>
      <c r="I101" s="678"/>
      <c r="J101" s="678"/>
      <c r="K101" s="678"/>
      <c r="L101" s="678"/>
      <c r="M101" s="678"/>
      <c r="N101" s="678"/>
      <c r="O101" s="678"/>
      <c r="P101" s="678"/>
      <c r="Q101" s="678"/>
      <c r="R101" s="678"/>
      <c r="S101" s="678"/>
      <c r="T101" s="681"/>
    </row>
    <row r="102" spans="1:20">
      <c r="A102" s="678"/>
      <c r="B102" s="678"/>
      <c r="C102" s="681"/>
      <c r="D102" s="678"/>
      <c r="E102" s="678"/>
      <c r="F102" s="681"/>
      <c r="G102" s="678"/>
      <c r="H102" s="534" t="s">
        <v>1155</v>
      </c>
      <c r="I102" s="678"/>
      <c r="J102" s="678"/>
      <c r="K102" s="678"/>
      <c r="L102" s="678"/>
      <c r="M102" s="678"/>
      <c r="N102" s="678"/>
      <c r="O102" s="678"/>
      <c r="P102" s="678"/>
      <c r="Q102" s="678"/>
      <c r="R102" s="678"/>
      <c r="S102" s="678"/>
      <c r="T102" s="681"/>
    </row>
    <row r="103" spans="1:20">
      <c r="A103" s="678"/>
      <c r="B103" s="678"/>
      <c r="C103" s="681"/>
      <c r="D103" s="678"/>
      <c r="E103" s="678"/>
      <c r="F103" s="681"/>
      <c r="G103" s="678"/>
      <c r="H103" s="534" t="s">
        <v>1156</v>
      </c>
      <c r="I103" s="678"/>
      <c r="J103" s="678"/>
      <c r="K103" s="678"/>
      <c r="L103" s="678"/>
      <c r="M103" s="678"/>
      <c r="N103" s="678"/>
      <c r="O103" s="678"/>
      <c r="P103" s="678"/>
      <c r="Q103" s="678"/>
      <c r="R103" s="678"/>
      <c r="S103" s="678"/>
      <c r="T103" s="681"/>
    </row>
    <row r="104" spans="1:20">
      <c r="A104" s="678"/>
      <c r="B104" s="678"/>
      <c r="C104" s="681"/>
      <c r="D104" s="678"/>
      <c r="E104" s="678"/>
      <c r="F104" s="681"/>
      <c r="G104" s="678"/>
      <c r="H104" s="534"/>
      <c r="I104" s="678"/>
      <c r="J104" s="678"/>
      <c r="K104" s="678"/>
      <c r="L104" s="678"/>
      <c r="M104" s="678"/>
      <c r="N104" s="678"/>
      <c r="O104" s="678"/>
      <c r="P104" s="678"/>
      <c r="Q104" s="678"/>
      <c r="R104" s="678"/>
      <c r="S104" s="678"/>
      <c r="T104" s="681"/>
    </row>
    <row r="105" spans="1:20">
      <c r="A105" s="678"/>
      <c r="B105" s="678"/>
      <c r="C105" s="681"/>
      <c r="D105" s="678"/>
      <c r="E105" s="678"/>
      <c r="F105" s="681"/>
      <c r="G105" s="678"/>
      <c r="H105" s="534" t="s">
        <v>1157</v>
      </c>
      <c r="I105" s="678"/>
      <c r="J105" s="678"/>
      <c r="K105" s="678"/>
      <c r="L105" s="678"/>
      <c r="M105" s="678"/>
      <c r="N105" s="678"/>
      <c r="O105" s="678"/>
      <c r="P105" s="678"/>
      <c r="Q105" s="678"/>
      <c r="R105" s="678"/>
      <c r="S105" s="678"/>
      <c r="T105" s="681"/>
    </row>
    <row r="106" spans="1:20">
      <c r="A106" s="679"/>
      <c r="B106" s="679"/>
      <c r="C106" s="682"/>
      <c r="D106" s="679"/>
      <c r="E106" s="679"/>
      <c r="F106" s="682"/>
      <c r="G106" s="679"/>
      <c r="H106" s="535">
        <v>1008</v>
      </c>
      <c r="I106" s="679"/>
      <c r="J106" s="679"/>
      <c r="K106" s="679"/>
      <c r="L106" s="679"/>
      <c r="M106" s="679"/>
      <c r="N106" s="679"/>
      <c r="O106" s="679"/>
      <c r="P106" s="679"/>
      <c r="Q106" s="679"/>
      <c r="R106" s="679"/>
      <c r="S106" s="679"/>
      <c r="T106" s="682"/>
    </row>
    <row r="107" spans="1:20" ht="28.8">
      <c r="A107" s="536" t="s">
        <v>1159</v>
      </c>
      <c r="B107" s="536" t="s">
        <v>1160</v>
      </c>
      <c r="C107" s="537"/>
      <c r="D107" s="536" t="s">
        <v>1161</v>
      </c>
      <c r="E107" s="536">
        <v>10111</v>
      </c>
      <c r="F107" s="537" t="s">
        <v>1162</v>
      </c>
      <c r="G107" s="536" t="s">
        <v>1163</v>
      </c>
      <c r="H107" s="537"/>
      <c r="I107" s="536" t="s">
        <v>1164</v>
      </c>
      <c r="J107" s="536" t="s">
        <v>357</v>
      </c>
      <c r="K107" s="536" t="s">
        <v>1165</v>
      </c>
      <c r="L107" s="536" t="s">
        <v>1055</v>
      </c>
      <c r="M107" s="536" t="s">
        <v>963</v>
      </c>
      <c r="N107" s="536" t="s">
        <v>259</v>
      </c>
      <c r="O107" s="536" t="s">
        <v>964</v>
      </c>
      <c r="P107" s="536" t="s">
        <v>622</v>
      </c>
      <c r="Q107" s="536" t="s">
        <v>622</v>
      </c>
      <c r="R107" s="536" t="s">
        <v>622</v>
      </c>
      <c r="S107" s="536" t="s">
        <v>964</v>
      </c>
      <c r="T107" s="537" t="s">
        <v>1166</v>
      </c>
    </row>
    <row r="108" spans="1:20" ht="28.8">
      <c r="A108" s="536" t="s">
        <v>1167</v>
      </c>
      <c r="B108" s="536" t="s">
        <v>1168</v>
      </c>
      <c r="C108" s="537"/>
      <c r="D108" s="536" t="s">
        <v>1169</v>
      </c>
      <c r="E108" s="536">
        <v>10111</v>
      </c>
      <c r="F108" s="537" t="s">
        <v>1170</v>
      </c>
      <c r="G108" s="536" t="s">
        <v>1163</v>
      </c>
      <c r="H108" s="537"/>
      <c r="I108" s="536" t="s">
        <v>1171</v>
      </c>
      <c r="J108" s="536" t="s">
        <v>1172</v>
      </c>
      <c r="K108" s="536" t="s">
        <v>962</v>
      </c>
      <c r="L108" s="536" t="s">
        <v>1055</v>
      </c>
      <c r="M108" s="536" t="s">
        <v>963</v>
      </c>
      <c r="N108" s="536" t="s">
        <v>1173</v>
      </c>
      <c r="O108" s="536" t="s">
        <v>964</v>
      </c>
      <c r="P108" s="536" t="s">
        <v>622</v>
      </c>
      <c r="Q108" s="536" t="s">
        <v>622</v>
      </c>
      <c r="R108" s="536" t="s">
        <v>622</v>
      </c>
      <c r="S108" s="536" t="s">
        <v>964</v>
      </c>
      <c r="T108" s="537" t="s">
        <v>1174</v>
      </c>
    </row>
    <row r="109" spans="1:20" ht="57.6">
      <c r="A109" s="536" t="s">
        <v>1175</v>
      </c>
      <c r="B109" s="536" t="s">
        <v>1176</v>
      </c>
      <c r="C109" s="537">
        <v>1624</v>
      </c>
      <c r="D109" s="536" t="s">
        <v>1177</v>
      </c>
      <c r="E109" s="536">
        <v>10130</v>
      </c>
      <c r="F109" s="537" t="s">
        <v>1178</v>
      </c>
      <c r="G109" s="536" t="s">
        <v>1179</v>
      </c>
      <c r="H109" s="537"/>
      <c r="I109" s="536"/>
      <c r="J109" s="536"/>
      <c r="K109" s="536"/>
      <c r="L109" s="536"/>
      <c r="M109" s="536"/>
      <c r="N109" s="536"/>
      <c r="O109" s="536"/>
      <c r="P109" s="536"/>
      <c r="Q109" s="536"/>
      <c r="R109" s="536"/>
      <c r="S109" s="536"/>
      <c r="T109" s="537" t="s">
        <v>1180</v>
      </c>
    </row>
    <row r="110" spans="1:20">
      <c r="A110" s="677" t="s">
        <v>1181</v>
      </c>
      <c r="B110" s="677" t="s">
        <v>1182</v>
      </c>
      <c r="C110" s="680">
        <v>17155</v>
      </c>
      <c r="D110" s="677" t="s">
        <v>1183</v>
      </c>
      <c r="E110" s="677" t="s">
        <v>1184</v>
      </c>
      <c r="F110" s="680" t="s">
        <v>1185</v>
      </c>
      <c r="G110" s="677" t="s">
        <v>1186</v>
      </c>
      <c r="H110" s="533" t="s">
        <v>1187</v>
      </c>
      <c r="I110" s="677"/>
      <c r="J110" s="677"/>
      <c r="K110" s="677"/>
      <c r="L110" s="677"/>
      <c r="M110" s="677"/>
      <c r="N110" s="677"/>
      <c r="O110" s="677"/>
      <c r="P110" s="677"/>
      <c r="Q110" s="677"/>
      <c r="R110" s="677"/>
      <c r="S110" s="677"/>
      <c r="T110" s="680" t="s">
        <v>1194</v>
      </c>
    </row>
    <row r="111" spans="1:20">
      <c r="A111" s="678"/>
      <c r="B111" s="678"/>
      <c r="C111" s="681"/>
      <c r="D111" s="678"/>
      <c r="E111" s="678"/>
      <c r="F111" s="681"/>
      <c r="G111" s="678"/>
      <c r="H111" s="534" t="s">
        <v>1188</v>
      </c>
      <c r="I111" s="678"/>
      <c r="J111" s="678"/>
      <c r="K111" s="678"/>
      <c r="L111" s="678"/>
      <c r="M111" s="678"/>
      <c r="N111" s="678"/>
      <c r="O111" s="678"/>
      <c r="P111" s="678"/>
      <c r="Q111" s="678"/>
      <c r="R111" s="678"/>
      <c r="S111" s="678"/>
      <c r="T111" s="681"/>
    </row>
    <row r="112" spans="1:20">
      <c r="A112" s="678"/>
      <c r="B112" s="678"/>
      <c r="C112" s="681"/>
      <c r="D112" s="678"/>
      <c r="E112" s="678"/>
      <c r="F112" s="681"/>
      <c r="G112" s="678"/>
      <c r="H112" s="534" t="s">
        <v>1189</v>
      </c>
      <c r="I112" s="678"/>
      <c r="J112" s="678"/>
      <c r="K112" s="678"/>
      <c r="L112" s="678"/>
      <c r="M112" s="678"/>
      <c r="N112" s="678"/>
      <c r="O112" s="678"/>
      <c r="P112" s="678"/>
      <c r="Q112" s="678"/>
      <c r="R112" s="678"/>
      <c r="S112" s="678"/>
      <c r="T112" s="681"/>
    </row>
    <row r="113" spans="1:20">
      <c r="A113" s="678"/>
      <c r="B113" s="678"/>
      <c r="C113" s="681"/>
      <c r="D113" s="678"/>
      <c r="E113" s="678"/>
      <c r="F113" s="681"/>
      <c r="G113" s="678"/>
      <c r="H113" s="534" t="s">
        <v>1190</v>
      </c>
      <c r="I113" s="678"/>
      <c r="J113" s="678"/>
      <c r="K113" s="678"/>
      <c r="L113" s="678"/>
      <c r="M113" s="678"/>
      <c r="N113" s="678"/>
      <c r="O113" s="678"/>
      <c r="P113" s="678"/>
      <c r="Q113" s="678"/>
      <c r="R113" s="678"/>
      <c r="S113" s="678"/>
      <c r="T113" s="681"/>
    </row>
    <row r="114" spans="1:20">
      <c r="A114" s="678"/>
      <c r="B114" s="678"/>
      <c r="C114" s="681"/>
      <c r="D114" s="678"/>
      <c r="E114" s="678"/>
      <c r="F114" s="681"/>
      <c r="G114" s="678"/>
      <c r="H114" s="534" t="s">
        <v>1191</v>
      </c>
      <c r="I114" s="678"/>
      <c r="J114" s="678"/>
      <c r="K114" s="678"/>
      <c r="L114" s="678"/>
      <c r="M114" s="678"/>
      <c r="N114" s="678"/>
      <c r="O114" s="678"/>
      <c r="P114" s="678"/>
      <c r="Q114" s="678"/>
      <c r="R114" s="678"/>
      <c r="S114" s="678"/>
      <c r="T114" s="681"/>
    </row>
    <row r="115" spans="1:20">
      <c r="A115" s="678"/>
      <c r="B115" s="678"/>
      <c r="C115" s="681"/>
      <c r="D115" s="678"/>
      <c r="E115" s="678"/>
      <c r="F115" s="681"/>
      <c r="G115" s="678"/>
      <c r="H115" s="534" t="s">
        <v>1192</v>
      </c>
      <c r="I115" s="678"/>
      <c r="J115" s="678"/>
      <c r="K115" s="678"/>
      <c r="L115" s="678"/>
      <c r="M115" s="678"/>
      <c r="N115" s="678"/>
      <c r="O115" s="678"/>
      <c r="P115" s="678"/>
      <c r="Q115" s="678"/>
      <c r="R115" s="678"/>
      <c r="S115" s="678"/>
      <c r="T115" s="681"/>
    </row>
    <row r="116" spans="1:20">
      <c r="A116" s="679"/>
      <c r="B116" s="679"/>
      <c r="C116" s="682"/>
      <c r="D116" s="679"/>
      <c r="E116" s="679"/>
      <c r="F116" s="682"/>
      <c r="G116" s="679"/>
      <c r="H116" s="535" t="s">
        <v>1193</v>
      </c>
      <c r="I116" s="679"/>
      <c r="J116" s="679"/>
      <c r="K116" s="679"/>
      <c r="L116" s="679"/>
      <c r="M116" s="679"/>
      <c r="N116" s="679"/>
      <c r="O116" s="679"/>
      <c r="P116" s="679"/>
      <c r="Q116" s="679"/>
      <c r="R116" s="679"/>
      <c r="S116" s="679"/>
      <c r="T116" s="682"/>
    </row>
    <row r="117" spans="1:20" ht="115.2" customHeight="1">
      <c r="A117" s="677" t="s">
        <v>1195</v>
      </c>
      <c r="B117" s="677" t="s">
        <v>1196</v>
      </c>
      <c r="C117" s="680">
        <v>1623</v>
      </c>
      <c r="D117" s="677" t="s">
        <v>1197</v>
      </c>
      <c r="E117" s="677">
        <v>10130</v>
      </c>
      <c r="F117" s="680" t="s">
        <v>1198</v>
      </c>
      <c r="G117" s="677"/>
      <c r="H117" s="533" t="s">
        <v>1199</v>
      </c>
      <c r="I117" s="677" t="s">
        <v>1202</v>
      </c>
      <c r="J117" s="677"/>
      <c r="K117" s="677"/>
      <c r="L117" s="677"/>
      <c r="M117" s="677"/>
      <c r="N117" s="677"/>
      <c r="O117" s="677"/>
      <c r="P117" s="677"/>
      <c r="Q117" s="677"/>
      <c r="R117" s="677"/>
      <c r="S117" s="677"/>
      <c r="T117" s="680" t="s">
        <v>1203</v>
      </c>
    </row>
    <row r="118" spans="1:20">
      <c r="A118" s="678"/>
      <c r="B118" s="678"/>
      <c r="C118" s="681"/>
      <c r="D118" s="678"/>
      <c r="E118" s="678"/>
      <c r="F118" s="681"/>
      <c r="G118" s="678"/>
      <c r="H118" s="534" t="s">
        <v>1200</v>
      </c>
      <c r="I118" s="678"/>
      <c r="J118" s="678"/>
      <c r="K118" s="678"/>
      <c r="L118" s="678"/>
      <c r="M118" s="678"/>
      <c r="N118" s="678"/>
      <c r="O118" s="678"/>
      <c r="P118" s="678"/>
      <c r="Q118" s="678"/>
      <c r="R118" s="678"/>
      <c r="S118" s="678"/>
      <c r="T118" s="681"/>
    </row>
    <row r="119" spans="1:20">
      <c r="A119" s="679"/>
      <c r="B119" s="679"/>
      <c r="C119" s="682"/>
      <c r="D119" s="679"/>
      <c r="E119" s="679"/>
      <c r="F119" s="682"/>
      <c r="G119" s="679"/>
      <c r="H119" s="535" t="s">
        <v>1201</v>
      </c>
      <c r="I119" s="679"/>
      <c r="J119" s="679"/>
      <c r="K119" s="679"/>
      <c r="L119" s="679"/>
      <c r="M119" s="679"/>
      <c r="N119" s="679"/>
      <c r="O119" s="679"/>
      <c r="P119" s="679"/>
      <c r="Q119" s="679"/>
      <c r="R119" s="679"/>
      <c r="S119" s="679"/>
      <c r="T119" s="682"/>
    </row>
    <row r="120" spans="1:20" ht="57.6" customHeight="1">
      <c r="A120" s="677" t="s">
        <v>1204</v>
      </c>
      <c r="B120" s="677" t="s">
        <v>1205</v>
      </c>
      <c r="C120" s="680" t="s">
        <v>1206</v>
      </c>
      <c r="D120" s="677" t="s">
        <v>1207</v>
      </c>
      <c r="E120" s="677">
        <v>10209</v>
      </c>
      <c r="F120" s="680"/>
      <c r="G120" s="677"/>
      <c r="H120" s="533" t="s">
        <v>1208</v>
      </c>
      <c r="I120" s="677"/>
      <c r="J120" s="677"/>
      <c r="K120" s="677"/>
      <c r="L120" s="677"/>
      <c r="M120" s="677"/>
      <c r="N120" s="677"/>
      <c r="O120" s="677"/>
      <c r="P120" s="677"/>
      <c r="Q120" s="677"/>
      <c r="R120" s="677"/>
      <c r="S120" s="677"/>
      <c r="T120" s="680" t="s">
        <v>1210</v>
      </c>
    </row>
    <row r="121" spans="1:20">
      <c r="A121" s="678"/>
      <c r="B121" s="678"/>
      <c r="C121" s="681"/>
      <c r="D121" s="678"/>
      <c r="E121" s="678"/>
      <c r="F121" s="681"/>
      <c r="G121" s="678"/>
      <c r="H121" s="534"/>
      <c r="I121" s="678"/>
      <c r="J121" s="678"/>
      <c r="K121" s="678"/>
      <c r="L121" s="678"/>
      <c r="M121" s="678"/>
      <c r="N121" s="678"/>
      <c r="O121" s="678"/>
      <c r="P121" s="678"/>
      <c r="Q121" s="678"/>
      <c r="R121" s="678"/>
      <c r="S121" s="678"/>
      <c r="T121" s="681"/>
    </row>
    <row r="122" spans="1:20">
      <c r="A122" s="679"/>
      <c r="B122" s="679"/>
      <c r="C122" s="682"/>
      <c r="D122" s="679"/>
      <c r="E122" s="679"/>
      <c r="F122" s="682"/>
      <c r="G122" s="679"/>
      <c r="H122" s="535" t="s">
        <v>1209</v>
      </c>
      <c r="I122" s="679"/>
      <c r="J122" s="679"/>
      <c r="K122" s="679"/>
      <c r="L122" s="679"/>
      <c r="M122" s="679"/>
      <c r="N122" s="679"/>
      <c r="O122" s="679"/>
      <c r="P122" s="679"/>
      <c r="Q122" s="679"/>
      <c r="R122" s="679"/>
      <c r="S122" s="679"/>
      <c r="T122" s="682"/>
    </row>
    <row r="123" spans="1:20">
      <c r="A123" s="677" t="s">
        <v>1211</v>
      </c>
      <c r="B123" s="677" t="s">
        <v>1212</v>
      </c>
      <c r="C123" s="680">
        <v>17200</v>
      </c>
      <c r="D123" s="677" t="s">
        <v>1213</v>
      </c>
      <c r="E123" s="677" t="s">
        <v>1214</v>
      </c>
      <c r="F123" s="680">
        <v>20</v>
      </c>
      <c r="G123" s="677" t="s">
        <v>1163</v>
      </c>
      <c r="H123" s="533" t="s">
        <v>1215</v>
      </c>
      <c r="I123" s="677" t="s">
        <v>1224</v>
      </c>
      <c r="J123" s="677" t="s">
        <v>1225</v>
      </c>
      <c r="K123" s="677" t="s">
        <v>1165</v>
      </c>
      <c r="L123" s="677" t="s">
        <v>1055</v>
      </c>
      <c r="M123" s="677" t="s">
        <v>963</v>
      </c>
      <c r="N123" s="677" t="s">
        <v>259</v>
      </c>
      <c r="O123" s="677" t="s">
        <v>964</v>
      </c>
      <c r="P123" s="677" t="s">
        <v>622</v>
      </c>
      <c r="Q123" s="677" t="s">
        <v>622</v>
      </c>
      <c r="R123" s="677" t="s">
        <v>622</v>
      </c>
      <c r="S123" s="677" t="s">
        <v>1226</v>
      </c>
      <c r="T123" s="680" t="s">
        <v>1227</v>
      </c>
    </row>
    <row r="124" spans="1:20">
      <c r="A124" s="678"/>
      <c r="B124" s="678"/>
      <c r="C124" s="681"/>
      <c r="D124" s="678"/>
      <c r="E124" s="678"/>
      <c r="F124" s="681"/>
      <c r="G124" s="678"/>
      <c r="H124" s="534" t="s">
        <v>1216</v>
      </c>
      <c r="I124" s="678"/>
      <c r="J124" s="678"/>
      <c r="K124" s="678"/>
      <c r="L124" s="678"/>
      <c r="M124" s="678"/>
      <c r="N124" s="678"/>
      <c r="O124" s="678"/>
      <c r="P124" s="678"/>
      <c r="Q124" s="678"/>
      <c r="R124" s="678"/>
      <c r="S124" s="678"/>
      <c r="T124" s="681"/>
    </row>
    <row r="125" spans="1:20">
      <c r="A125" s="678"/>
      <c r="B125" s="678"/>
      <c r="C125" s="681"/>
      <c r="D125" s="678"/>
      <c r="E125" s="678"/>
      <c r="F125" s="681"/>
      <c r="G125" s="678"/>
      <c r="H125" s="534" t="s">
        <v>1217</v>
      </c>
      <c r="I125" s="678"/>
      <c r="J125" s="678"/>
      <c r="K125" s="678"/>
      <c r="L125" s="678"/>
      <c r="M125" s="678"/>
      <c r="N125" s="678"/>
      <c r="O125" s="678"/>
      <c r="P125" s="678"/>
      <c r="Q125" s="678"/>
      <c r="R125" s="678"/>
      <c r="S125" s="678"/>
      <c r="T125" s="681"/>
    </row>
    <row r="126" spans="1:20">
      <c r="A126" s="678"/>
      <c r="B126" s="678"/>
      <c r="C126" s="681"/>
      <c r="D126" s="678"/>
      <c r="E126" s="678"/>
      <c r="F126" s="681"/>
      <c r="G126" s="678"/>
      <c r="H126" s="534" t="s">
        <v>1218</v>
      </c>
      <c r="I126" s="678"/>
      <c r="J126" s="678"/>
      <c r="K126" s="678"/>
      <c r="L126" s="678"/>
      <c r="M126" s="678"/>
      <c r="N126" s="678"/>
      <c r="O126" s="678"/>
      <c r="P126" s="678"/>
      <c r="Q126" s="678"/>
      <c r="R126" s="678"/>
      <c r="S126" s="678"/>
      <c r="T126" s="681"/>
    </row>
    <row r="127" spans="1:20">
      <c r="A127" s="678"/>
      <c r="B127" s="678"/>
      <c r="C127" s="681"/>
      <c r="D127" s="678"/>
      <c r="E127" s="678"/>
      <c r="F127" s="681"/>
      <c r="G127" s="678"/>
      <c r="H127" s="534" t="s">
        <v>1219</v>
      </c>
      <c r="I127" s="678"/>
      <c r="J127" s="678"/>
      <c r="K127" s="678"/>
      <c r="L127" s="678"/>
      <c r="M127" s="678"/>
      <c r="N127" s="678"/>
      <c r="O127" s="678"/>
      <c r="P127" s="678"/>
      <c r="Q127" s="678"/>
      <c r="R127" s="678"/>
      <c r="S127" s="678"/>
      <c r="T127" s="681"/>
    </row>
    <row r="128" spans="1:20">
      <c r="A128" s="678"/>
      <c r="B128" s="678"/>
      <c r="C128" s="681"/>
      <c r="D128" s="678"/>
      <c r="E128" s="678"/>
      <c r="F128" s="681"/>
      <c r="G128" s="678"/>
      <c r="H128" s="534" t="s">
        <v>1220</v>
      </c>
      <c r="I128" s="678"/>
      <c r="J128" s="678"/>
      <c r="K128" s="678"/>
      <c r="L128" s="678"/>
      <c r="M128" s="678"/>
      <c r="N128" s="678"/>
      <c r="O128" s="678"/>
      <c r="P128" s="678"/>
      <c r="Q128" s="678"/>
      <c r="R128" s="678"/>
      <c r="S128" s="678"/>
      <c r="T128" s="681"/>
    </row>
    <row r="129" spans="1:20">
      <c r="A129" s="678"/>
      <c r="B129" s="678"/>
      <c r="C129" s="681"/>
      <c r="D129" s="678"/>
      <c r="E129" s="678"/>
      <c r="F129" s="681"/>
      <c r="G129" s="678"/>
      <c r="H129" s="534" t="s">
        <v>1221</v>
      </c>
      <c r="I129" s="678"/>
      <c r="J129" s="678"/>
      <c r="K129" s="678"/>
      <c r="L129" s="678"/>
      <c r="M129" s="678"/>
      <c r="N129" s="678"/>
      <c r="O129" s="678"/>
      <c r="P129" s="678"/>
      <c r="Q129" s="678"/>
      <c r="R129" s="678"/>
      <c r="S129" s="678"/>
      <c r="T129" s="681"/>
    </row>
    <row r="130" spans="1:20">
      <c r="A130" s="678"/>
      <c r="B130" s="678"/>
      <c r="C130" s="681"/>
      <c r="D130" s="678"/>
      <c r="E130" s="678"/>
      <c r="F130" s="681"/>
      <c r="G130" s="678"/>
      <c r="H130" s="534" t="s">
        <v>1222</v>
      </c>
      <c r="I130" s="678"/>
      <c r="J130" s="678"/>
      <c r="K130" s="678"/>
      <c r="L130" s="678"/>
      <c r="M130" s="678"/>
      <c r="N130" s="678"/>
      <c r="O130" s="678"/>
      <c r="P130" s="678"/>
      <c r="Q130" s="678"/>
      <c r="R130" s="678"/>
      <c r="S130" s="678"/>
      <c r="T130" s="681"/>
    </row>
    <row r="131" spans="1:20">
      <c r="A131" s="679"/>
      <c r="B131" s="679"/>
      <c r="C131" s="682"/>
      <c r="D131" s="679"/>
      <c r="E131" s="679"/>
      <c r="F131" s="682"/>
      <c r="G131" s="679"/>
      <c r="H131" s="535" t="s">
        <v>1223</v>
      </c>
      <c r="I131" s="679"/>
      <c r="J131" s="679"/>
      <c r="K131" s="679"/>
      <c r="L131" s="679"/>
      <c r="M131" s="679"/>
      <c r="N131" s="679"/>
      <c r="O131" s="679"/>
      <c r="P131" s="679"/>
      <c r="Q131" s="679"/>
      <c r="R131" s="679"/>
      <c r="S131" s="679"/>
      <c r="T131" s="682"/>
    </row>
    <row r="132" spans="1:20">
      <c r="A132" s="677" t="s">
        <v>1228</v>
      </c>
      <c r="B132" s="677" t="s">
        <v>1229</v>
      </c>
      <c r="C132" s="680"/>
      <c r="D132" s="677" t="s">
        <v>1230</v>
      </c>
      <c r="E132" s="677" t="s">
        <v>1214</v>
      </c>
      <c r="F132" s="680"/>
      <c r="G132" s="677"/>
      <c r="H132" s="533" t="s">
        <v>1215</v>
      </c>
      <c r="I132" s="677"/>
      <c r="J132" s="677"/>
      <c r="K132" s="677"/>
      <c r="L132" s="677"/>
      <c r="M132" s="677"/>
      <c r="N132" s="677"/>
      <c r="O132" s="677"/>
      <c r="P132" s="677"/>
      <c r="Q132" s="677"/>
      <c r="R132" s="677"/>
      <c r="S132" s="677"/>
      <c r="T132" s="680" t="s">
        <v>1233</v>
      </c>
    </row>
    <row r="133" spans="1:20">
      <c r="A133" s="678"/>
      <c r="B133" s="678"/>
      <c r="C133" s="681"/>
      <c r="D133" s="678"/>
      <c r="E133" s="678"/>
      <c r="F133" s="681"/>
      <c r="G133" s="678"/>
      <c r="H133" s="534" t="s">
        <v>1216</v>
      </c>
      <c r="I133" s="678"/>
      <c r="J133" s="678"/>
      <c r="K133" s="678"/>
      <c r="L133" s="678"/>
      <c r="M133" s="678"/>
      <c r="N133" s="678"/>
      <c r="O133" s="678"/>
      <c r="P133" s="678"/>
      <c r="Q133" s="678"/>
      <c r="R133" s="678"/>
      <c r="S133" s="678"/>
      <c r="T133" s="681"/>
    </row>
    <row r="134" spans="1:20">
      <c r="A134" s="678"/>
      <c r="B134" s="678"/>
      <c r="C134" s="681"/>
      <c r="D134" s="678"/>
      <c r="E134" s="678"/>
      <c r="F134" s="681"/>
      <c r="G134" s="678"/>
      <c r="H134" s="534" t="s">
        <v>1217</v>
      </c>
      <c r="I134" s="678"/>
      <c r="J134" s="678"/>
      <c r="K134" s="678"/>
      <c r="L134" s="678"/>
      <c r="M134" s="678"/>
      <c r="N134" s="678"/>
      <c r="O134" s="678"/>
      <c r="P134" s="678"/>
      <c r="Q134" s="678"/>
      <c r="R134" s="678"/>
      <c r="S134" s="678"/>
      <c r="T134" s="681"/>
    </row>
    <row r="135" spans="1:20">
      <c r="A135" s="678"/>
      <c r="B135" s="678"/>
      <c r="C135" s="681"/>
      <c r="D135" s="678"/>
      <c r="E135" s="678"/>
      <c r="F135" s="681"/>
      <c r="G135" s="678"/>
      <c r="H135" s="534" t="s">
        <v>1218</v>
      </c>
      <c r="I135" s="678"/>
      <c r="J135" s="678"/>
      <c r="K135" s="678"/>
      <c r="L135" s="678"/>
      <c r="M135" s="678"/>
      <c r="N135" s="678"/>
      <c r="O135" s="678"/>
      <c r="P135" s="678"/>
      <c r="Q135" s="678"/>
      <c r="R135" s="678"/>
      <c r="S135" s="678"/>
      <c r="T135" s="681"/>
    </row>
    <row r="136" spans="1:20">
      <c r="A136" s="678"/>
      <c r="B136" s="678"/>
      <c r="C136" s="681"/>
      <c r="D136" s="678"/>
      <c r="E136" s="678"/>
      <c r="F136" s="681"/>
      <c r="G136" s="678"/>
      <c r="H136" s="534" t="s">
        <v>1219</v>
      </c>
      <c r="I136" s="678"/>
      <c r="J136" s="678"/>
      <c r="K136" s="678"/>
      <c r="L136" s="678"/>
      <c r="M136" s="678"/>
      <c r="N136" s="678"/>
      <c r="O136" s="678"/>
      <c r="P136" s="678"/>
      <c r="Q136" s="678"/>
      <c r="R136" s="678"/>
      <c r="S136" s="678"/>
      <c r="T136" s="681"/>
    </row>
    <row r="137" spans="1:20">
      <c r="A137" s="678"/>
      <c r="B137" s="678"/>
      <c r="C137" s="681"/>
      <c r="D137" s="678"/>
      <c r="E137" s="678"/>
      <c r="F137" s="681"/>
      <c r="G137" s="678"/>
      <c r="H137" s="534" t="s">
        <v>1220</v>
      </c>
      <c r="I137" s="678"/>
      <c r="J137" s="678"/>
      <c r="K137" s="678"/>
      <c r="L137" s="678"/>
      <c r="M137" s="678"/>
      <c r="N137" s="678"/>
      <c r="O137" s="678"/>
      <c r="P137" s="678"/>
      <c r="Q137" s="678"/>
      <c r="R137" s="678"/>
      <c r="S137" s="678"/>
      <c r="T137" s="681"/>
    </row>
    <row r="138" spans="1:20">
      <c r="A138" s="678"/>
      <c r="B138" s="678"/>
      <c r="C138" s="681"/>
      <c r="D138" s="678"/>
      <c r="E138" s="678"/>
      <c r="F138" s="681"/>
      <c r="G138" s="678"/>
      <c r="H138" s="534" t="s">
        <v>1221</v>
      </c>
      <c r="I138" s="678"/>
      <c r="J138" s="678"/>
      <c r="K138" s="678"/>
      <c r="L138" s="678"/>
      <c r="M138" s="678"/>
      <c r="N138" s="678"/>
      <c r="O138" s="678"/>
      <c r="P138" s="678"/>
      <c r="Q138" s="678"/>
      <c r="R138" s="678"/>
      <c r="S138" s="678"/>
      <c r="T138" s="681"/>
    </row>
    <row r="139" spans="1:20">
      <c r="A139" s="678"/>
      <c r="B139" s="678"/>
      <c r="C139" s="681"/>
      <c r="D139" s="678"/>
      <c r="E139" s="678"/>
      <c r="F139" s="681"/>
      <c r="G139" s="678"/>
      <c r="H139" s="534" t="s">
        <v>1222</v>
      </c>
      <c r="I139" s="678"/>
      <c r="J139" s="678"/>
      <c r="K139" s="678"/>
      <c r="L139" s="678"/>
      <c r="M139" s="678"/>
      <c r="N139" s="678"/>
      <c r="O139" s="678"/>
      <c r="P139" s="678"/>
      <c r="Q139" s="678"/>
      <c r="R139" s="678"/>
      <c r="S139" s="678"/>
      <c r="T139" s="681"/>
    </row>
    <row r="140" spans="1:20">
      <c r="A140" s="678"/>
      <c r="B140" s="678"/>
      <c r="C140" s="681"/>
      <c r="D140" s="678"/>
      <c r="E140" s="678"/>
      <c r="F140" s="681"/>
      <c r="G140" s="678"/>
      <c r="H140" s="534" t="s">
        <v>1231</v>
      </c>
      <c r="I140" s="678"/>
      <c r="J140" s="678"/>
      <c r="K140" s="678"/>
      <c r="L140" s="678"/>
      <c r="M140" s="678"/>
      <c r="N140" s="678"/>
      <c r="O140" s="678"/>
      <c r="P140" s="678"/>
      <c r="Q140" s="678"/>
      <c r="R140" s="678"/>
      <c r="S140" s="678"/>
      <c r="T140" s="681"/>
    </row>
    <row r="141" spans="1:20">
      <c r="A141" s="679"/>
      <c r="B141" s="679"/>
      <c r="C141" s="682"/>
      <c r="D141" s="679"/>
      <c r="E141" s="679"/>
      <c r="F141" s="682"/>
      <c r="G141" s="679"/>
      <c r="H141" s="535" t="s">
        <v>1232</v>
      </c>
      <c r="I141" s="679"/>
      <c r="J141" s="679"/>
      <c r="K141" s="679"/>
      <c r="L141" s="679"/>
      <c r="M141" s="679"/>
      <c r="N141" s="679"/>
      <c r="O141" s="679"/>
      <c r="P141" s="679"/>
      <c r="Q141" s="679"/>
      <c r="R141" s="679"/>
      <c r="S141" s="679"/>
      <c r="T141" s="682"/>
    </row>
    <row r="142" spans="1:20">
      <c r="A142" s="677" t="s">
        <v>1234</v>
      </c>
      <c r="B142" s="677" t="s">
        <v>1235</v>
      </c>
      <c r="C142" s="680">
        <v>17140</v>
      </c>
      <c r="D142" s="677" t="s">
        <v>1236</v>
      </c>
      <c r="E142" s="677" t="s">
        <v>1130</v>
      </c>
      <c r="F142" s="680" t="s">
        <v>1237</v>
      </c>
      <c r="G142" s="677" t="s">
        <v>1238</v>
      </c>
      <c r="H142" s="533" t="s">
        <v>1239</v>
      </c>
      <c r="I142" s="677"/>
      <c r="J142" s="677"/>
      <c r="K142" s="677"/>
      <c r="L142" s="677"/>
      <c r="M142" s="677"/>
      <c r="N142" s="677"/>
      <c r="O142" s="677"/>
      <c r="P142" s="677"/>
      <c r="Q142" s="677"/>
      <c r="R142" s="677"/>
      <c r="S142" s="677"/>
      <c r="T142" s="680" t="s">
        <v>1131</v>
      </c>
    </row>
    <row r="143" spans="1:20">
      <c r="A143" s="678"/>
      <c r="B143" s="678"/>
      <c r="C143" s="681"/>
      <c r="D143" s="678"/>
      <c r="E143" s="678"/>
      <c r="F143" s="681"/>
      <c r="G143" s="678"/>
      <c r="H143" s="534" t="s">
        <v>1240</v>
      </c>
      <c r="I143" s="678"/>
      <c r="J143" s="678"/>
      <c r="K143" s="678"/>
      <c r="L143" s="678"/>
      <c r="M143" s="678"/>
      <c r="N143" s="678"/>
      <c r="O143" s="678"/>
      <c r="P143" s="678"/>
      <c r="Q143" s="678"/>
      <c r="R143" s="678"/>
      <c r="S143" s="678"/>
      <c r="T143" s="681"/>
    </row>
    <row r="144" spans="1:20">
      <c r="A144" s="678"/>
      <c r="B144" s="678"/>
      <c r="C144" s="681"/>
      <c r="D144" s="678"/>
      <c r="E144" s="678"/>
      <c r="F144" s="681"/>
      <c r="G144" s="678"/>
      <c r="H144" s="534" t="s">
        <v>1241</v>
      </c>
      <c r="I144" s="678"/>
      <c r="J144" s="678"/>
      <c r="K144" s="678"/>
      <c r="L144" s="678"/>
      <c r="M144" s="678"/>
      <c r="N144" s="678"/>
      <c r="O144" s="678"/>
      <c r="P144" s="678"/>
      <c r="Q144" s="678"/>
      <c r="R144" s="678"/>
      <c r="S144" s="678"/>
      <c r="T144" s="681"/>
    </row>
    <row r="145" spans="1:20">
      <c r="A145" s="678"/>
      <c r="B145" s="678"/>
      <c r="C145" s="681"/>
      <c r="D145" s="678"/>
      <c r="E145" s="678"/>
      <c r="F145" s="681"/>
      <c r="G145" s="678"/>
      <c r="H145" s="534" t="s">
        <v>1242</v>
      </c>
      <c r="I145" s="678"/>
      <c r="J145" s="678"/>
      <c r="K145" s="678"/>
      <c r="L145" s="678"/>
      <c r="M145" s="678"/>
      <c r="N145" s="678"/>
      <c r="O145" s="678"/>
      <c r="P145" s="678"/>
      <c r="Q145" s="678"/>
      <c r="R145" s="678"/>
      <c r="S145" s="678"/>
      <c r="T145" s="681"/>
    </row>
    <row r="146" spans="1:20">
      <c r="A146" s="678"/>
      <c r="B146" s="678"/>
      <c r="C146" s="681"/>
      <c r="D146" s="678"/>
      <c r="E146" s="678"/>
      <c r="F146" s="681"/>
      <c r="G146" s="678"/>
      <c r="H146" s="534" t="s">
        <v>1243</v>
      </c>
      <c r="I146" s="678"/>
      <c r="J146" s="678"/>
      <c r="K146" s="678"/>
      <c r="L146" s="678"/>
      <c r="M146" s="678"/>
      <c r="N146" s="678"/>
      <c r="O146" s="678"/>
      <c r="P146" s="678"/>
      <c r="Q146" s="678"/>
      <c r="R146" s="678"/>
      <c r="S146" s="678"/>
      <c r="T146" s="681"/>
    </row>
    <row r="147" spans="1:20">
      <c r="A147" s="678"/>
      <c r="B147" s="678"/>
      <c r="C147" s="681"/>
      <c r="D147" s="678"/>
      <c r="E147" s="678"/>
      <c r="F147" s="681"/>
      <c r="G147" s="678"/>
      <c r="H147" s="534" t="s">
        <v>1244</v>
      </c>
      <c r="I147" s="678"/>
      <c r="J147" s="678"/>
      <c r="K147" s="678"/>
      <c r="L147" s="678"/>
      <c r="M147" s="678"/>
      <c r="N147" s="678"/>
      <c r="O147" s="678"/>
      <c r="P147" s="678"/>
      <c r="Q147" s="678"/>
      <c r="R147" s="678"/>
      <c r="S147" s="678"/>
      <c r="T147" s="681"/>
    </row>
    <row r="148" spans="1:20">
      <c r="A148" s="678"/>
      <c r="B148" s="678"/>
      <c r="C148" s="681"/>
      <c r="D148" s="678"/>
      <c r="E148" s="678"/>
      <c r="F148" s="681"/>
      <c r="G148" s="678"/>
      <c r="H148" s="534" t="s">
        <v>1245</v>
      </c>
      <c r="I148" s="678"/>
      <c r="J148" s="678"/>
      <c r="K148" s="678"/>
      <c r="L148" s="678"/>
      <c r="M148" s="678"/>
      <c r="N148" s="678"/>
      <c r="O148" s="678"/>
      <c r="P148" s="678"/>
      <c r="Q148" s="678"/>
      <c r="R148" s="678"/>
      <c r="S148" s="678"/>
      <c r="T148" s="681"/>
    </row>
    <row r="149" spans="1:20">
      <c r="A149" s="678"/>
      <c r="B149" s="678"/>
      <c r="C149" s="681"/>
      <c r="D149" s="678"/>
      <c r="E149" s="678"/>
      <c r="F149" s="681"/>
      <c r="G149" s="678"/>
      <c r="H149" s="534" t="s">
        <v>1246</v>
      </c>
      <c r="I149" s="678"/>
      <c r="J149" s="678"/>
      <c r="K149" s="678"/>
      <c r="L149" s="678"/>
      <c r="M149" s="678"/>
      <c r="N149" s="678"/>
      <c r="O149" s="678"/>
      <c r="P149" s="678"/>
      <c r="Q149" s="678"/>
      <c r="R149" s="678"/>
      <c r="S149" s="678"/>
      <c r="T149" s="681"/>
    </row>
    <row r="150" spans="1:20">
      <c r="A150" s="679"/>
      <c r="B150" s="679"/>
      <c r="C150" s="682"/>
      <c r="D150" s="679"/>
      <c r="E150" s="679"/>
      <c r="F150" s="682"/>
      <c r="G150" s="679"/>
      <c r="H150" s="535" t="s">
        <v>1247</v>
      </c>
      <c r="I150" s="679"/>
      <c r="J150" s="679"/>
      <c r="K150" s="679"/>
      <c r="L150" s="679"/>
      <c r="M150" s="679"/>
      <c r="N150" s="679"/>
      <c r="O150" s="679"/>
      <c r="P150" s="679"/>
      <c r="Q150" s="679"/>
      <c r="R150" s="679"/>
      <c r="S150" s="679"/>
      <c r="T150" s="682"/>
    </row>
    <row r="151" spans="1:20">
      <c r="A151" s="677" t="s">
        <v>1248</v>
      </c>
      <c r="B151" s="677" t="s">
        <v>1249</v>
      </c>
      <c r="C151" s="680">
        <v>17140</v>
      </c>
      <c r="D151" s="677" t="s">
        <v>1250</v>
      </c>
      <c r="E151" s="677" t="s">
        <v>1130</v>
      </c>
      <c r="F151" s="680">
        <v>20</v>
      </c>
      <c r="G151" s="677" t="s">
        <v>1022</v>
      </c>
      <c r="H151" s="533" t="s">
        <v>1251</v>
      </c>
      <c r="I151" s="677"/>
      <c r="J151" s="677"/>
      <c r="K151" s="677"/>
      <c r="L151" s="677"/>
      <c r="M151" s="677"/>
      <c r="N151" s="677"/>
      <c r="O151" s="677"/>
      <c r="P151" s="677"/>
      <c r="Q151" s="677"/>
      <c r="R151" s="677"/>
      <c r="S151" s="677"/>
      <c r="T151" s="680" t="s">
        <v>1131</v>
      </c>
    </row>
    <row r="152" spans="1:20">
      <c r="A152" s="678"/>
      <c r="B152" s="678"/>
      <c r="C152" s="681"/>
      <c r="D152" s="678"/>
      <c r="E152" s="678"/>
      <c r="F152" s="681"/>
      <c r="G152" s="678"/>
      <c r="H152" s="534" t="s">
        <v>1252</v>
      </c>
      <c r="I152" s="678"/>
      <c r="J152" s="678"/>
      <c r="K152" s="678"/>
      <c r="L152" s="678"/>
      <c r="M152" s="678"/>
      <c r="N152" s="678"/>
      <c r="O152" s="678"/>
      <c r="P152" s="678"/>
      <c r="Q152" s="678"/>
      <c r="R152" s="678"/>
      <c r="S152" s="678"/>
      <c r="T152" s="681"/>
    </row>
    <row r="153" spans="1:20">
      <c r="A153" s="678"/>
      <c r="B153" s="678"/>
      <c r="C153" s="681"/>
      <c r="D153" s="678"/>
      <c r="E153" s="678"/>
      <c r="F153" s="681"/>
      <c r="G153" s="678"/>
      <c r="H153" s="534" t="s">
        <v>1253</v>
      </c>
      <c r="I153" s="678"/>
      <c r="J153" s="678"/>
      <c r="K153" s="678"/>
      <c r="L153" s="678"/>
      <c r="M153" s="678"/>
      <c r="N153" s="678"/>
      <c r="O153" s="678"/>
      <c r="P153" s="678"/>
      <c r="Q153" s="678"/>
      <c r="R153" s="678"/>
      <c r="S153" s="678"/>
      <c r="T153" s="681"/>
    </row>
    <row r="154" spans="1:20">
      <c r="A154" s="678"/>
      <c r="B154" s="678"/>
      <c r="C154" s="681"/>
      <c r="D154" s="678"/>
      <c r="E154" s="678"/>
      <c r="F154" s="681"/>
      <c r="G154" s="678"/>
      <c r="H154" s="534" t="s">
        <v>1254</v>
      </c>
      <c r="I154" s="678"/>
      <c r="J154" s="678"/>
      <c r="K154" s="678"/>
      <c r="L154" s="678"/>
      <c r="M154" s="678"/>
      <c r="N154" s="678"/>
      <c r="O154" s="678"/>
      <c r="P154" s="678"/>
      <c r="Q154" s="678"/>
      <c r="R154" s="678"/>
      <c r="S154" s="678"/>
      <c r="T154" s="681"/>
    </row>
    <row r="155" spans="1:20">
      <c r="A155" s="678"/>
      <c r="B155" s="678"/>
      <c r="C155" s="681"/>
      <c r="D155" s="678"/>
      <c r="E155" s="678"/>
      <c r="F155" s="681"/>
      <c r="G155" s="678"/>
      <c r="H155" s="534" t="s">
        <v>1255</v>
      </c>
      <c r="I155" s="678"/>
      <c r="J155" s="678"/>
      <c r="K155" s="678"/>
      <c r="L155" s="678"/>
      <c r="M155" s="678"/>
      <c r="N155" s="678"/>
      <c r="O155" s="678"/>
      <c r="P155" s="678"/>
      <c r="Q155" s="678"/>
      <c r="R155" s="678"/>
      <c r="S155" s="678"/>
      <c r="T155" s="681"/>
    </row>
    <row r="156" spans="1:20">
      <c r="A156" s="678"/>
      <c r="B156" s="678"/>
      <c r="C156" s="681"/>
      <c r="D156" s="678"/>
      <c r="E156" s="678"/>
      <c r="F156" s="681"/>
      <c r="G156" s="678"/>
      <c r="H156" s="534" t="s">
        <v>1256</v>
      </c>
      <c r="I156" s="678"/>
      <c r="J156" s="678"/>
      <c r="K156" s="678"/>
      <c r="L156" s="678"/>
      <c r="M156" s="678"/>
      <c r="N156" s="678"/>
      <c r="O156" s="678"/>
      <c r="P156" s="678"/>
      <c r="Q156" s="678"/>
      <c r="R156" s="678"/>
      <c r="S156" s="678"/>
      <c r="T156" s="681"/>
    </row>
    <row r="157" spans="1:20">
      <c r="A157" s="678"/>
      <c r="B157" s="678"/>
      <c r="C157" s="681"/>
      <c r="D157" s="678"/>
      <c r="E157" s="678"/>
      <c r="F157" s="681"/>
      <c r="G157" s="678"/>
      <c r="H157" s="534" t="s">
        <v>1257</v>
      </c>
      <c r="I157" s="678"/>
      <c r="J157" s="678"/>
      <c r="K157" s="678"/>
      <c r="L157" s="678"/>
      <c r="M157" s="678"/>
      <c r="N157" s="678"/>
      <c r="O157" s="678"/>
      <c r="P157" s="678"/>
      <c r="Q157" s="678"/>
      <c r="R157" s="678"/>
      <c r="S157" s="678"/>
      <c r="T157" s="681"/>
    </row>
    <row r="158" spans="1:20">
      <c r="A158" s="678"/>
      <c r="B158" s="678"/>
      <c r="C158" s="681"/>
      <c r="D158" s="678"/>
      <c r="E158" s="678"/>
      <c r="F158" s="681"/>
      <c r="G158" s="678"/>
      <c r="H158" s="534" t="s">
        <v>1258</v>
      </c>
      <c r="I158" s="678"/>
      <c r="J158" s="678"/>
      <c r="K158" s="678"/>
      <c r="L158" s="678"/>
      <c r="M158" s="678"/>
      <c r="N158" s="678"/>
      <c r="O158" s="678"/>
      <c r="P158" s="678"/>
      <c r="Q158" s="678"/>
      <c r="R158" s="678"/>
      <c r="S158" s="678"/>
      <c r="T158" s="681"/>
    </row>
    <row r="159" spans="1:20">
      <c r="A159" s="679"/>
      <c r="B159" s="679"/>
      <c r="C159" s="682"/>
      <c r="D159" s="679"/>
      <c r="E159" s="679"/>
      <c r="F159" s="682"/>
      <c r="G159" s="679"/>
      <c r="H159" s="535" t="s">
        <v>1259</v>
      </c>
      <c r="I159" s="679"/>
      <c r="J159" s="679"/>
      <c r="K159" s="679"/>
      <c r="L159" s="679"/>
      <c r="M159" s="679"/>
      <c r="N159" s="679"/>
      <c r="O159" s="679"/>
      <c r="P159" s="679"/>
      <c r="Q159" s="679"/>
      <c r="R159" s="679"/>
      <c r="S159" s="679"/>
      <c r="T159" s="682"/>
    </row>
    <row r="160" spans="1:20">
      <c r="A160" s="677" t="s">
        <v>1260</v>
      </c>
      <c r="B160" s="677" t="s">
        <v>1261</v>
      </c>
      <c r="C160" s="680">
        <v>17140</v>
      </c>
      <c r="D160" s="677" t="s">
        <v>1262</v>
      </c>
      <c r="E160" s="677" t="s">
        <v>1130</v>
      </c>
      <c r="F160" s="680"/>
      <c r="G160" s="677"/>
      <c r="H160" s="533" t="s">
        <v>1216</v>
      </c>
      <c r="I160" s="677"/>
      <c r="J160" s="677"/>
      <c r="K160" s="677"/>
      <c r="L160" s="677"/>
      <c r="M160" s="677"/>
      <c r="N160" s="677"/>
      <c r="O160" s="677"/>
      <c r="P160" s="677"/>
      <c r="Q160" s="677"/>
      <c r="R160" s="677"/>
      <c r="S160" s="677"/>
      <c r="T160" s="680" t="s">
        <v>1131</v>
      </c>
    </row>
    <row r="161" spans="1:20">
      <c r="A161" s="678"/>
      <c r="B161" s="678"/>
      <c r="C161" s="681"/>
      <c r="D161" s="678"/>
      <c r="E161" s="678"/>
      <c r="F161" s="681"/>
      <c r="G161" s="678"/>
      <c r="H161" s="534" t="s">
        <v>1217</v>
      </c>
      <c r="I161" s="678"/>
      <c r="J161" s="678"/>
      <c r="K161" s="678"/>
      <c r="L161" s="678"/>
      <c r="M161" s="678"/>
      <c r="N161" s="678"/>
      <c r="O161" s="678"/>
      <c r="P161" s="678"/>
      <c r="Q161" s="678"/>
      <c r="R161" s="678"/>
      <c r="S161" s="678"/>
      <c r="T161" s="681"/>
    </row>
    <row r="162" spans="1:20">
      <c r="A162" s="678"/>
      <c r="B162" s="678"/>
      <c r="C162" s="681"/>
      <c r="D162" s="678"/>
      <c r="E162" s="678"/>
      <c r="F162" s="681"/>
      <c r="G162" s="678"/>
      <c r="H162" s="534" t="s">
        <v>1219</v>
      </c>
      <c r="I162" s="678"/>
      <c r="J162" s="678"/>
      <c r="K162" s="678"/>
      <c r="L162" s="678"/>
      <c r="M162" s="678"/>
      <c r="N162" s="678"/>
      <c r="O162" s="678"/>
      <c r="P162" s="678"/>
      <c r="Q162" s="678"/>
      <c r="R162" s="678"/>
      <c r="S162" s="678"/>
      <c r="T162" s="681"/>
    </row>
    <row r="163" spans="1:20">
      <c r="A163" s="678"/>
      <c r="B163" s="678"/>
      <c r="C163" s="681"/>
      <c r="D163" s="678"/>
      <c r="E163" s="678"/>
      <c r="F163" s="681"/>
      <c r="G163" s="678"/>
      <c r="H163" s="534" t="s">
        <v>1220</v>
      </c>
      <c r="I163" s="678"/>
      <c r="J163" s="678"/>
      <c r="K163" s="678"/>
      <c r="L163" s="678"/>
      <c r="M163" s="678"/>
      <c r="N163" s="678"/>
      <c r="O163" s="678"/>
      <c r="P163" s="678"/>
      <c r="Q163" s="678"/>
      <c r="R163" s="678"/>
      <c r="S163" s="678"/>
      <c r="T163" s="681"/>
    </row>
    <row r="164" spans="1:20">
      <c r="A164" s="678"/>
      <c r="B164" s="678"/>
      <c r="C164" s="681"/>
      <c r="D164" s="678"/>
      <c r="E164" s="678"/>
      <c r="F164" s="681"/>
      <c r="G164" s="678"/>
      <c r="H164" s="534" t="s">
        <v>1221</v>
      </c>
      <c r="I164" s="678"/>
      <c r="J164" s="678"/>
      <c r="K164" s="678"/>
      <c r="L164" s="678"/>
      <c r="M164" s="678"/>
      <c r="N164" s="678"/>
      <c r="O164" s="678"/>
      <c r="P164" s="678"/>
      <c r="Q164" s="678"/>
      <c r="R164" s="678"/>
      <c r="S164" s="678"/>
      <c r="T164" s="681"/>
    </row>
    <row r="165" spans="1:20">
      <c r="A165" s="678"/>
      <c r="B165" s="678"/>
      <c r="C165" s="681"/>
      <c r="D165" s="678"/>
      <c r="E165" s="678"/>
      <c r="F165" s="681"/>
      <c r="G165" s="678"/>
      <c r="H165" s="534" t="s">
        <v>1222</v>
      </c>
      <c r="I165" s="678"/>
      <c r="J165" s="678"/>
      <c r="K165" s="678"/>
      <c r="L165" s="678"/>
      <c r="M165" s="678"/>
      <c r="N165" s="678"/>
      <c r="O165" s="678"/>
      <c r="P165" s="678"/>
      <c r="Q165" s="678"/>
      <c r="R165" s="678"/>
      <c r="S165" s="678"/>
      <c r="T165" s="681"/>
    </row>
    <row r="166" spans="1:20">
      <c r="A166" s="678"/>
      <c r="B166" s="678"/>
      <c r="C166" s="681"/>
      <c r="D166" s="678"/>
      <c r="E166" s="678"/>
      <c r="F166" s="681"/>
      <c r="G166" s="678"/>
      <c r="H166" s="534" t="s">
        <v>1231</v>
      </c>
      <c r="I166" s="678"/>
      <c r="J166" s="678"/>
      <c r="K166" s="678"/>
      <c r="L166" s="678"/>
      <c r="M166" s="678"/>
      <c r="N166" s="678"/>
      <c r="O166" s="678"/>
      <c r="P166" s="678"/>
      <c r="Q166" s="678"/>
      <c r="R166" s="678"/>
      <c r="S166" s="678"/>
      <c r="T166" s="681"/>
    </row>
    <row r="167" spans="1:20">
      <c r="A167" s="678"/>
      <c r="B167" s="678"/>
      <c r="C167" s="681"/>
      <c r="D167" s="678"/>
      <c r="E167" s="678"/>
      <c r="F167" s="681"/>
      <c r="G167" s="678"/>
      <c r="H167" s="534" t="s">
        <v>1263</v>
      </c>
      <c r="I167" s="678"/>
      <c r="J167" s="678"/>
      <c r="K167" s="678"/>
      <c r="L167" s="678"/>
      <c r="M167" s="678"/>
      <c r="N167" s="678"/>
      <c r="O167" s="678"/>
      <c r="P167" s="678"/>
      <c r="Q167" s="678"/>
      <c r="R167" s="678"/>
      <c r="S167" s="678"/>
      <c r="T167" s="681"/>
    </row>
    <row r="168" spans="1:20">
      <c r="A168" s="679"/>
      <c r="B168" s="679"/>
      <c r="C168" s="682"/>
      <c r="D168" s="679"/>
      <c r="E168" s="679"/>
      <c r="F168" s="682"/>
      <c r="G168" s="679"/>
      <c r="H168" s="535" t="s">
        <v>1264</v>
      </c>
      <c r="I168" s="679"/>
      <c r="J168" s="679"/>
      <c r="K168" s="679"/>
      <c r="L168" s="679"/>
      <c r="M168" s="679"/>
      <c r="N168" s="679"/>
      <c r="O168" s="679"/>
      <c r="P168" s="679"/>
      <c r="Q168" s="679"/>
      <c r="R168" s="679"/>
      <c r="S168" s="679"/>
      <c r="T168" s="682"/>
    </row>
    <row r="169" spans="1:20" ht="72" customHeight="1">
      <c r="A169" s="677" t="s">
        <v>1265</v>
      </c>
      <c r="B169" s="677" t="s">
        <v>1266</v>
      </c>
      <c r="C169" s="680">
        <v>17155</v>
      </c>
      <c r="D169" s="677" t="s">
        <v>1267</v>
      </c>
      <c r="E169" s="677" t="s">
        <v>1184</v>
      </c>
      <c r="F169" s="680" t="s">
        <v>1268</v>
      </c>
      <c r="G169" s="677" t="s">
        <v>1186</v>
      </c>
      <c r="H169" s="533" t="s">
        <v>1269</v>
      </c>
      <c r="I169" s="677"/>
      <c r="J169" s="677"/>
      <c r="K169" s="677"/>
      <c r="L169" s="677"/>
      <c r="M169" s="677"/>
      <c r="N169" s="677"/>
      <c r="O169" s="677"/>
      <c r="P169" s="677"/>
      <c r="Q169" s="677"/>
      <c r="R169" s="677"/>
      <c r="S169" s="677"/>
      <c r="T169" s="680" t="s">
        <v>1271</v>
      </c>
    </row>
    <row r="170" spans="1:20">
      <c r="A170" s="679"/>
      <c r="B170" s="679"/>
      <c r="C170" s="682"/>
      <c r="D170" s="679"/>
      <c r="E170" s="679"/>
      <c r="F170" s="682"/>
      <c r="G170" s="679"/>
      <c r="H170" s="535" t="s">
        <v>1270</v>
      </c>
      <c r="I170" s="679"/>
      <c r="J170" s="679"/>
      <c r="K170" s="679"/>
      <c r="L170" s="679"/>
      <c r="M170" s="679"/>
      <c r="N170" s="679"/>
      <c r="O170" s="679"/>
      <c r="P170" s="679"/>
      <c r="Q170" s="679"/>
      <c r="R170" s="679"/>
      <c r="S170" s="679"/>
      <c r="T170" s="682"/>
    </row>
    <row r="171" spans="1:20">
      <c r="A171" s="536" t="s">
        <v>1272</v>
      </c>
      <c r="B171" s="536" t="s">
        <v>1273</v>
      </c>
      <c r="C171" s="537">
        <v>17172</v>
      </c>
      <c r="D171" s="536" t="s">
        <v>1274</v>
      </c>
      <c r="E171" s="536" t="s">
        <v>1275</v>
      </c>
      <c r="F171" s="537"/>
      <c r="G171" s="536"/>
      <c r="H171" s="537" t="s">
        <v>1276</v>
      </c>
      <c r="I171" s="536"/>
      <c r="J171" s="536"/>
      <c r="K171" s="536"/>
      <c r="L171" s="536"/>
      <c r="M171" s="536"/>
      <c r="N171" s="536"/>
      <c r="O171" s="536"/>
      <c r="P171" s="536"/>
      <c r="Q171" s="536"/>
      <c r="R171" s="536"/>
      <c r="S171" s="536"/>
      <c r="T171" s="537" t="s">
        <v>1056</v>
      </c>
    </row>
    <row r="172" spans="1:20">
      <c r="A172" s="677" t="s">
        <v>1277</v>
      </c>
      <c r="B172" s="677" t="s">
        <v>1278</v>
      </c>
      <c r="C172" s="680">
        <v>2528</v>
      </c>
      <c r="D172" s="677"/>
      <c r="E172" s="677"/>
      <c r="F172" s="680"/>
      <c r="G172" s="677"/>
      <c r="H172" s="680" t="s">
        <v>1279</v>
      </c>
      <c r="I172" s="677" t="s">
        <v>1280</v>
      </c>
      <c r="J172" s="677" t="s">
        <v>1281</v>
      </c>
      <c r="K172" s="677" t="s">
        <v>1282</v>
      </c>
      <c r="L172" s="677" t="s">
        <v>398</v>
      </c>
      <c r="M172" s="677" t="s">
        <v>1283</v>
      </c>
      <c r="N172" s="677" t="s">
        <v>993</v>
      </c>
      <c r="O172" s="677" t="s">
        <v>1143</v>
      </c>
      <c r="P172" s="677" t="s">
        <v>1284</v>
      </c>
      <c r="Q172" s="677" t="s">
        <v>1285</v>
      </c>
      <c r="R172" s="677"/>
      <c r="S172" s="677" t="s">
        <v>995</v>
      </c>
      <c r="T172" s="533" t="s">
        <v>1286</v>
      </c>
    </row>
    <row r="173" spans="1:20">
      <c r="A173" s="678"/>
      <c r="B173" s="678"/>
      <c r="C173" s="681"/>
      <c r="D173" s="678"/>
      <c r="E173" s="678"/>
      <c r="F173" s="681"/>
      <c r="G173" s="678"/>
      <c r="H173" s="681"/>
      <c r="I173" s="678"/>
      <c r="J173" s="678"/>
      <c r="K173" s="678"/>
      <c r="L173" s="678"/>
      <c r="M173" s="678"/>
      <c r="N173" s="678"/>
      <c r="O173" s="678"/>
      <c r="P173" s="678"/>
      <c r="Q173" s="678"/>
      <c r="R173" s="678"/>
      <c r="S173" s="678"/>
      <c r="T173" s="534"/>
    </row>
    <row r="174" spans="1:20" ht="28.8">
      <c r="A174" s="679"/>
      <c r="B174" s="679"/>
      <c r="C174" s="682"/>
      <c r="D174" s="679"/>
      <c r="E174" s="679"/>
      <c r="F174" s="682"/>
      <c r="G174" s="679"/>
      <c r="H174" s="682"/>
      <c r="I174" s="679"/>
      <c r="J174" s="679"/>
      <c r="K174" s="679"/>
      <c r="L174" s="679"/>
      <c r="M174" s="679"/>
      <c r="N174" s="679"/>
      <c r="O174" s="679"/>
      <c r="P174" s="679"/>
      <c r="Q174" s="679"/>
      <c r="R174" s="679"/>
      <c r="S174" s="679"/>
      <c r="T174" s="535" t="s">
        <v>1287</v>
      </c>
    </row>
    <row r="175" spans="1:20" ht="28.8">
      <c r="A175" s="677" t="s">
        <v>1288</v>
      </c>
      <c r="B175" s="677" t="s">
        <v>1289</v>
      </c>
      <c r="C175" s="680" t="s">
        <v>1290</v>
      </c>
      <c r="D175" s="677" t="s">
        <v>1291</v>
      </c>
      <c r="E175" s="677">
        <v>10080</v>
      </c>
      <c r="F175" s="680"/>
      <c r="G175" s="677"/>
      <c r="H175" s="680"/>
      <c r="I175" s="677" t="s">
        <v>1292</v>
      </c>
      <c r="J175" s="677"/>
      <c r="K175" s="677"/>
      <c r="L175" s="677" t="s">
        <v>992</v>
      </c>
      <c r="M175" s="677" t="s">
        <v>992</v>
      </c>
      <c r="N175" s="677"/>
      <c r="O175" s="677"/>
      <c r="P175" s="677"/>
      <c r="Q175" s="677"/>
      <c r="R175" s="677"/>
      <c r="S175" s="677"/>
      <c r="T175" s="533" t="s">
        <v>1293</v>
      </c>
    </row>
    <row r="176" spans="1:20">
      <c r="A176" s="678"/>
      <c r="B176" s="678"/>
      <c r="C176" s="681"/>
      <c r="D176" s="678"/>
      <c r="E176" s="678"/>
      <c r="F176" s="681"/>
      <c r="G176" s="678"/>
      <c r="H176" s="681"/>
      <c r="I176" s="678"/>
      <c r="J176" s="678"/>
      <c r="K176" s="678"/>
      <c r="L176" s="678"/>
      <c r="M176" s="678"/>
      <c r="N176" s="678"/>
      <c r="O176" s="678"/>
      <c r="P176" s="678"/>
      <c r="Q176" s="678"/>
      <c r="R176" s="678"/>
      <c r="S176" s="678"/>
      <c r="T176" s="534" t="s">
        <v>1294</v>
      </c>
    </row>
    <row r="177" spans="1:20">
      <c r="A177" s="678"/>
      <c r="B177" s="678"/>
      <c r="C177" s="681"/>
      <c r="D177" s="678"/>
      <c r="E177" s="678"/>
      <c r="F177" s="681"/>
      <c r="G177" s="678"/>
      <c r="H177" s="681"/>
      <c r="I177" s="678"/>
      <c r="J177" s="678"/>
      <c r="K177" s="678"/>
      <c r="L177" s="678"/>
      <c r="M177" s="678"/>
      <c r="N177" s="678"/>
      <c r="O177" s="678"/>
      <c r="P177" s="678"/>
      <c r="Q177" s="678"/>
      <c r="R177" s="678"/>
      <c r="S177" s="678"/>
      <c r="T177" s="534"/>
    </row>
    <row r="178" spans="1:20">
      <c r="A178" s="679"/>
      <c r="B178" s="679"/>
      <c r="C178" s="682"/>
      <c r="D178" s="679"/>
      <c r="E178" s="679"/>
      <c r="F178" s="682"/>
      <c r="G178" s="679"/>
      <c r="H178" s="682"/>
      <c r="I178" s="679"/>
      <c r="J178" s="679"/>
      <c r="K178" s="679"/>
      <c r="L178" s="679"/>
      <c r="M178" s="679"/>
      <c r="N178" s="679"/>
      <c r="O178" s="679"/>
      <c r="P178" s="679"/>
      <c r="Q178" s="679"/>
      <c r="R178" s="679"/>
      <c r="S178" s="679"/>
      <c r="T178" s="539" t="s">
        <v>1295</v>
      </c>
    </row>
    <row r="179" spans="1:20">
      <c r="A179" s="677" t="s">
        <v>1296</v>
      </c>
      <c r="B179" s="677" t="s">
        <v>1297</v>
      </c>
      <c r="C179" s="680"/>
      <c r="D179" s="677" t="s">
        <v>1298</v>
      </c>
      <c r="E179" s="677" t="s">
        <v>1184</v>
      </c>
      <c r="F179" s="680"/>
      <c r="G179" s="680"/>
      <c r="H179" s="680"/>
      <c r="I179" s="680" t="s">
        <v>1299</v>
      </c>
      <c r="J179" s="680">
        <v>0.35</v>
      </c>
      <c r="K179" s="680" t="s">
        <v>1300</v>
      </c>
      <c r="L179" s="680" t="s">
        <v>992</v>
      </c>
      <c r="M179" s="680" t="s">
        <v>992</v>
      </c>
      <c r="N179" s="680"/>
      <c r="O179" s="680"/>
      <c r="P179" s="680"/>
      <c r="Q179" s="680"/>
      <c r="R179" s="680"/>
      <c r="S179" s="680"/>
      <c r="T179" s="533" t="s">
        <v>1301</v>
      </c>
    </row>
    <row r="180" spans="1:20">
      <c r="A180" s="678"/>
      <c r="B180" s="678"/>
      <c r="C180" s="681"/>
      <c r="D180" s="678"/>
      <c r="E180" s="678"/>
      <c r="F180" s="681"/>
      <c r="G180" s="681"/>
      <c r="H180" s="681"/>
      <c r="I180" s="681"/>
      <c r="J180" s="681"/>
      <c r="K180" s="681"/>
      <c r="L180" s="681"/>
      <c r="M180" s="681"/>
      <c r="N180" s="681"/>
      <c r="O180" s="681"/>
      <c r="P180" s="681"/>
      <c r="Q180" s="681"/>
      <c r="R180" s="681"/>
      <c r="S180" s="681"/>
      <c r="T180" s="534" t="s">
        <v>1106</v>
      </c>
    </row>
    <row r="181" spans="1:20">
      <c r="A181" s="679"/>
      <c r="B181" s="679"/>
      <c r="C181" s="682"/>
      <c r="D181" s="679"/>
      <c r="E181" s="679"/>
      <c r="F181" s="682"/>
      <c r="G181" s="682"/>
      <c r="H181" s="682"/>
      <c r="I181" s="682"/>
      <c r="J181" s="682"/>
      <c r="K181" s="682"/>
      <c r="L181" s="682"/>
      <c r="M181" s="682"/>
      <c r="N181" s="682"/>
      <c r="O181" s="682"/>
      <c r="P181" s="682"/>
      <c r="Q181" s="682"/>
      <c r="R181" s="682"/>
      <c r="S181" s="682"/>
      <c r="T181" s="535" t="s">
        <v>1302</v>
      </c>
    </row>
    <row r="182" spans="1:20">
      <c r="A182" s="677" t="s">
        <v>1303</v>
      </c>
      <c r="B182" s="677" t="s">
        <v>1304</v>
      </c>
      <c r="C182" s="680"/>
      <c r="D182" s="677" t="s">
        <v>1305</v>
      </c>
      <c r="E182" s="677" t="s">
        <v>1275</v>
      </c>
      <c r="F182" s="680"/>
      <c r="G182" s="680"/>
      <c r="H182" s="680" t="s">
        <v>1276</v>
      </c>
      <c r="I182" s="680" t="s">
        <v>1306</v>
      </c>
      <c r="J182" s="680" t="s">
        <v>1143</v>
      </c>
      <c r="K182" s="680" t="s">
        <v>1307</v>
      </c>
      <c r="L182" s="680" t="s">
        <v>398</v>
      </c>
      <c r="M182" s="680" t="s">
        <v>1308</v>
      </c>
      <c r="N182" s="680"/>
      <c r="O182" s="680"/>
      <c r="P182" s="680"/>
      <c r="Q182" s="680"/>
      <c r="R182" s="680" t="s">
        <v>1309</v>
      </c>
      <c r="S182" s="680"/>
      <c r="T182" s="533" t="s">
        <v>1106</v>
      </c>
    </row>
    <row r="183" spans="1:20" ht="28.8">
      <c r="A183" s="679"/>
      <c r="B183" s="679"/>
      <c r="C183" s="682"/>
      <c r="D183" s="679"/>
      <c r="E183" s="679"/>
      <c r="F183" s="682"/>
      <c r="G183" s="682"/>
      <c r="H183" s="682"/>
      <c r="I183" s="682"/>
      <c r="J183" s="682"/>
      <c r="K183" s="682"/>
      <c r="L183" s="682"/>
      <c r="M183" s="682"/>
      <c r="N183" s="682"/>
      <c r="O183" s="682"/>
      <c r="P183" s="682"/>
      <c r="Q183" s="682"/>
      <c r="R183" s="682"/>
      <c r="S183" s="682"/>
      <c r="T183" s="535" t="s">
        <v>1310</v>
      </c>
    </row>
    <row r="184" spans="1:20">
      <c r="A184" s="677" t="s">
        <v>1311</v>
      </c>
      <c r="B184" s="677" t="s">
        <v>1312</v>
      </c>
      <c r="C184" s="680"/>
      <c r="D184" s="677" t="s">
        <v>1313</v>
      </c>
      <c r="E184" s="677" t="s">
        <v>1314</v>
      </c>
      <c r="F184" s="680"/>
      <c r="G184" s="680"/>
      <c r="H184" s="680" t="s">
        <v>1315</v>
      </c>
      <c r="I184" s="680" t="s">
        <v>1306</v>
      </c>
      <c r="J184" s="680" t="s">
        <v>1143</v>
      </c>
      <c r="K184" s="680" t="s">
        <v>1316</v>
      </c>
      <c r="L184" s="680" t="s">
        <v>1145</v>
      </c>
      <c r="M184" s="680" t="s">
        <v>1145</v>
      </c>
      <c r="N184" s="680"/>
      <c r="O184" s="680"/>
      <c r="P184" s="680"/>
      <c r="Q184" s="680"/>
      <c r="R184" s="680" t="s">
        <v>1309</v>
      </c>
      <c r="S184" s="680"/>
      <c r="T184" s="533" t="s">
        <v>1106</v>
      </c>
    </row>
    <row r="185" spans="1:20" ht="28.8">
      <c r="A185" s="679"/>
      <c r="B185" s="679"/>
      <c r="C185" s="682"/>
      <c r="D185" s="679"/>
      <c r="E185" s="679"/>
      <c r="F185" s="682"/>
      <c r="G185" s="682"/>
      <c r="H185" s="682"/>
      <c r="I185" s="682"/>
      <c r="J185" s="682"/>
      <c r="K185" s="682"/>
      <c r="L185" s="682"/>
      <c r="M185" s="682"/>
      <c r="N185" s="682"/>
      <c r="O185" s="682"/>
      <c r="P185" s="682"/>
      <c r="Q185" s="682"/>
      <c r="R185" s="682"/>
      <c r="S185" s="682"/>
      <c r="T185" s="535" t="s">
        <v>1317</v>
      </c>
    </row>
    <row r="186" spans="1:20" ht="28.8">
      <c r="A186" s="677" t="s">
        <v>1318</v>
      </c>
      <c r="B186" s="677" t="s">
        <v>1319</v>
      </c>
      <c r="C186" s="680"/>
      <c r="D186" s="677" t="s">
        <v>1320</v>
      </c>
      <c r="E186" s="677" t="s">
        <v>1184</v>
      </c>
      <c r="F186" s="680"/>
      <c r="G186" s="680"/>
      <c r="H186" s="533" t="s">
        <v>1321</v>
      </c>
      <c r="I186" s="680"/>
      <c r="J186" s="680"/>
      <c r="K186" s="680"/>
      <c r="L186" s="680"/>
      <c r="M186" s="680"/>
      <c r="N186" s="680"/>
      <c r="O186" s="680"/>
      <c r="P186" s="680"/>
      <c r="Q186" s="680"/>
      <c r="R186" s="680"/>
      <c r="S186" s="680"/>
      <c r="T186" s="533" t="s">
        <v>1325</v>
      </c>
    </row>
    <row r="187" spans="1:20" ht="28.8">
      <c r="A187" s="678"/>
      <c r="B187" s="678"/>
      <c r="C187" s="681"/>
      <c r="D187" s="678"/>
      <c r="E187" s="678"/>
      <c r="F187" s="681"/>
      <c r="G187" s="681"/>
      <c r="H187" s="534" t="s">
        <v>1322</v>
      </c>
      <c r="I187" s="681"/>
      <c r="J187" s="681"/>
      <c r="K187" s="681"/>
      <c r="L187" s="681"/>
      <c r="M187" s="681"/>
      <c r="N187" s="681"/>
      <c r="O187" s="681"/>
      <c r="P187" s="681"/>
      <c r="Q187" s="681"/>
      <c r="R187" s="681"/>
      <c r="S187" s="681"/>
      <c r="T187" s="534" t="s">
        <v>1326</v>
      </c>
    </row>
    <row r="188" spans="1:20">
      <c r="A188" s="678"/>
      <c r="B188" s="678"/>
      <c r="C188" s="681"/>
      <c r="D188" s="678"/>
      <c r="E188" s="678"/>
      <c r="F188" s="681"/>
      <c r="G188" s="681"/>
      <c r="H188" s="534" t="s">
        <v>1323</v>
      </c>
      <c r="I188" s="681"/>
      <c r="J188" s="681"/>
      <c r="K188" s="681"/>
      <c r="L188" s="681"/>
      <c r="M188" s="681"/>
      <c r="N188" s="681"/>
      <c r="O188" s="681"/>
      <c r="P188" s="681"/>
      <c r="Q188" s="681"/>
      <c r="R188" s="681"/>
      <c r="S188" s="681"/>
      <c r="T188" s="534"/>
    </row>
    <row r="189" spans="1:20">
      <c r="A189" s="679"/>
      <c r="B189" s="679"/>
      <c r="C189" s="682"/>
      <c r="D189" s="679"/>
      <c r="E189" s="679"/>
      <c r="F189" s="682"/>
      <c r="G189" s="682"/>
      <c r="H189" s="535" t="s">
        <v>1324</v>
      </c>
      <c r="I189" s="682"/>
      <c r="J189" s="682"/>
      <c r="K189" s="682"/>
      <c r="L189" s="682"/>
      <c r="M189" s="682"/>
      <c r="N189" s="682"/>
      <c r="O189" s="682"/>
      <c r="P189" s="682"/>
      <c r="Q189" s="682"/>
      <c r="R189" s="682"/>
      <c r="S189" s="682"/>
      <c r="T189" s="535"/>
    </row>
    <row r="190" spans="1:20">
      <c r="A190" s="677" t="s">
        <v>1327</v>
      </c>
      <c r="B190" s="677" t="s">
        <v>1328</v>
      </c>
      <c r="C190" s="680"/>
      <c r="D190" s="677" t="s">
        <v>1329</v>
      </c>
      <c r="E190" s="677" t="s">
        <v>1184</v>
      </c>
      <c r="F190" s="680" t="s">
        <v>1330</v>
      </c>
      <c r="G190" s="680" t="s">
        <v>1186</v>
      </c>
      <c r="H190" s="533" t="s">
        <v>1331</v>
      </c>
      <c r="I190" s="680" t="s">
        <v>1333</v>
      </c>
      <c r="J190" s="680" t="s">
        <v>1143</v>
      </c>
      <c r="K190" s="680" t="s">
        <v>1334</v>
      </c>
      <c r="L190" s="680" t="s">
        <v>1145</v>
      </c>
      <c r="M190" s="680" t="s">
        <v>398</v>
      </c>
      <c r="N190" s="680" t="s">
        <v>993</v>
      </c>
      <c r="O190" s="680" t="s">
        <v>993</v>
      </c>
      <c r="P190" s="680" t="s">
        <v>1335</v>
      </c>
      <c r="Q190" s="680" t="s">
        <v>1308</v>
      </c>
      <c r="R190" s="680" t="s">
        <v>1336</v>
      </c>
      <c r="S190" s="680" t="s">
        <v>1337</v>
      </c>
      <c r="T190" s="533" t="s">
        <v>1106</v>
      </c>
    </row>
    <row r="191" spans="1:20" ht="43.2">
      <c r="A191" s="679"/>
      <c r="B191" s="679"/>
      <c r="C191" s="682"/>
      <c r="D191" s="679"/>
      <c r="E191" s="679"/>
      <c r="F191" s="682"/>
      <c r="G191" s="682"/>
      <c r="H191" s="535" t="s">
        <v>1332</v>
      </c>
      <c r="I191" s="682"/>
      <c r="J191" s="682"/>
      <c r="K191" s="682"/>
      <c r="L191" s="682"/>
      <c r="M191" s="682"/>
      <c r="N191" s="682"/>
      <c r="O191" s="682"/>
      <c r="P191" s="682"/>
      <c r="Q191" s="682"/>
      <c r="R191" s="682"/>
      <c r="S191" s="682"/>
      <c r="T191" s="535" t="s">
        <v>1338</v>
      </c>
    </row>
    <row r="192" spans="1:20">
      <c r="A192" s="677" t="s">
        <v>1339</v>
      </c>
      <c r="B192" s="677" t="s">
        <v>1340</v>
      </c>
      <c r="C192" s="680"/>
      <c r="D192" s="677" t="s">
        <v>1341</v>
      </c>
      <c r="E192" s="677" t="s">
        <v>1275</v>
      </c>
      <c r="F192" s="680"/>
      <c r="G192" s="680"/>
      <c r="H192" s="680" t="s">
        <v>1342</v>
      </c>
      <c r="I192" s="680" t="s">
        <v>1054</v>
      </c>
      <c r="J192" s="680" t="s">
        <v>1143</v>
      </c>
      <c r="K192" s="680" t="s">
        <v>1316</v>
      </c>
      <c r="L192" s="680" t="s">
        <v>398</v>
      </c>
      <c r="M192" s="680" t="s">
        <v>1308</v>
      </c>
      <c r="N192" s="680"/>
      <c r="O192" s="680"/>
      <c r="P192" s="680"/>
      <c r="Q192" s="680" t="s">
        <v>357</v>
      </c>
      <c r="R192" s="680" t="s">
        <v>1309</v>
      </c>
      <c r="S192" s="680"/>
      <c r="T192" s="533" t="s">
        <v>1343</v>
      </c>
    </row>
    <row r="193" spans="1:20">
      <c r="A193" s="678"/>
      <c r="B193" s="678"/>
      <c r="C193" s="681"/>
      <c r="D193" s="678"/>
      <c r="E193" s="678"/>
      <c r="F193" s="681"/>
      <c r="G193" s="681"/>
      <c r="H193" s="681"/>
      <c r="I193" s="681"/>
      <c r="J193" s="681"/>
      <c r="K193" s="681"/>
      <c r="L193" s="681"/>
      <c r="M193" s="681"/>
      <c r="N193" s="681"/>
      <c r="O193" s="681"/>
      <c r="P193" s="681"/>
      <c r="Q193" s="681"/>
      <c r="R193" s="681"/>
      <c r="S193" s="681"/>
      <c r="T193" s="534" t="s">
        <v>1106</v>
      </c>
    </row>
    <row r="194" spans="1:20">
      <c r="A194" s="679"/>
      <c r="B194" s="679"/>
      <c r="C194" s="682"/>
      <c r="D194" s="679"/>
      <c r="E194" s="679"/>
      <c r="F194" s="682"/>
      <c r="G194" s="682"/>
      <c r="H194" s="682"/>
      <c r="I194" s="682"/>
      <c r="J194" s="682"/>
      <c r="K194" s="682"/>
      <c r="L194" s="682"/>
      <c r="M194" s="682"/>
      <c r="N194" s="682"/>
      <c r="O194" s="682"/>
      <c r="P194" s="682"/>
      <c r="Q194" s="682"/>
      <c r="R194" s="682"/>
      <c r="S194" s="682"/>
      <c r="T194" s="535" t="s">
        <v>1344</v>
      </c>
    </row>
    <row r="195" spans="1:20">
      <c r="A195" s="677" t="s">
        <v>1345</v>
      </c>
      <c r="B195" s="677" t="s">
        <v>1346</v>
      </c>
      <c r="C195" s="680"/>
      <c r="D195" s="677" t="s">
        <v>1347</v>
      </c>
      <c r="E195" s="677" t="s">
        <v>1348</v>
      </c>
      <c r="F195" s="680"/>
      <c r="G195" s="680"/>
      <c r="H195" s="533" t="s">
        <v>1151</v>
      </c>
      <c r="I195" s="680" t="s">
        <v>1361</v>
      </c>
      <c r="J195" s="680" t="s">
        <v>1143</v>
      </c>
      <c r="K195" s="680" t="s">
        <v>1362</v>
      </c>
      <c r="L195" s="680" t="s">
        <v>1145</v>
      </c>
      <c r="M195" s="680" t="s">
        <v>398</v>
      </c>
      <c r="N195" s="680" t="s">
        <v>993</v>
      </c>
      <c r="O195" s="680" t="s">
        <v>1064</v>
      </c>
      <c r="P195" s="680" t="s">
        <v>1335</v>
      </c>
      <c r="Q195" s="680" t="s">
        <v>357</v>
      </c>
      <c r="R195" s="680" t="s">
        <v>1336</v>
      </c>
      <c r="S195" s="680" t="s">
        <v>1337</v>
      </c>
      <c r="T195" s="533" t="s">
        <v>1363</v>
      </c>
    </row>
    <row r="196" spans="1:20" ht="28.8">
      <c r="A196" s="678"/>
      <c r="B196" s="678"/>
      <c r="C196" s="681"/>
      <c r="D196" s="678"/>
      <c r="E196" s="678"/>
      <c r="F196" s="681"/>
      <c r="G196" s="681"/>
      <c r="H196" s="534" t="s">
        <v>1349</v>
      </c>
      <c r="I196" s="681"/>
      <c r="J196" s="681"/>
      <c r="K196" s="681"/>
      <c r="L196" s="681"/>
      <c r="M196" s="681"/>
      <c r="N196" s="681"/>
      <c r="O196" s="681"/>
      <c r="P196" s="681"/>
      <c r="Q196" s="681"/>
      <c r="R196" s="681"/>
      <c r="S196" s="681"/>
      <c r="T196" s="534" t="s">
        <v>1364</v>
      </c>
    </row>
    <row r="197" spans="1:20">
      <c r="A197" s="678"/>
      <c r="B197" s="678"/>
      <c r="C197" s="681"/>
      <c r="D197" s="678"/>
      <c r="E197" s="678"/>
      <c r="F197" s="681"/>
      <c r="G197" s="681"/>
      <c r="H197" s="534" t="s">
        <v>1350</v>
      </c>
      <c r="I197" s="681"/>
      <c r="J197" s="681"/>
      <c r="K197" s="681"/>
      <c r="L197" s="681"/>
      <c r="M197" s="681"/>
      <c r="N197" s="681"/>
      <c r="O197" s="681"/>
      <c r="P197" s="681"/>
      <c r="Q197" s="681"/>
      <c r="R197" s="681"/>
      <c r="S197" s="681"/>
      <c r="T197" s="534" t="s">
        <v>1294</v>
      </c>
    </row>
    <row r="198" spans="1:20">
      <c r="A198" s="678"/>
      <c r="B198" s="678"/>
      <c r="C198" s="681"/>
      <c r="D198" s="678"/>
      <c r="E198" s="678"/>
      <c r="F198" s="681"/>
      <c r="G198" s="681"/>
      <c r="H198" s="534" t="s">
        <v>1351</v>
      </c>
      <c r="I198" s="681"/>
      <c r="J198" s="681"/>
      <c r="K198" s="681"/>
      <c r="L198" s="681"/>
      <c r="M198" s="681"/>
      <c r="N198" s="681"/>
      <c r="O198" s="681"/>
      <c r="P198" s="681"/>
      <c r="Q198" s="681"/>
      <c r="R198" s="681"/>
      <c r="S198" s="681"/>
      <c r="T198" s="534"/>
    </row>
    <row r="199" spans="1:20">
      <c r="A199" s="678"/>
      <c r="B199" s="678"/>
      <c r="C199" s="681"/>
      <c r="D199" s="678"/>
      <c r="E199" s="678"/>
      <c r="F199" s="681"/>
      <c r="G199" s="681"/>
      <c r="H199" s="534" t="s">
        <v>1352</v>
      </c>
      <c r="I199" s="681"/>
      <c r="J199" s="681"/>
      <c r="K199" s="681"/>
      <c r="L199" s="681"/>
      <c r="M199" s="681"/>
      <c r="N199" s="681"/>
      <c r="O199" s="681"/>
      <c r="P199" s="681"/>
      <c r="Q199" s="681"/>
      <c r="R199" s="681"/>
      <c r="S199" s="681"/>
      <c r="T199" s="534"/>
    </row>
    <row r="200" spans="1:20">
      <c r="A200" s="678"/>
      <c r="B200" s="678"/>
      <c r="C200" s="681"/>
      <c r="D200" s="678"/>
      <c r="E200" s="678"/>
      <c r="F200" s="681"/>
      <c r="G200" s="681"/>
      <c r="H200" s="534" t="s">
        <v>1353</v>
      </c>
      <c r="I200" s="681"/>
      <c r="J200" s="681"/>
      <c r="K200" s="681"/>
      <c r="L200" s="681"/>
      <c r="M200" s="681"/>
      <c r="N200" s="681"/>
      <c r="O200" s="681"/>
      <c r="P200" s="681"/>
      <c r="Q200" s="681"/>
      <c r="R200" s="681"/>
      <c r="S200" s="681"/>
      <c r="T200" s="534"/>
    </row>
    <row r="201" spans="1:20">
      <c r="A201" s="678"/>
      <c r="B201" s="678"/>
      <c r="C201" s="681"/>
      <c r="D201" s="678"/>
      <c r="E201" s="678"/>
      <c r="F201" s="681"/>
      <c r="G201" s="681"/>
      <c r="H201" s="534" t="s">
        <v>1354</v>
      </c>
      <c r="I201" s="681"/>
      <c r="J201" s="681"/>
      <c r="K201" s="681"/>
      <c r="L201" s="681"/>
      <c r="M201" s="681"/>
      <c r="N201" s="681"/>
      <c r="O201" s="681"/>
      <c r="P201" s="681"/>
      <c r="Q201" s="681"/>
      <c r="R201" s="681"/>
      <c r="S201" s="681"/>
      <c r="T201" s="534"/>
    </row>
    <row r="202" spans="1:20">
      <c r="A202" s="678"/>
      <c r="B202" s="678"/>
      <c r="C202" s="681"/>
      <c r="D202" s="678"/>
      <c r="E202" s="678"/>
      <c r="F202" s="681"/>
      <c r="G202" s="681"/>
      <c r="H202" s="534" t="s">
        <v>1355</v>
      </c>
      <c r="I202" s="681"/>
      <c r="J202" s="681"/>
      <c r="K202" s="681"/>
      <c r="L202" s="681"/>
      <c r="M202" s="681"/>
      <c r="N202" s="681"/>
      <c r="O202" s="681"/>
      <c r="P202" s="681"/>
      <c r="Q202" s="681"/>
      <c r="R202" s="681"/>
      <c r="S202" s="681"/>
      <c r="T202" s="534"/>
    </row>
    <row r="203" spans="1:20">
      <c r="A203" s="678"/>
      <c r="B203" s="678"/>
      <c r="C203" s="681"/>
      <c r="D203" s="678"/>
      <c r="E203" s="678"/>
      <c r="F203" s="681"/>
      <c r="G203" s="681"/>
      <c r="H203" s="534" t="s">
        <v>1356</v>
      </c>
      <c r="I203" s="681"/>
      <c r="J203" s="681"/>
      <c r="K203" s="681"/>
      <c r="L203" s="681"/>
      <c r="M203" s="681"/>
      <c r="N203" s="681"/>
      <c r="O203" s="681"/>
      <c r="P203" s="681"/>
      <c r="Q203" s="681"/>
      <c r="R203" s="681"/>
      <c r="S203" s="681"/>
      <c r="T203" s="534"/>
    </row>
    <row r="204" spans="1:20">
      <c r="A204" s="678"/>
      <c r="B204" s="678"/>
      <c r="C204" s="681"/>
      <c r="D204" s="678"/>
      <c r="E204" s="678"/>
      <c r="F204" s="681"/>
      <c r="G204" s="681"/>
      <c r="H204" s="534" t="s">
        <v>1357</v>
      </c>
      <c r="I204" s="681"/>
      <c r="J204" s="681"/>
      <c r="K204" s="681"/>
      <c r="L204" s="681"/>
      <c r="M204" s="681"/>
      <c r="N204" s="681"/>
      <c r="O204" s="681"/>
      <c r="P204" s="681"/>
      <c r="Q204" s="681"/>
      <c r="R204" s="681"/>
      <c r="S204" s="681"/>
      <c r="T204" s="534"/>
    </row>
    <row r="205" spans="1:20">
      <c r="A205" s="678"/>
      <c r="B205" s="678"/>
      <c r="C205" s="681"/>
      <c r="D205" s="678"/>
      <c r="E205" s="678"/>
      <c r="F205" s="681"/>
      <c r="G205" s="681"/>
      <c r="H205" s="534" t="s">
        <v>1358</v>
      </c>
      <c r="I205" s="681"/>
      <c r="J205" s="681"/>
      <c r="K205" s="681"/>
      <c r="L205" s="681"/>
      <c r="M205" s="681"/>
      <c r="N205" s="681"/>
      <c r="O205" s="681"/>
      <c r="P205" s="681"/>
      <c r="Q205" s="681"/>
      <c r="R205" s="681"/>
      <c r="S205" s="681"/>
      <c r="T205" s="534"/>
    </row>
    <row r="206" spans="1:20">
      <c r="A206" s="678"/>
      <c r="B206" s="678"/>
      <c r="C206" s="681"/>
      <c r="D206" s="678"/>
      <c r="E206" s="678"/>
      <c r="F206" s="681"/>
      <c r="G206" s="681"/>
      <c r="H206" s="534">
        <v>380</v>
      </c>
      <c r="I206" s="681"/>
      <c r="J206" s="681"/>
      <c r="K206" s="681"/>
      <c r="L206" s="681"/>
      <c r="M206" s="681"/>
      <c r="N206" s="681"/>
      <c r="O206" s="681"/>
      <c r="P206" s="681"/>
      <c r="Q206" s="681"/>
      <c r="R206" s="681"/>
      <c r="S206" s="681"/>
      <c r="T206" s="534"/>
    </row>
    <row r="207" spans="1:20">
      <c r="A207" s="678"/>
      <c r="B207" s="678"/>
      <c r="C207" s="681"/>
      <c r="D207" s="678"/>
      <c r="E207" s="678"/>
      <c r="F207" s="681"/>
      <c r="G207" s="681"/>
      <c r="H207" s="534" t="s">
        <v>1359</v>
      </c>
      <c r="I207" s="681"/>
      <c r="J207" s="681"/>
      <c r="K207" s="681"/>
      <c r="L207" s="681"/>
      <c r="M207" s="681"/>
      <c r="N207" s="681"/>
      <c r="O207" s="681"/>
      <c r="P207" s="681"/>
      <c r="Q207" s="681"/>
      <c r="R207" s="681"/>
      <c r="S207" s="681"/>
      <c r="T207" s="534"/>
    </row>
    <row r="208" spans="1:20">
      <c r="A208" s="679"/>
      <c r="B208" s="679"/>
      <c r="C208" s="682"/>
      <c r="D208" s="679"/>
      <c r="E208" s="679"/>
      <c r="F208" s="682"/>
      <c r="G208" s="682"/>
      <c r="H208" s="535" t="s">
        <v>1360</v>
      </c>
      <c r="I208" s="682"/>
      <c r="J208" s="682"/>
      <c r="K208" s="682"/>
      <c r="L208" s="682"/>
      <c r="M208" s="682"/>
      <c r="N208" s="682"/>
      <c r="O208" s="682"/>
      <c r="P208" s="682"/>
      <c r="Q208" s="682"/>
      <c r="R208" s="682"/>
      <c r="S208" s="682"/>
      <c r="T208" s="535"/>
    </row>
    <row r="209" spans="1:20">
      <c r="A209" s="677" t="s">
        <v>1365</v>
      </c>
      <c r="B209" s="677" t="s">
        <v>1366</v>
      </c>
      <c r="C209" s="680"/>
      <c r="D209" s="677" t="s">
        <v>1367</v>
      </c>
      <c r="E209" s="677" t="s">
        <v>1348</v>
      </c>
      <c r="F209" s="680"/>
      <c r="G209" s="680"/>
      <c r="H209" s="533" t="s">
        <v>1368</v>
      </c>
      <c r="I209" s="680" t="s">
        <v>1361</v>
      </c>
      <c r="J209" s="680" t="s">
        <v>1143</v>
      </c>
      <c r="K209" s="680" t="s">
        <v>1362</v>
      </c>
      <c r="L209" s="680" t="s">
        <v>1145</v>
      </c>
      <c r="M209" s="680" t="s">
        <v>398</v>
      </c>
      <c r="N209" s="680" t="s">
        <v>993</v>
      </c>
      <c r="O209" s="680"/>
      <c r="P209" s="680" t="s">
        <v>1335</v>
      </c>
      <c r="Q209" s="680" t="s">
        <v>357</v>
      </c>
      <c r="R209" s="680" t="s">
        <v>1336</v>
      </c>
      <c r="S209" s="680"/>
      <c r="T209" s="533" t="s">
        <v>1363</v>
      </c>
    </row>
    <row r="210" spans="1:20" ht="28.8">
      <c r="A210" s="678"/>
      <c r="B210" s="678"/>
      <c r="C210" s="681"/>
      <c r="D210" s="678"/>
      <c r="E210" s="678"/>
      <c r="F210" s="681"/>
      <c r="G210" s="681"/>
      <c r="H210" s="534" t="s">
        <v>1369</v>
      </c>
      <c r="I210" s="681"/>
      <c r="J210" s="681"/>
      <c r="K210" s="681"/>
      <c r="L210" s="681"/>
      <c r="M210" s="681"/>
      <c r="N210" s="681"/>
      <c r="O210" s="681"/>
      <c r="P210" s="681"/>
      <c r="Q210" s="681"/>
      <c r="R210" s="681"/>
      <c r="S210" s="681"/>
      <c r="T210" s="534" t="s">
        <v>1364</v>
      </c>
    </row>
    <row r="211" spans="1:20" ht="28.8">
      <c r="A211" s="678"/>
      <c r="B211" s="678"/>
      <c r="C211" s="681"/>
      <c r="D211" s="678"/>
      <c r="E211" s="678"/>
      <c r="F211" s="681"/>
      <c r="G211" s="681"/>
      <c r="H211" s="534" t="s">
        <v>1370</v>
      </c>
      <c r="I211" s="681"/>
      <c r="J211" s="681"/>
      <c r="K211" s="681"/>
      <c r="L211" s="681"/>
      <c r="M211" s="681"/>
      <c r="N211" s="681"/>
      <c r="O211" s="681"/>
      <c r="P211" s="681"/>
      <c r="Q211" s="681"/>
      <c r="R211" s="681"/>
      <c r="S211" s="681"/>
      <c r="T211" s="534" t="s">
        <v>1373</v>
      </c>
    </row>
    <row r="212" spans="1:20">
      <c r="A212" s="678"/>
      <c r="B212" s="678"/>
      <c r="C212" s="681"/>
      <c r="D212" s="678"/>
      <c r="E212" s="678"/>
      <c r="F212" s="681"/>
      <c r="G212" s="681"/>
      <c r="H212" s="534" t="s">
        <v>1371</v>
      </c>
      <c r="I212" s="681"/>
      <c r="J212" s="681"/>
      <c r="K212" s="681"/>
      <c r="L212" s="681"/>
      <c r="M212" s="681"/>
      <c r="N212" s="681"/>
      <c r="O212" s="681"/>
      <c r="P212" s="681"/>
      <c r="Q212" s="681"/>
      <c r="R212" s="681"/>
      <c r="S212" s="681"/>
      <c r="T212" s="534"/>
    </row>
    <row r="213" spans="1:20">
      <c r="A213" s="679"/>
      <c r="B213" s="679"/>
      <c r="C213" s="682"/>
      <c r="D213" s="679"/>
      <c r="E213" s="679"/>
      <c r="F213" s="682"/>
      <c r="G213" s="682"/>
      <c r="H213" s="535" t="s">
        <v>1372</v>
      </c>
      <c r="I213" s="682"/>
      <c r="J213" s="682"/>
      <c r="K213" s="682"/>
      <c r="L213" s="682"/>
      <c r="M213" s="682"/>
      <c r="N213" s="682"/>
      <c r="O213" s="682"/>
      <c r="P213" s="682"/>
      <c r="Q213" s="682"/>
      <c r="R213" s="682"/>
      <c r="S213" s="682"/>
      <c r="T213" s="535"/>
    </row>
    <row r="214" spans="1:20">
      <c r="A214" s="677" t="s">
        <v>1374</v>
      </c>
      <c r="B214" s="677" t="s">
        <v>1375</v>
      </c>
      <c r="C214" s="680"/>
      <c r="D214" s="677" t="s">
        <v>1376</v>
      </c>
      <c r="E214" s="677" t="s">
        <v>1348</v>
      </c>
      <c r="F214" s="680"/>
      <c r="G214" s="680"/>
      <c r="H214" s="533" t="s">
        <v>1151</v>
      </c>
      <c r="I214" s="680" t="s">
        <v>1306</v>
      </c>
      <c r="J214" s="680" t="s">
        <v>1143</v>
      </c>
      <c r="K214" s="680" t="s">
        <v>1379</v>
      </c>
      <c r="L214" s="680" t="s">
        <v>1145</v>
      </c>
      <c r="M214" s="680" t="s">
        <v>1308</v>
      </c>
      <c r="N214" s="680" t="s">
        <v>993</v>
      </c>
      <c r="O214" s="680"/>
      <c r="P214" s="680" t="s">
        <v>1335</v>
      </c>
      <c r="Q214" s="680" t="s">
        <v>357</v>
      </c>
      <c r="R214" s="680" t="s">
        <v>1336</v>
      </c>
      <c r="S214" s="680" t="s">
        <v>1337</v>
      </c>
      <c r="T214" s="533" t="s">
        <v>1380</v>
      </c>
    </row>
    <row r="215" spans="1:20" ht="28.8">
      <c r="A215" s="678"/>
      <c r="B215" s="678"/>
      <c r="C215" s="681"/>
      <c r="D215" s="678"/>
      <c r="E215" s="678"/>
      <c r="F215" s="681"/>
      <c r="G215" s="681"/>
      <c r="H215" s="534" t="s">
        <v>1377</v>
      </c>
      <c r="I215" s="681"/>
      <c r="J215" s="681"/>
      <c r="K215" s="681"/>
      <c r="L215" s="681"/>
      <c r="M215" s="681"/>
      <c r="N215" s="681"/>
      <c r="O215" s="681"/>
      <c r="P215" s="681"/>
      <c r="Q215" s="681"/>
      <c r="R215" s="681"/>
      <c r="S215" s="681"/>
      <c r="T215" s="534" t="s">
        <v>1364</v>
      </c>
    </row>
    <row r="216" spans="1:20" ht="28.8">
      <c r="A216" s="678"/>
      <c r="B216" s="678"/>
      <c r="C216" s="681"/>
      <c r="D216" s="678"/>
      <c r="E216" s="678"/>
      <c r="F216" s="681"/>
      <c r="G216" s="681"/>
      <c r="H216" s="534" t="s">
        <v>1370</v>
      </c>
      <c r="I216" s="681"/>
      <c r="J216" s="681"/>
      <c r="K216" s="681"/>
      <c r="L216" s="681"/>
      <c r="M216" s="681"/>
      <c r="N216" s="681"/>
      <c r="O216" s="681"/>
      <c r="P216" s="681"/>
      <c r="Q216" s="681"/>
      <c r="R216" s="681"/>
      <c r="S216" s="681"/>
      <c r="T216" s="534" t="s">
        <v>1381</v>
      </c>
    </row>
    <row r="217" spans="1:20">
      <c r="A217" s="678"/>
      <c r="B217" s="678"/>
      <c r="C217" s="681"/>
      <c r="D217" s="678"/>
      <c r="E217" s="678"/>
      <c r="F217" s="681"/>
      <c r="G217" s="681"/>
      <c r="H217" s="534" t="s">
        <v>1371</v>
      </c>
      <c r="I217" s="681"/>
      <c r="J217" s="681"/>
      <c r="K217" s="681"/>
      <c r="L217" s="681"/>
      <c r="M217" s="681"/>
      <c r="N217" s="681"/>
      <c r="O217" s="681"/>
      <c r="P217" s="681"/>
      <c r="Q217" s="681"/>
      <c r="R217" s="681"/>
      <c r="S217" s="681"/>
      <c r="T217" s="534"/>
    </row>
    <row r="218" spans="1:20">
      <c r="A218" s="679"/>
      <c r="B218" s="679"/>
      <c r="C218" s="682"/>
      <c r="D218" s="679"/>
      <c r="E218" s="679"/>
      <c r="F218" s="682"/>
      <c r="G218" s="682"/>
      <c r="H218" s="535" t="s">
        <v>1378</v>
      </c>
      <c r="I218" s="682"/>
      <c r="J218" s="682"/>
      <c r="K218" s="682"/>
      <c r="L218" s="682"/>
      <c r="M218" s="682"/>
      <c r="N218" s="682"/>
      <c r="O218" s="682"/>
      <c r="P218" s="682"/>
      <c r="Q218" s="682"/>
      <c r="R218" s="682"/>
      <c r="S218" s="682"/>
      <c r="T218" s="535"/>
    </row>
    <row r="219" spans="1:20">
      <c r="A219" s="677" t="s">
        <v>1382</v>
      </c>
      <c r="B219" s="677" t="s">
        <v>1346</v>
      </c>
      <c r="C219" s="680"/>
      <c r="D219" s="677" t="s">
        <v>1383</v>
      </c>
      <c r="E219" s="677" t="s">
        <v>1384</v>
      </c>
      <c r="F219" s="680"/>
      <c r="G219" s="680"/>
      <c r="H219" s="680" t="s">
        <v>1385</v>
      </c>
      <c r="I219" s="680" t="s">
        <v>1361</v>
      </c>
      <c r="J219" s="680" t="s">
        <v>1143</v>
      </c>
      <c r="K219" s="680" t="s">
        <v>1379</v>
      </c>
      <c r="L219" s="680" t="s">
        <v>1145</v>
      </c>
      <c r="M219" s="680" t="s">
        <v>398</v>
      </c>
      <c r="N219" s="680"/>
      <c r="O219" s="680" t="s">
        <v>993</v>
      </c>
      <c r="P219" s="680"/>
      <c r="Q219" s="680" t="s">
        <v>357</v>
      </c>
      <c r="R219" s="680" t="s">
        <v>1386</v>
      </c>
      <c r="S219" s="680" t="s">
        <v>1387</v>
      </c>
      <c r="T219" s="533" t="s">
        <v>1388</v>
      </c>
    </row>
    <row r="220" spans="1:20" ht="28.8">
      <c r="A220" s="678"/>
      <c r="B220" s="678"/>
      <c r="C220" s="681"/>
      <c r="D220" s="678"/>
      <c r="E220" s="678"/>
      <c r="F220" s="681"/>
      <c r="G220" s="681"/>
      <c r="H220" s="681"/>
      <c r="I220" s="681"/>
      <c r="J220" s="681"/>
      <c r="K220" s="681"/>
      <c r="L220" s="681"/>
      <c r="M220" s="681"/>
      <c r="N220" s="681"/>
      <c r="O220" s="681"/>
      <c r="P220" s="681"/>
      <c r="Q220" s="681"/>
      <c r="R220" s="681"/>
      <c r="S220" s="681"/>
      <c r="T220" s="534" t="s">
        <v>1364</v>
      </c>
    </row>
    <row r="221" spans="1:20">
      <c r="A221" s="679"/>
      <c r="B221" s="679"/>
      <c r="C221" s="682"/>
      <c r="D221" s="679"/>
      <c r="E221" s="679"/>
      <c r="F221" s="682"/>
      <c r="G221" s="682"/>
      <c r="H221" s="682"/>
      <c r="I221" s="682"/>
      <c r="J221" s="682"/>
      <c r="K221" s="682"/>
      <c r="L221" s="682"/>
      <c r="M221" s="682"/>
      <c r="N221" s="682"/>
      <c r="O221" s="682"/>
      <c r="P221" s="682"/>
      <c r="Q221" s="682"/>
      <c r="R221" s="682"/>
      <c r="S221" s="682"/>
      <c r="T221" s="535" t="s">
        <v>1389</v>
      </c>
    </row>
    <row r="222" spans="1:20">
      <c r="A222" s="677" t="s">
        <v>1390</v>
      </c>
      <c r="B222" s="677" t="s">
        <v>1375</v>
      </c>
      <c r="C222" s="680"/>
      <c r="D222" s="677" t="s">
        <v>1391</v>
      </c>
      <c r="E222" s="677" t="s">
        <v>1392</v>
      </c>
      <c r="F222" s="680"/>
      <c r="G222" s="680"/>
      <c r="H222" s="533" t="s">
        <v>1151</v>
      </c>
      <c r="I222" s="680" t="s">
        <v>1306</v>
      </c>
      <c r="J222" s="680" t="s">
        <v>1143</v>
      </c>
      <c r="K222" s="680" t="s">
        <v>1379</v>
      </c>
      <c r="L222" s="680" t="s">
        <v>398</v>
      </c>
      <c r="M222" s="680" t="s">
        <v>1308</v>
      </c>
      <c r="N222" s="680"/>
      <c r="O222" s="680" t="s">
        <v>993</v>
      </c>
      <c r="P222" s="680"/>
      <c r="Q222" s="680" t="s">
        <v>357</v>
      </c>
      <c r="R222" s="680" t="s">
        <v>1386</v>
      </c>
      <c r="S222" s="680" t="s">
        <v>1387</v>
      </c>
      <c r="T222" s="533" t="s">
        <v>1388</v>
      </c>
    </row>
    <row r="223" spans="1:20" ht="28.8">
      <c r="A223" s="678"/>
      <c r="B223" s="678"/>
      <c r="C223" s="681"/>
      <c r="D223" s="678"/>
      <c r="E223" s="678"/>
      <c r="F223" s="681"/>
      <c r="G223" s="681"/>
      <c r="H223" s="534" t="s">
        <v>1393</v>
      </c>
      <c r="I223" s="681"/>
      <c r="J223" s="681"/>
      <c r="K223" s="681"/>
      <c r="L223" s="681"/>
      <c r="M223" s="681"/>
      <c r="N223" s="681"/>
      <c r="O223" s="681"/>
      <c r="P223" s="681"/>
      <c r="Q223" s="681"/>
      <c r="R223" s="681"/>
      <c r="S223" s="681"/>
      <c r="T223" s="534" t="s">
        <v>1364</v>
      </c>
    </row>
    <row r="224" spans="1:20" ht="28.8">
      <c r="A224" s="678"/>
      <c r="B224" s="678"/>
      <c r="C224" s="681"/>
      <c r="D224" s="678"/>
      <c r="E224" s="678"/>
      <c r="F224" s="681"/>
      <c r="G224" s="681"/>
      <c r="H224" s="534" t="s">
        <v>1394</v>
      </c>
      <c r="I224" s="681"/>
      <c r="J224" s="681"/>
      <c r="K224" s="681"/>
      <c r="L224" s="681"/>
      <c r="M224" s="681"/>
      <c r="N224" s="681"/>
      <c r="O224" s="681"/>
      <c r="P224" s="681"/>
      <c r="Q224" s="681"/>
      <c r="R224" s="681"/>
      <c r="S224" s="681"/>
      <c r="T224" s="534" t="s">
        <v>1389</v>
      </c>
    </row>
    <row r="225" spans="1:20" ht="28.8">
      <c r="A225" s="678"/>
      <c r="B225" s="678"/>
      <c r="C225" s="681"/>
      <c r="D225" s="678"/>
      <c r="E225" s="678"/>
      <c r="F225" s="681"/>
      <c r="G225" s="681"/>
      <c r="H225" s="534" t="s">
        <v>1395</v>
      </c>
      <c r="I225" s="681"/>
      <c r="J225" s="681"/>
      <c r="K225" s="681"/>
      <c r="L225" s="681"/>
      <c r="M225" s="681"/>
      <c r="N225" s="681"/>
      <c r="O225" s="681"/>
      <c r="P225" s="681"/>
      <c r="Q225" s="681"/>
      <c r="R225" s="681"/>
      <c r="S225" s="681"/>
      <c r="T225" s="534"/>
    </row>
    <row r="226" spans="1:20">
      <c r="A226" s="678"/>
      <c r="B226" s="678"/>
      <c r="C226" s="681"/>
      <c r="D226" s="678"/>
      <c r="E226" s="678"/>
      <c r="F226" s="681"/>
      <c r="G226" s="681"/>
      <c r="H226" s="534" t="s">
        <v>1396</v>
      </c>
      <c r="I226" s="681"/>
      <c r="J226" s="681"/>
      <c r="K226" s="681"/>
      <c r="L226" s="681"/>
      <c r="M226" s="681"/>
      <c r="N226" s="681"/>
      <c r="O226" s="681"/>
      <c r="P226" s="681"/>
      <c r="Q226" s="681"/>
      <c r="R226" s="681"/>
      <c r="S226" s="681"/>
      <c r="T226" s="534"/>
    </row>
    <row r="227" spans="1:20">
      <c r="A227" s="679"/>
      <c r="B227" s="679"/>
      <c r="C227" s="682"/>
      <c r="D227" s="679"/>
      <c r="E227" s="679"/>
      <c r="F227" s="682"/>
      <c r="G227" s="682"/>
      <c r="H227" s="535" t="s">
        <v>1397</v>
      </c>
      <c r="I227" s="682"/>
      <c r="J227" s="682"/>
      <c r="K227" s="682"/>
      <c r="L227" s="682"/>
      <c r="M227" s="682"/>
      <c r="N227" s="682"/>
      <c r="O227" s="682"/>
      <c r="P227" s="682"/>
      <c r="Q227" s="682"/>
      <c r="R227" s="682"/>
      <c r="S227" s="682"/>
      <c r="T227" s="535"/>
    </row>
    <row r="228" spans="1:20">
      <c r="A228" s="677" t="s">
        <v>1398</v>
      </c>
      <c r="B228" s="677" t="s">
        <v>1346</v>
      </c>
      <c r="C228" s="680"/>
      <c r="D228" s="677" t="s">
        <v>1399</v>
      </c>
      <c r="E228" s="677" t="s">
        <v>1084</v>
      </c>
      <c r="F228" s="680"/>
      <c r="G228" s="680"/>
      <c r="H228" s="680" t="s">
        <v>1400</v>
      </c>
      <c r="I228" s="680" t="s">
        <v>1401</v>
      </c>
      <c r="J228" s="680" t="s">
        <v>1143</v>
      </c>
      <c r="K228" s="680" t="s">
        <v>1362</v>
      </c>
      <c r="L228" s="680" t="s">
        <v>1055</v>
      </c>
      <c r="M228" s="680" t="s">
        <v>1145</v>
      </c>
      <c r="N228" s="680" t="s">
        <v>993</v>
      </c>
      <c r="O228" s="680" t="s">
        <v>993</v>
      </c>
      <c r="P228" s="680" t="s">
        <v>1402</v>
      </c>
      <c r="Q228" s="680" t="s">
        <v>357</v>
      </c>
      <c r="R228" s="680" t="s">
        <v>1386</v>
      </c>
      <c r="S228" s="680" t="s">
        <v>1403</v>
      </c>
      <c r="T228" s="533" t="s">
        <v>1404</v>
      </c>
    </row>
    <row r="229" spans="1:20" ht="28.8">
      <c r="A229" s="678"/>
      <c r="B229" s="678"/>
      <c r="C229" s="681"/>
      <c r="D229" s="678"/>
      <c r="E229" s="678"/>
      <c r="F229" s="681"/>
      <c r="G229" s="681"/>
      <c r="H229" s="681"/>
      <c r="I229" s="681"/>
      <c r="J229" s="681"/>
      <c r="K229" s="681"/>
      <c r="L229" s="681"/>
      <c r="M229" s="681"/>
      <c r="N229" s="681"/>
      <c r="O229" s="681"/>
      <c r="P229" s="681"/>
      <c r="Q229" s="681"/>
      <c r="R229" s="681"/>
      <c r="S229" s="681"/>
      <c r="T229" s="534" t="s">
        <v>1364</v>
      </c>
    </row>
    <row r="230" spans="1:20">
      <c r="A230" s="679"/>
      <c r="B230" s="679"/>
      <c r="C230" s="682"/>
      <c r="D230" s="679"/>
      <c r="E230" s="679"/>
      <c r="F230" s="682"/>
      <c r="G230" s="682"/>
      <c r="H230" s="682"/>
      <c r="I230" s="682"/>
      <c r="J230" s="682"/>
      <c r="K230" s="682"/>
      <c r="L230" s="682"/>
      <c r="M230" s="682"/>
      <c r="N230" s="682"/>
      <c r="O230" s="682"/>
      <c r="P230" s="682"/>
      <c r="Q230" s="682"/>
      <c r="R230" s="682"/>
      <c r="S230" s="682"/>
      <c r="T230" s="535" t="s">
        <v>1405</v>
      </c>
    </row>
    <row r="231" spans="1:20">
      <c r="A231" s="677" t="s">
        <v>1406</v>
      </c>
      <c r="B231" s="677" t="s">
        <v>1375</v>
      </c>
      <c r="C231" s="680"/>
      <c r="D231" s="677" t="s">
        <v>1407</v>
      </c>
      <c r="E231" s="677" t="s">
        <v>1084</v>
      </c>
      <c r="F231" s="680"/>
      <c r="G231" s="680"/>
      <c r="H231" s="680" t="s">
        <v>1408</v>
      </c>
      <c r="I231" s="680" t="s">
        <v>1401</v>
      </c>
      <c r="J231" s="680" t="s">
        <v>1143</v>
      </c>
      <c r="K231" s="680" t="s">
        <v>1362</v>
      </c>
      <c r="L231" s="680" t="s">
        <v>1145</v>
      </c>
      <c r="M231" s="680" t="s">
        <v>398</v>
      </c>
      <c r="N231" s="680" t="s">
        <v>993</v>
      </c>
      <c r="O231" s="680" t="s">
        <v>993</v>
      </c>
      <c r="P231" s="680" t="s">
        <v>1402</v>
      </c>
      <c r="Q231" s="680" t="s">
        <v>1335</v>
      </c>
      <c r="R231" s="680" t="s">
        <v>1308</v>
      </c>
      <c r="S231" s="680" t="s">
        <v>1403</v>
      </c>
      <c r="T231" s="533" t="s">
        <v>1409</v>
      </c>
    </row>
    <row r="232" spans="1:20">
      <c r="A232" s="678"/>
      <c r="B232" s="678"/>
      <c r="C232" s="681"/>
      <c r="D232" s="678"/>
      <c r="E232" s="678"/>
      <c r="F232" s="681"/>
      <c r="G232" s="681"/>
      <c r="H232" s="681"/>
      <c r="I232" s="681"/>
      <c r="J232" s="681"/>
      <c r="K232" s="681"/>
      <c r="L232" s="681"/>
      <c r="M232" s="681"/>
      <c r="N232" s="681"/>
      <c r="O232" s="681"/>
      <c r="P232" s="681"/>
      <c r="Q232" s="681"/>
      <c r="R232" s="681"/>
      <c r="S232" s="681"/>
      <c r="T232" s="534" t="s">
        <v>1106</v>
      </c>
    </row>
    <row r="233" spans="1:20">
      <c r="A233" s="679"/>
      <c r="B233" s="679"/>
      <c r="C233" s="682"/>
      <c r="D233" s="679"/>
      <c r="E233" s="679"/>
      <c r="F233" s="682"/>
      <c r="G233" s="682"/>
      <c r="H233" s="682"/>
      <c r="I233" s="682"/>
      <c r="J233" s="682"/>
      <c r="K233" s="682"/>
      <c r="L233" s="682"/>
      <c r="M233" s="682"/>
      <c r="N233" s="682"/>
      <c r="O233" s="682"/>
      <c r="P233" s="682"/>
      <c r="Q233" s="682"/>
      <c r="R233" s="682"/>
      <c r="S233" s="682"/>
      <c r="T233" s="535" t="s">
        <v>1405</v>
      </c>
    </row>
    <row r="234" spans="1:20" ht="28.8">
      <c r="A234" s="677" t="s">
        <v>1410</v>
      </c>
      <c r="B234" s="677" t="s">
        <v>1411</v>
      </c>
      <c r="C234" s="680">
        <v>17200</v>
      </c>
      <c r="D234" s="677" t="s">
        <v>1412</v>
      </c>
      <c r="E234" s="677" t="s">
        <v>1214</v>
      </c>
      <c r="F234" s="680">
        <v>35</v>
      </c>
      <c r="G234" s="677" t="s">
        <v>1413</v>
      </c>
      <c r="H234" s="533" t="s">
        <v>1151</v>
      </c>
      <c r="I234" s="677" t="s">
        <v>1421</v>
      </c>
      <c r="J234" s="677" t="s">
        <v>1143</v>
      </c>
      <c r="K234" s="677" t="s">
        <v>1422</v>
      </c>
      <c r="L234" s="677" t="s">
        <v>1423</v>
      </c>
      <c r="M234" s="677" t="s">
        <v>1423</v>
      </c>
      <c r="N234" s="677" t="s">
        <v>1143</v>
      </c>
      <c r="O234" s="677" t="s">
        <v>1143</v>
      </c>
      <c r="P234" s="677"/>
      <c r="Q234" s="677"/>
      <c r="R234" s="677"/>
      <c r="S234" s="677"/>
      <c r="T234" s="533" t="s">
        <v>1424</v>
      </c>
    </row>
    <row r="235" spans="1:20">
      <c r="A235" s="678"/>
      <c r="B235" s="678"/>
      <c r="C235" s="681"/>
      <c r="D235" s="678"/>
      <c r="E235" s="678"/>
      <c r="F235" s="681"/>
      <c r="G235" s="678"/>
      <c r="H235" s="534" t="s">
        <v>1414</v>
      </c>
      <c r="I235" s="678"/>
      <c r="J235" s="678"/>
      <c r="K235" s="678"/>
      <c r="L235" s="678"/>
      <c r="M235" s="678"/>
      <c r="N235" s="678"/>
      <c r="O235" s="678"/>
      <c r="P235" s="678"/>
      <c r="Q235" s="678"/>
      <c r="R235" s="678"/>
      <c r="S235" s="678"/>
      <c r="T235" s="534" t="s">
        <v>1425</v>
      </c>
    </row>
    <row r="236" spans="1:20">
      <c r="A236" s="678"/>
      <c r="B236" s="678"/>
      <c r="C236" s="681"/>
      <c r="D236" s="678"/>
      <c r="E236" s="678"/>
      <c r="F236" s="681"/>
      <c r="G236" s="678"/>
      <c r="H236" s="534" t="s">
        <v>970</v>
      </c>
      <c r="I236" s="678"/>
      <c r="J236" s="678"/>
      <c r="K236" s="678"/>
      <c r="L236" s="678"/>
      <c r="M236" s="678"/>
      <c r="N236" s="678"/>
      <c r="O236" s="678"/>
      <c r="P236" s="678"/>
      <c r="Q236" s="678"/>
      <c r="R236" s="678"/>
      <c r="S236" s="678"/>
      <c r="T236" s="534" t="s">
        <v>1426</v>
      </c>
    </row>
    <row r="237" spans="1:20">
      <c r="A237" s="678"/>
      <c r="B237" s="678"/>
      <c r="C237" s="681"/>
      <c r="D237" s="678"/>
      <c r="E237" s="678"/>
      <c r="F237" s="681"/>
      <c r="G237" s="678"/>
      <c r="H237" s="534" t="s">
        <v>971</v>
      </c>
      <c r="I237" s="678"/>
      <c r="J237" s="678"/>
      <c r="K237" s="678"/>
      <c r="L237" s="678"/>
      <c r="M237" s="678"/>
      <c r="N237" s="678"/>
      <c r="O237" s="678"/>
      <c r="P237" s="678"/>
      <c r="Q237" s="678"/>
      <c r="R237" s="678"/>
      <c r="S237" s="678"/>
      <c r="T237" s="534"/>
    </row>
    <row r="238" spans="1:20">
      <c r="A238" s="678"/>
      <c r="B238" s="678"/>
      <c r="C238" s="681"/>
      <c r="D238" s="678"/>
      <c r="E238" s="678"/>
      <c r="F238" s="681"/>
      <c r="G238" s="678"/>
      <c r="H238" s="534" t="s">
        <v>1415</v>
      </c>
      <c r="I238" s="678"/>
      <c r="J238" s="678"/>
      <c r="K238" s="678"/>
      <c r="L238" s="678"/>
      <c r="M238" s="678"/>
      <c r="N238" s="678"/>
      <c r="O238" s="678"/>
      <c r="P238" s="678"/>
      <c r="Q238" s="678"/>
      <c r="R238" s="678"/>
      <c r="S238" s="678"/>
      <c r="T238" s="534"/>
    </row>
    <row r="239" spans="1:20">
      <c r="A239" s="678"/>
      <c r="B239" s="678"/>
      <c r="C239" s="681"/>
      <c r="D239" s="678"/>
      <c r="E239" s="678"/>
      <c r="F239" s="681"/>
      <c r="G239" s="678"/>
      <c r="H239" s="534" t="s">
        <v>974</v>
      </c>
      <c r="I239" s="678"/>
      <c r="J239" s="678"/>
      <c r="K239" s="678"/>
      <c r="L239" s="678"/>
      <c r="M239" s="678"/>
      <c r="N239" s="678"/>
      <c r="O239" s="678"/>
      <c r="P239" s="678"/>
      <c r="Q239" s="678"/>
      <c r="R239" s="678"/>
      <c r="S239" s="678"/>
      <c r="T239" s="534"/>
    </row>
    <row r="240" spans="1:20">
      <c r="A240" s="678"/>
      <c r="B240" s="678"/>
      <c r="C240" s="681"/>
      <c r="D240" s="678"/>
      <c r="E240" s="678"/>
      <c r="F240" s="681"/>
      <c r="G240" s="678"/>
      <c r="H240" s="534" t="s">
        <v>975</v>
      </c>
      <c r="I240" s="678"/>
      <c r="J240" s="678"/>
      <c r="K240" s="678"/>
      <c r="L240" s="678"/>
      <c r="M240" s="678"/>
      <c r="N240" s="678"/>
      <c r="O240" s="678"/>
      <c r="P240" s="678"/>
      <c r="Q240" s="678"/>
      <c r="R240" s="678"/>
      <c r="S240" s="678"/>
      <c r="T240" s="534"/>
    </row>
    <row r="241" spans="1:20">
      <c r="A241" s="678"/>
      <c r="B241" s="678"/>
      <c r="C241" s="681"/>
      <c r="D241" s="678"/>
      <c r="E241" s="678"/>
      <c r="F241" s="681"/>
      <c r="G241" s="678"/>
      <c r="H241" s="534" t="s">
        <v>976</v>
      </c>
      <c r="I241" s="678"/>
      <c r="J241" s="678"/>
      <c r="K241" s="678"/>
      <c r="L241" s="678"/>
      <c r="M241" s="678"/>
      <c r="N241" s="678"/>
      <c r="O241" s="678"/>
      <c r="P241" s="678"/>
      <c r="Q241" s="678"/>
      <c r="R241" s="678"/>
      <c r="S241" s="678"/>
      <c r="T241" s="534"/>
    </row>
    <row r="242" spans="1:20">
      <c r="A242" s="678"/>
      <c r="B242" s="678"/>
      <c r="C242" s="681"/>
      <c r="D242" s="678"/>
      <c r="E242" s="678"/>
      <c r="F242" s="681"/>
      <c r="G242" s="678"/>
      <c r="H242" s="534" t="s">
        <v>977</v>
      </c>
      <c r="I242" s="678"/>
      <c r="J242" s="678"/>
      <c r="K242" s="678"/>
      <c r="L242" s="678"/>
      <c r="M242" s="678"/>
      <c r="N242" s="678"/>
      <c r="O242" s="678"/>
      <c r="P242" s="678"/>
      <c r="Q242" s="678"/>
      <c r="R242" s="678"/>
      <c r="S242" s="678"/>
      <c r="T242" s="534"/>
    </row>
    <row r="243" spans="1:20">
      <c r="A243" s="678"/>
      <c r="B243" s="678"/>
      <c r="C243" s="681"/>
      <c r="D243" s="678"/>
      <c r="E243" s="678"/>
      <c r="F243" s="681"/>
      <c r="G243" s="678"/>
      <c r="H243" s="534" t="s">
        <v>979</v>
      </c>
      <c r="I243" s="678"/>
      <c r="J243" s="678"/>
      <c r="K243" s="678"/>
      <c r="L243" s="678"/>
      <c r="M243" s="678"/>
      <c r="N243" s="678"/>
      <c r="O243" s="678"/>
      <c r="P243" s="678"/>
      <c r="Q243" s="678"/>
      <c r="R243" s="678"/>
      <c r="S243" s="678"/>
      <c r="T243" s="534"/>
    </row>
    <row r="244" spans="1:20">
      <c r="A244" s="678"/>
      <c r="B244" s="678"/>
      <c r="C244" s="681"/>
      <c r="D244" s="678"/>
      <c r="E244" s="678"/>
      <c r="F244" s="681"/>
      <c r="G244" s="678"/>
      <c r="H244" s="534" t="s">
        <v>980</v>
      </c>
      <c r="I244" s="678"/>
      <c r="J244" s="678"/>
      <c r="K244" s="678"/>
      <c r="L244" s="678"/>
      <c r="M244" s="678"/>
      <c r="N244" s="678"/>
      <c r="O244" s="678"/>
      <c r="P244" s="678"/>
      <c r="Q244" s="678"/>
      <c r="R244" s="678"/>
      <c r="S244" s="678"/>
      <c r="T244" s="534"/>
    </row>
    <row r="245" spans="1:20">
      <c r="A245" s="678"/>
      <c r="B245" s="678"/>
      <c r="C245" s="681"/>
      <c r="D245" s="678"/>
      <c r="E245" s="678"/>
      <c r="F245" s="681"/>
      <c r="G245" s="678"/>
      <c r="H245" s="534" t="s">
        <v>1416</v>
      </c>
      <c r="I245" s="678"/>
      <c r="J245" s="678"/>
      <c r="K245" s="678"/>
      <c r="L245" s="678"/>
      <c r="M245" s="678"/>
      <c r="N245" s="678"/>
      <c r="O245" s="678"/>
      <c r="P245" s="678"/>
      <c r="Q245" s="678"/>
      <c r="R245" s="678"/>
      <c r="S245" s="678"/>
      <c r="T245" s="534"/>
    </row>
    <row r="246" spans="1:20">
      <c r="A246" s="678"/>
      <c r="B246" s="678"/>
      <c r="C246" s="681"/>
      <c r="D246" s="678"/>
      <c r="E246" s="678"/>
      <c r="F246" s="681"/>
      <c r="G246" s="678"/>
      <c r="H246" s="534" t="s">
        <v>1417</v>
      </c>
      <c r="I246" s="678"/>
      <c r="J246" s="678"/>
      <c r="K246" s="678"/>
      <c r="L246" s="678"/>
      <c r="M246" s="678"/>
      <c r="N246" s="678"/>
      <c r="O246" s="678"/>
      <c r="P246" s="678"/>
      <c r="Q246" s="678"/>
      <c r="R246" s="678"/>
      <c r="S246" s="678"/>
      <c r="T246" s="534"/>
    </row>
    <row r="247" spans="1:20">
      <c r="A247" s="678"/>
      <c r="B247" s="678"/>
      <c r="C247" s="681"/>
      <c r="D247" s="678"/>
      <c r="E247" s="678"/>
      <c r="F247" s="681"/>
      <c r="G247" s="678"/>
      <c r="H247" s="534" t="s">
        <v>984</v>
      </c>
      <c r="I247" s="678"/>
      <c r="J247" s="678"/>
      <c r="K247" s="678"/>
      <c r="L247" s="678"/>
      <c r="M247" s="678"/>
      <c r="N247" s="678"/>
      <c r="O247" s="678"/>
      <c r="P247" s="678"/>
      <c r="Q247" s="678"/>
      <c r="R247" s="678"/>
      <c r="S247" s="678"/>
      <c r="T247" s="534"/>
    </row>
    <row r="248" spans="1:20">
      <c r="A248" s="678"/>
      <c r="B248" s="678"/>
      <c r="C248" s="681"/>
      <c r="D248" s="678"/>
      <c r="E248" s="678"/>
      <c r="F248" s="681"/>
      <c r="G248" s="678"/>
      <c r="H248" s="534" t="s">
        <v>985</v>
      </c>
      <c r="I248" s="678"/>
      <c r="J248" s="678"/>
      <c r="K248" s="678"/>
      <c r="L248" s="678"/>
      <c r="M248" s="678"/>
      <c r="N248" s="678"/>
      <c r="O248" s="678"/>
      <c r="P248" s="678"/>
      <c r="Q248" s="678"/>
      <c r="R248" s="678"/>
      <c r="S248" s="678"/>
      <c r="T248" s="534"/>
    </row>
    <row r="249" spans="1:20">
      <c r="A249" s="678"/>
      <c r="B249" s="678"/>
      <c r="C249" s="681"/>
      <c r="D249" s="678"/>
      <c r="E249" s="678"/>
      <c r="F249" s="681"/>
      <c r="G249" s="678"/>
      <c r="H249" s="534" t="s">
        <v>1418</v>
      </c>
      <c r="I249" s="678"/>
      <c r="J249" s="678"/>
      <c r="K249" s="678"/>
      <c r="L249" s="678"/>
      <c r="M249" s="678"/>
      <c r="N249" s="678"/>
      <c r="O249" s="678"/>
      <c r="P249" s="678"/>
      <c r="Q249" s="678"/>
      <c r="R249" s="678"/>
      <c r="S249" s="678"/>
      <c r="T249" s="534"/>
    </row>
    <row r="250" spans="1:20">
      <c r="A250" s="678"/>
      <c r="B250" s="678"/>
      <c r="C250" s="681"/>
      <c r="D250" s="678"/>
      <c r="E250" s="678"/>
      <c r="F250" s="681"/>
      <c r="G250" s="678"/>
      <c r="H250" s="534"/>
      <c r="I250" s="678"/>
      <c r="J250" s="678"/>
      <c r="K250" s="678"/>
      <c r="L250" s="678"/>
      <c r="M250" s="678"/>
      <c r="N250" s="678"/>
      <c r="O250" s="678"/>
      <c r="P250" s="678"/>
      <c r="Q250" s="678"/>
      <c r="R250" s="678"/>
      <c r="S250" s="678"/>
      <c r="T250" s="534"/>
    </row>
    <row r="251" spans="1:20">
      <c r="A251" s="678"/>
      <c r="B251" s="678"/>
      <c r="C251" s="681"/>
      <c r="D251" s="678"/>
      <c r="E251" s="678"/>
      <c r="F251" s="681"/>
      <c r="G251" s="678"/>
      <c r="H251" s="534" t="s">
        <v>1155</v>
      </c>
      <c r="I251" s="678"/>
      <c r="J251" s="678"/>
      <c r="K251" s="678"/>
      <c r="L251" s="678"/>
      <c r="M251" s="678"/>
      <c r="N251" s="678"/>
      <c r="O251" s="678"/>
      <c r="P251" s="678"/>
      <c r="Q251" s="678"/>
      <c r="R251" s="678"/>
      <c r="S251" s="678"/>
      <c r="T251" s="534"/>
    </row>
    <row r="252" spans="1:20">
      <c r="A252" s="678"/>
      <c r="B252" s="678"/>
      <c r="C252" s="681"/>
      <c r="D252" s="678"/>
      <c r="E252" s="678"/>
      <c r="F252" s="681"/>
      <c r="G252" s="678"/>
      <c r="H252" s="534" t="s">
        <v>1419</v>
      </c>
      <c r="I252" s="678"/>
      <c r="J252" s="678"/>
      <c r="K252" s="678"/>
      <c r="L252" s="678"/>
      <c r="M252" s="678"/>
      <c r="N252" s="678"/>
      <c r="O252" s="678"/>
      <c r="P252" s="678"/>
      <c r="Q252" s="678"/>
      <c r="R252" s="678"/>
      <c r="S252" s="678"/>
      <c r="T252" s="534"/>
    </row>
    <row r="253" spans="1:20">
      <c r="A253" s="678"/>
      <c r="B253" s="678"/>
      <c r="C253" s="681"/>
      <c r="D253" s="678"/>
      <c r="E253" s="678"/>
      <c r="F253" s="681"/>
      <c r="G253" s="678"/>
      <c r="H253" s="534"/>
      <c r="I253" s="678"/>
      <c r="J253" s="678"/>
      <c r="K253" s="678"/>
      <c r="L253" s="678"/>
      <c r="M253" s="678"/>
      <c r="N253" s="678"/>
      <c r="O253" s="678"/>
      <c r="P253" s="678"/>
      <c r="Q253" s="678"/>
      <c r="R253" s="678"/>
      <c r="S253" s="678"/>
      <c r="T253" s="534"/>
    </row>
    <row r="254" spans="1:20">
      <c r="A254" s="678"/>
      <c r="B254" s="678"/>
      <c r="C254" s="681"/>
      <c r="D254" s="678"/>
      <c r="E254" s="678"/>
      <c r="F254" s="681"/>
      <c r="G254" s="678"/>
      <c r="H254" s="534" t="s">
        <v>1420</v>
      </c>
      <c r="I254" s="678"/>
      <c r="J254" s="678"/>
      <c r="K254" s="678"/>
      <c r="L254" s="678"/>
      <c r="M254" s="678"/>
      <c r="N254" s="678"/>
      <c r="O254" s="678"/>
      <c r="P254" s="678"/>
      <c r="Q254" s="678"/>
      <c r="R254" s="678"/>
      <c r="S254" s="678"/>
      <c r="T254" s="534"/>
    </row>
    <row r="255" spans="1:20">
      <c r="A255" s="679"/>
      <c r="B255" s="679"/>
      <c r="C255" s="682"/>
      <c r="D255" s="679"/>
      <c r="E255" s="679"/>
      <c r="F255" s="682"/>
      <c r="G255" s="679"/>
      <c r="H255" s="535">
        <v>1035</v>
      </c>
      <c r="I255" s="679"/>
      <c r="J255" s="679"/>
      <c r="K255" s="679"/>
      <c r="L255" s="679"/>
      <c r="M255" s="679"/>
      <c r="N255" s="679"/>
      <c r="O255" s="679"/>
      <c r="P255" s="679"/>
      <c r="Q255" s="679"/>
      <c r="R255" s="679"/>
      <c r="S255" s="679"/>
      <c r="T255" s="535"/>
    </row>
    <row r="256" spans="1:20">
      <c r="A256" s="677" t="s">
        <v>1427</v>
      </c>
      <c r="B256" s="677" t="s">
        <v>1428</v>
      </c>
      <c r="C256" s="680">
        <v>17200</v>
      </c>
      <c r="D256" s="677" t="s">
        <v>1429</v>
      </c>
      <c r="E256" s="677" t="s">
        <v>1214</v>
      </c>
      <c r="F256" s="680">
        <v>45</v>
      </c>
      <c r="G256" s="677" t="s">
        <v>1413</v>
      </c>
      <c r="H256" s="533" t="s">
        <v>1151</v>
      </c>
      <c r="I256" s="677" t="s">
        <v>1434</v>
      </c>
      <c r="J256" s="677" t="s">
        <v>1435</v>
      </c>
      <c r="K256" s="677" t="s">
        <v>1422</v>
      </c>
      <c r="L256" s="677" t="s">
        <v>1055</v>
      </c>
      <c r="M256" s="677" t="s">
        <v>1436</v>
      </c>
      <c r="N256" s="677" t="s">
        <v>259</v>
      </c>
      <c r="O256" s="677" t="s">
        <v>993</v>
      </c>
      <c r="P256" s="677"/>
      <c r="Q256" s="677"/>
      <c r="R256" s="680"/>
      <c r="S256" s="677" t="s">
        <v>993</v>
      </c>
      <c r="T256" s="533" t="s">
        <v>1106</v>
      </c>
    </row>
    <row r="257" spans="1:20">
      <c r="A257" s="678"/>
      <c r="B257" s="678"/>
      <c r="C257" s="681"/>
      <c r="D257" s="678"/>
      <c r="E257" s="678"/>
      <c r="F257" s="681"/>
      <c r="G257" s="678"/>
      <c r="H257" s="534" t="s">
        <v>1414</v>
      </c>
      <c r="I257" s="678"/>
      <c r="J257" s="678"/>
      <c r="K257" s="678"/>
      <c r="L257" s="678"/>
      <c r="M257" s="678"/>
      <c r="N257" s="678"/>
      <c r="O257" s="678"/>
      <c r="P257" s="678"/>
      <c r="Q257" s="678"/>
      <c r="R257" s="681"/>
      <c r="S257" s="678"/>
      <c r="T257" s="534" t="s">
        <v>1425</v>
      </c>
    </row>
    <row r="258" spans="1:20" ht="86.4">
      <c r="A258" s="678"/>
      <c r="B258" s="678"/>
      <c r="C258" s="681"/>
      <c r="D258" s="678"/>
      <c r="E258" s="678"/>
      <c r="F258" s="681"/>
      <c r="G258" s="678"/>
      <c r="H258" s="534" t="s">
        <v>970</v>
      </c>
      <c r="I258" s="678"/>
      <c r="J258" s="678"/>
      <c r="K258" s="678"/>
      <c r="L258" s="678"/>
      <c r="M258" s="678"/>
      <c r="N258" s="678"/>
      <c r="O258" s="678"/>
      <c r="P258" s="678"/>
      <c r="Q258" s="678"/>
      <c r="R258" s="681"/>
      <c r="S258" s="678"/>
      <c r="T258" s="534" t="s">
        <v>1437</v>
      </c>
    </row>
    <row r="259" spans="1:20">
      <c r="A259" s="678"/>
      <c r="B259" s="678"/>
      <c r="C259" s="681"/>
      <c r="D259" s="678"/>
      <c r="E259" s="678"/>
      <c r="F259" s="681"/>
      <c r="G259" s="678"/>
      <c r="H259" s="534" t="s">
        <v>971</v>
      </c>
      <c r="I259" s="678"/>
      <c r="J259" s="678"/>
      <c r="K259" s="678"/>
      <c r="L259" s="678"/>
      <c r="M259" s="678"/>
      <c r="N259" s="678"/>
      <c r="O259" s="678"/>
      <c r="P259" s="678"/>
      <c r="Q259" s="678"/>
      <c r="R259" s="681"/>
      <c r="S259" s="678"/>
      <c r="T259" s="534"/>
    </row>
    <row r="260" spans="1:20">
      <c r="A260" s="678"/>
      <c r="B260" s="678"/>
      <c r="C260" s="681"/>
      <c r="D260" s="678"/>
      <c r="E260" s="678"/>
      <c r="F260" s="681"/>
      <c r="G260" s="678"/>
      <c r="H260" s="534" t="s">
        <v>1152</v>
      </c>
      <c r="I260" s="678"/>
      <c r="J260" s="678"/>
      <c r="K260" s="678"/>
      <c r="L260" s="678"/>
      <c r="M260" s="678"/>
      <c r="N260" s="678"/>
      <c r="O260" s="678"/>
      <c r="P260" s="678"/>
      <c r="Q260" s="678"/>
      <c r="R260" s="681"/>
      <c r="S260" s="678"/>
      <c r="T260" s="534"/>
    </row>
    <row r="261" spans="1:20">
      <c r="A261" s="678"/>
      <c r="B261" s="678"/>
      <c r="C261" s="681"/>
      <c r="D261" s="678"/>
      <c r="E261" s="678"/>
      <c r="F261" s="681"/>
      <c r="G261" s="678"/>
      <c r="H261" s="534" t="s">
        <v>1430</v>
      </c>
      <c r="I261" s="678"/>
      <c r="J261" s="678"/>
      <c r="K261" s="678"/>
      <c r="L261" s="678"/>
      <c r="M261" s="678"/>
      <c r="N261" s="678"/>
      <c r="O261" s="678"/>
      <c r="P261" s="678"/>
      <c r="Q261" s="678"/>
      <c r="R261" s="681"/>
      <c r="S261" s="678"/>
      <c r="T261" s="534"/>
    </row>
    <row r="262" spans="1:20">
      <c r="A262" s="678"/>
      <c r="B262" s="678"/>
      <c r="C262" s="681"/>
      <c r="D262" s="678"/>
      <c r="E262" s="678"/>
      <c r="F262" s="681"/>
      <c r="G262" s="678"/>
      <c r="H262" s="534" t="s">
        <v>1415</v>
      </c>
      <c r="I262" s="678"/>
      <c r="J262" s="678"/>
      <c r="K262" s="678"/>
      <c r="L262" s="678"/>
      <c r="M262" s="678"/>
      <c r="N262" s="678"/>
      <c r="O262" s="678"/>
      <c r="P262" s="678"/>
      <c r="Q262" s="678"/>
      <c r="R262" s="681"/>
      <c r="S262" s="678"/>
      <c r="T262" s="534"/>
    </row>
    <row r="263" spans="1:20">
      <c r="A263" s="678"/>
      <c r="B263" s="678"/>
      <c r="C263" s="681"/>
      <c r="D263" s="678"/>
      <c r="E263" s="678"/>
      <c r="F263" s="681"/>
      <c r="G263" s="678"/>
      <c r="H263" s="534" t="s">
        <v>975</v>
      </c>
      <c r="I263" s="678"/>
      <c r="J263" s="678"/>
      <c r="K263" s="678"/>
      <c r="L263" s="678"/>
      <c r="M263" s="678"/>
      <c r="N263" s="678"/>
      <c r="O263" s="678"/>
      <c r="P263" s="678"/>
      <c r="Q263" s="678"/>
      <c r="R263" s="681"/>
      <c r="S263" s="678"/>
      <c r="T263" s="534"/>
    </row>
    <row r="264" spans="1:20">
      <c r="A264" s="678"/>
      <c r="B264" s="678"/>
      <c r="C264" s="681"/>
      <c r="D264" s="678"/>
      <c r="E264" s="678"/>
      <c r="F264" s="681"/>
      <c r="G264" s="678"/>
      <c r="H264" s="534" t="s">
        <v>979</v>
      </c>
      <c r="I264" s="678"/>
      <c r="J264" s="678"/>
      <c r="K264" s="678"/>
      <c r="L264" s="678"/>
      <c r="M264" s="678"/>
      <c r="N264" s="678"/>
      <c r="O264" s="678"/>
      <c r="P264" s="678"/>
      <c r="Q264" s="678"/>
      <c r="R264" s="681"/>
      <c r="S264" s="678"/>
      <c r="T264" s="534"/>
    </row>
    <row r="265" spans="1:20">
      <c r="A265" s="678"/>
      <c r="B265" s="678"/>
      <c r="C265" s="681"/>
      <c r="D265" s="678"/>
      <c r="E265" s="678"/>
      <c r="F265" s="681"/>
      <c r="G265" s="678"/>
      <c r="H265" s="534" t="s">
        <v>1431</v>
      </c>
      <c r="I265" s="678"/>
      <c r="J265" s="678"/>
      <c r="K265" s="678"/>
      <c r="L265" s="678"/>
      <c r="M265" s="678"/>
      <c r="N265" s="678"/>
      <c r="O265" s="678"/>
      <c r="P265" s="678"/>
      <c r="Q265" s="678"/>
      <c r="R265" s="681"/>
      <c r="S265" s="678"/>
      <c r="T265" s="534"/>
    </row>
    <row r="266" spans="1:20">
      <c r="A266" s="678"/>
      <c r="B266" s="678"/>
      <c r="C266" s="681"/>
      <c r="D266" s="678"/>
      <c r="E266" s="678"/>
      <c r="F266" s="681"/>
      <c r="G266" s="678"/>
      <c r="H266" s="534" t="s">
        <v>980</v>
      </c>
      <c r="I266" s="678"/>
      <c r="J266" s="678"/>
      <c r="K266" s="678"/>
      <c r="L266" s="678"/>
      <c r="M266" s="678"/>
      <c r="N266" s="678"/>
      <c r="O266" s="678"/>
      <c r="P266" s="678"/>
      <c r="Q266" s="678"/>
      <c r="R266" s="681"/>
      <c r="S266" s="678"/>
      <c r="T266" s="534"/>
    </row>
    <row r="267" spans="1:20">
      <c r="A267" s="678"/>
      <c r="B267" s="678"/>
      <c r="C267" s="681"/>
      <c r="D267" s="678"/>
      <c r="E267" s="678"/>
      <c r="F267" s="681"/>
      <c r="G267" s="678"/>
      <c r="H267" s="534" t="s">
        <v>981</v>
      </c>
      <c r="I267" s="678"/>
      <c r="J267" s="678"/>
      <c r="K267" s="678"/>
      <c r="L267" s="678"/>
      <c r="M267" s="678"/>
      <c r="N267" s="678"/>
      <c r="O267" s="678"/>
      <c r="P267" s="678"/>
      <c r="Q267" s="678"/>
      <c r="R267" s="681"/>
      <c r="S267" s="678"/>
      <c r="T267" s="534"/>
    </row>
    <row r="268" spans="1:20">
      <c r="A268" s="678"/>
      <c r="B268" s="678"/>
      <c r="C268" s="681"/>
      <c r="D268" s="678"/>
      <c r="E268" s="678"/>
      <c r="F268" s="681"/>
      <c r="G268" s="678"/>
      <c r="H268" s="534" t="s">
        <v>1417</v>
      </c>
      <c r="I268" s="678"/>
      <c r="J268" s="678"/>
      <c r="K268" s="678"/>
      <c r="L268" s="678"/>
      <c r="M268" s="678"/>
      <c r="N268" s="678"/>
      <c r="O268" s="678"/>
      <c r="P268" s="678"/>
      <c r="Q268" s="678"/>
      <c r="R268" s="681"/>
      <c r="S268" s="678"/>
      <c r="T268" s="534"/>
    </row>
    <row r="269" spans="1:20">
      <c r="A269" s="678"/>
      <c r="B269" s="678"/>
      <c r="C269" s="681"/>
      <c r="D269" s="678"/>
      <c r="E269" s="678"/>
      <c r="F269" s="681"/>
      <c r="G269" s="678"/>
      <c r="H269" s="534" t="s">
        <v>1432</v>
      </c>
      <c r="I269" s="678"/>
      <c r="J269" s="678"/>
      <c r="K269" s="678"/>
      <c r="L269" s="678"/>
      <c r="M269" s="678"/>
      <c r="N269" s="678"/>
      <c r="O269" s="678"/>
      <c r="P269" s="678"/>
      <c r="Q269" s="678"/>
      <c r="R269" s="681"/>
      <c r="S269" s="678"/>
      <c r="T269" s="534"/>
    </row>
    <row r="270" spans="1:20">
      <c r="A270" s="678"/>
      <c r="B270" s="678"/>
      <c r="C270" s="681"/>
      <c r="D270" s="678"/>
      <c r="E270" s="678"/>
      <c r="F270" s="681"/>
      <c r="G270" s="678"/>
      <c r="H270" s="534" t="s">
        <v>984</v>
      </c>
      <c r="I270" s="678"/>
      <c r="J270" s="678"/>
      <c r="K270" s="678"/>
      <c r="L270" s="678"/>
      <c r="M270" s="678"/>
      <c r="N270" s="678"/>
      <c r="O270" s="678"/>
      <c r="P270" s="678"/>
      <c r="Q270" s="678"/>
      <c r="R270" s="681"/>
      <c r="S270" s="678"/>
      <c r="T270" s="534"/>
    </row>
    <row r="271" spans="1:20">
      <c r="A271" s="678"/>
      <c r="B271" s="678"/>
      <c r="C271" s="681"/>
      <c r="D271" s="678"/>
      <c r="E271" s="678"/>
      <c r="F271" s="681"/>
      <c r="G271" s="678"/>
      <c r="H271" s="534" t="s">
        <v>985</v>
      </c>
      <c r="I271" s="678"/>
      <c r="J271" s="678"/>
      <c r="K271" s="678"/>
      <c r="L271" s="678"/>
      <c r="M271" s="678"/>
      <c r="N271" s="678"/>
      <c r="O271" s="678"/>
      <c r="P271" s="678"/>
      <c r="Q271" s="678"/>
      <c r="R271" s="681"/>
      <c r="S271" s="678"/>
      <c r="T271" s="534"/>
    </row>
    <row r="272" spans="1:20">
      <c r="A272" s="678"/>
      <c r="B272" s="678"/>
      <c r="C272" s="681"/>
      <c r="D272" s="678"/>
      <c r="E272" s="678"/>
      <c r="F272" s="681"/>
      <c r="G272" s="678"/>
      <c r="H272" s="534" t="s">
        <v>1418</v>
      </c>
      <c r="I272" s="678"/>
      <c r="J272" s="678"/>
      <c r="K272" s="678"/>
      <c r="L272" s="678"/>
      <c r="M272" s="678"/>
      <c r="N272" s="678"/>
      <c r="O272" s="678"/>
      <c r="P272" s="678"/>
      <c r="Q272" s="678"/>
      <c r="R272" s="681"/>
      <c r="S272" s="678"/>
      <c r="T272" s="534"/>
    </row>
    <row r="273" spans="1:20">
      <c r="A273" s="678"/>
      <c r="B273" s="678"/>
      <c r="C273" s="681"/>
      <c r="D273" s="678"/>
      <c r="E273" s="678"/>
      <c r="F273" s="681"/>
      <c r="G273" s="678"/>
      <c r="H273" s="534"/>
      <c r="I273" s="678"/>
      <c r="J273" s="678"/>
      <c r="K273" s="678"/>
      <c r="L273" s="678"/>
      <c r="M273" s="678"/>
      <c r="N273" s="678"/>
      <c r="O273" s="678"/>
      <c r="P273" s="678"/>
      <c r="Q273" s="678"/>
      <c r="R273" s="681"/>
      <c r="S273" s="678"/>
      <c r="T273" s="534"/>
    </row>
    <row r="274" spans="1:20">
      <c r="A274" s="678"/>
      <c r="B274" s="678"/>
      <c r="C274" s="681"/>
      <c r="D274" s="678"/>
      <c r="E274" s="678"/>
      <c r="F274" s="681"/>
      <c r="G274" s="678"/>
      <c r="H274" s="534" t="s">
        <v>1155</v>
      </c>
      <c r="I274" s="678"/>
      <c r="J274" s="678"/>
      <c r="K274" s="678"/>
      <c r="L274" s="678"/>
      <c r="M274" s="678"/>
      <c r="N274" s="678"/>
      <c r="O274" s="678"/>
      <c r="P274" s="678"/>
      <c r="Q274" s="678"/>
      <c r="R274" s="681"/>
      <c r="S274" s="678"/>
      <c r="T274" s="534"/>
    </row>
    <row r="275" spans="1:20">
      <c r="A275" s="678"/>
      <c r="B275" s="678"/>
      <c r="C275" s="681"/>
      <c r="D275" s="678"/>
      <c r="E275" s="678"/>
      <c r="F275" s="681"/>
      <c r="G275" s="678"/>
      <c r="H275" s="534" t="s">
        <v>1433</v>
      </c>
      <c r="I275" s="678"/>
      <c r="J275" s="678"/>
      <c r="K275" s="678"/>
      <c r="L275" s="678"/>
      <c r="M275" s="678"/>
      <c r="N275" s="678"/>
      <c r="O275" s="678"/>
      <c r="P275" s="678"/>
      <c r="Q275" s="678"/>
      <c r="R275" s="681"/>
      <c r="S275" s="678"/>
      <c r="T275" s="534"/>
    </row>
    <row r="276" spans="1:20">
      <c r="A276" s="678"/>
      <c r="B276" s="678"/>
      <c r="C276" s="681"/>
      <c r="D276" s="678"/>
      <c r="E276" s="678"/>
      <c r="F276" s="681"/>
      <c r="G276" s="678"/>
      <c r="H276" s="534"/>
      <c r="I276" s="678"/>
      <c r="J276" s="678"/>
      <c r="K276" s="678"/>
      <c r="L276" s="678"/>
      <c r="M276" s="678"/>
      <c r="N276" s="678"/>
      <c r="O276" s="678"/>
      <c r="P276" s="678"/>
      <c r="Q276" s="678"/>
      <c r="R276" s="681"/>
      <c r="S276" s="678"/>
      <c r="T276" s="534"/>
    </row>
    <row r="277" spans="1:20">
      <c r="A277" s="678"/>
      <c r="B277" s="678"/>
      <c r="C277" s="681"/>
      <c r="D277" s="678"/>
      <c r="E277" s="678"/>
      <c r="F277" s="681"/>
      <c r="G277" s="678"/>
      <c r="H277" s="534" t="s">
        <v>1157</v>
      </c>
      <c r="I277" s="678"/>
      <c r="J277" s="678"/>
      <c r="K277" s="678"/>
      <c r="L277" s="678"/>
      <c r="M277" s="678"/>
      <c r="N277" s="678"/>
      <c r="O277" s="678"/>
      <c r="P277" s="678"/>
      <c r="Q277" s="678"/>
      <c r="R277" s="681"/>
      <c r="S277" s="678"/>
      <c r="T277" s="534"/>
    </row>
    <row r="278" spans="1:20">
      <c r="A278" s="678"/>
      <c r="B278" s="678"/>
      <c r="C278" s="681"/>
      <c r="D278" s="678"/>
      <c r="E278" s="678"/>
      <c r="F278" s="681"/>
      <c r="G278" s="678"/>
      <c r="H278" s="534">
        <v>1043</v>
      </c>
      <c r="I278" s="678"/>
      <c r="J278" s="678"/>
      <c r="K278" s="678"/>
      <c r="L278" s="678"/>
      <c r="M278" s="678"/>
      <c r="N278" s="678"/>
      <c r="O278" s="678"/>
      <c r="P278" s="678"/>
      <c r="Q278" s="678"/>
      <c r="R278" s="681"/>
      <c r="S278" s="678"/>
      <c r="T278" s="534"/>
    </row>
    <row r="279" spans="1:20">
      <c r="A279" s="679"/>
      <c r="B279" s="679"/>
      <c r="C279" s="682"/>
      <c r="D279" s="679"/>
      <c r="E279" s="679"/>
      <c r="F279" s="682"/>
      <c r="G279" s="679"/>
      <c r="H279" s="535">
        <v>1045</v>
      </c>
      <c r="I279" s="679"/>
      <c r="J279" s="679"/>
      <c r="K279" s="679"/>
      <c r="L279" s="679"/>
      <c r="M279" s="679"/>
      <c r="N279" s="679"/>
      <c r="O279" s="679"/>
      <c r="P279" s="679"/>
      <c r="Q279" s="679"/>
      <c r="R279" s="682"/>
      <c r="S279" s="679"/>
      <c r="T279" s="535"/>
    </row>
    <row r="280" spans="1:20" ht="28.8">
      <c r="A280" s="677" t="s">
        <v>1438</v>
      </c>
      <c r="B280" s="677" t="s">
        <v>1439</v>
      </c>
      <c r="C280" s="680">
        <v>17200</v>
      </c>
      <c r="D280" s="677" t="s">
        <v>1440</v>
      </c>
      <c r="E280" s="677" t="s">
        <v>1214</v>
      </c>
      <c r="F280" s="680"/>
      <c r="G280" s="677"/>
      <c r="H280" s="533" t="s">
        <v>1151</v>
      </c>
      <c r="I280" s="677" t="s">
        <v>1446</v>
      </c>
      <c r="J280" s="677" t="s">
        <v>1143</v>
      </c>
      <c r="K280" s="677" t="s">
        <v>1422</v>
      </c>
      <c r="L280" s="677" t="s">
        <v>1423</v>
      </c>
      <c r="M280" s="677" t="s">
        <v>1423</v>
      </c>
      <c r="N280" s="677" t="s">
        <v>1143</v>
      </c>
      <c r="O280" s="677" t="s">
        <v>1143</v>
      </c>
      <c r="P280" s="677" t="s">
        <v>1402</v>
      </c>
      <c r="Q280" s="677"/>
      <c r="R280" s="677"/>
      <c r="S280" s="677"/>
      <c r="T280" s="533" t="s">
        <v>1424</v>
      </c>
    </row>
    <row r="281" spans="1:20">
      <c r="A281" s="678"/>
      <c r="B281" s="678"/>
      <c r="C281" s="681"/>
      <c r="D281" s="678"/>
      <c r="E281" s="678"/>
      <c r="F281" s="681"/>
      <c r="G281" s="678"/>
      <c r="H281" s="534" t="s">
        <v>1441</v>
      </c>
      <c r="I281" s="678"/>
      <c r="J281" s="678"/>
      <c r="K281" s="678"/>
      <c r="L281" s="678"/>
      <c r="M281" s="678"/>
      <c r="N281" s="678"/>
      <c r="O281" s="678"/>
      <c r="P281" s="678"/>
      <c r="Q281" s="678"/>
      <c r="R281" s="678"/>
      <c r="S281" s="678"/>
      <c r="T281" s="534" t="s">
        <v>1425</v>
      </c>
    </row>
    <row r="282" spans="1:20" ht="28.8">
      <c r="A282" s="678"/>
      <c r="B282" s="678"/>
      <c r="C282" s="681"/>
      <c r="D282" s="678"/>
      <c r="E282" s="678"/>
      <c r="F282" s="681"/>
      <c r="G282" s="678"/>
      <c r="H282" s="534" t="s">
        <v>970</v>
      </c>
      <c r="I282" s="678"/>
      <c r="J282" s="678"/>
      <c r="K282" s="678"/>
      <c r="L282" s="678"/>
      <c r="M282" s="678"/>
      <c r="N282" s="678"/>
      <c r="O282" s="678"/>
      <c r="P282" s="678"/>
      <c r="Q282" s="678"/>
      <c r="R282" s="678"/>
      <c r="S282" s="678"/>
      <c r="T282" s="534" t="s">
        <v>1447</v>
      </c>
    </row>
    <row r="283" spans="1:20">
      <c r="A283" s="678"/>
      <c r="B283" s="678"/>
      <c r="C283" s="681"/>
      <c r="D283" s="678"/>
      <c r="E283" s="678"/>
      <c r="F283" s="681"/>
      <c r="G283" s="678"/>
      <c r="H283" s="534" t="s">
        <v>971</v>
      </c>
      <c r="I283" s="678"/>
      <c r="J283" s="678"/>
      <c r="K283" s="678"/>
      <c r="L283" s="678"/>
      <c r="M283" s="678"/>
      <c r="N283" s="678"/>
      <c r="O283" s="678"/>
      <c r="P283" s="678"/>
      <c r="Q283" s="678"/>
      <c r="R283" s="678"/>
      <c r="S283" s="678"/>
      <c r="T283" s="534"/>
    </row>
    <row r="284" spans="1:20">
      <c r="A284" s="678"/>
      <c r="B284" s="678"/>
      <c r="C284" s="681"/>
      <c r="D284" s="678"/>
      <c r="E284" s="678"/>
      <c r="F284" s="681"/>
      <c r="G284" s="678"/>
      <c r="H284" s="534" t="s">
        <v>974</v>
      </c>
      <c r="I284" s="678"/>
      <c r="J284" s="678"/>
      <c r="K284" s="678"/>
      <c r="L284" s="678"/>
      <c r="M284" s="678"/>
      <c r="N284" s="678"/>
      <c r="O284" s="678"/>
      <c r="P284" s="678"/>
      <c r="Q284" s="678"/>
      <c r="R284" s="678"/>
      <c r="S284" s="678"/>
      <c r="T284" s="538" t="s">
        <v>997</v>
      </c>
    </row>
    <row r="285" spans="1:20">
      <c r="A285" s="678"/>
      <c r="B285" s="678"/>
      <c r="C285" s="681"/>
      <c r="D285" s="678"/>
      <c r="E285" s="678"/>
      <c r="F285" s="681"/>
      <c r="G285" s="678"/>
      <c r="H285" s="534" t="s">
        <v>975</v>
      </c>
      <c r="I285" s="678"/>
      <c r="J285" s="678"/>
      <c r="K285" s="678"/>
      <c r="L285" s="678"/>
      <c r="M285" s="678"/>
      <c r="N285" s="678"/>
      <c r="O285" s="678"/>
      <c r="P285" s="678"/>
      <c r="Q285" s="678"/>
      <c r="R285" s="678"/>
      <c r="S285" s="678"/>
      <c r="T285" s="534"/>
    </row>
    <row r="286" spans="1:20">
      <c r="A286" s="678"/>
      <c r="B286" s="678"/>
      <c r="C286" s="681"/>
      <c r="D286" s="678"/>
      <c r="E286" s="678"/>
      <c r="F286" s="681"/>
      <c r="G286" s="678"/>
      <c r="H286" s="534" t="s">
        <v>977</v>
      </c>
      <c r="I286" s="678"/>
      <c r="J286" s="678"/>
      <c r="K286" s="678"/>
      <c r="L286" s="678"/>
      <c r="M286" s="678"/>
      <c r="N286" s="678"/>
      <c r="O286" s="678"/>
      <c r="P286" s="678"/>
      <c r="Q286" s="678"/>
      <c r="R286" s="678"/>
      <c r="S286" s="678"/>
      <c r="T286" s="534"/>
    </row>
    <row r="287" spans="1:20">
      <c r="A287" s="678"/>
      <c r="B287" s="678"/>
      <c r="C287" s="681"/>
      <c r="D287" s="678"/>
      <c r="E287" s="678"/>
      <c r="F287" s="681"/>
      <c r="G287" s="678"/>
      <c r="H287" s="534" t="s">
        <v>979</v>
      </c>
      <c r="I287" s="678"/>
      <c r="J287" s="678"/>
      <c r="K287" s="678"/>
      <c r="L287" s="678"/>
      <c r="M287" s="678"/>
      <c r="N287" s="678"/>
      <c r="O287" s="678"/>
      <c r="P287" s="678"/>
      <c r="Q287" s="678"/>
      <c r="R287" s="678"/>
      <c r="S287" s="678"/>
      <c r="T287" s="534"/>
    </row>
    <row r="288" spans="1:20">
      <c r="A288" s="678"/>
      <c r="B288" s="678"/>
      <c r="C288" s="681"/>
      <c r="D288" s="678"/>
      <c r="E288" s="678"/>
      <c r="F288" s="681"/>
      <c r="G288" s="678"/>
      <c r="H288" s="534" t="s">
        <v>980</v>
      </c>
      <c r="I288" s="678"/>
      <c r="J288" s="678"/>
      <c r="K288" s="678"/>
      <c r="L288" s="678"/>
      <c r="M288" s="678"/>
      <c r="N288" s="678"/>
      <c r="O288" s="678"/>
      <c r="P288" s="678"/>
      <c r="Q288" s="678"/>
      <c r="R288" s="678"/>
      <c r="S288" s="678"/>
      <c r="T288" s="534"/>
    </row>
    <row r="289" spans="1:20">
      <c r="A289" s="678"/>
      <c r="B289" s="678"/>
      <c r="C289" s="681"/>
      <c r="D289" s="678"/>
      <c r="E289" s="678"/>
      <c r="F289" s="681"/>
      <c r="G289" s="678"/>
      <c r="H289" s="534" t="s">
        <v>981</v>
      </c>
      <c r="I289" s="678"/>
      <c r="J289" s="678"/>
      <c r="K289" s="678"/>
      <c r="L289" s="678"/>
      <c r="M289" s="678"/>
      <c r="N289" s="678"/>
      <c r="O289" s="678"/>
      <c r="P289" s="678"/>
      <c r="Q289" s="678"/>
      <c r="R289" s="678"/>
      <c r="S289" s="678"/>
      <c r="T289" s="534"/>
    </row>
    <row r="290" spans="1:20">
      <c r="A290" s="678"/>
      <c r="B290" s="678"/>
      <c r="C290" s="681"/>
      <c r="D290" s="678"/>
      <c r="E290" s="678"/>
      <c r="F290" s="681"/>
      <c r="G290" s="678"/>
      <c r="H290" s="534" t="s">
        <v>1417</v>
      </c>
      <c r="I290" s="678"/>
      <c r="J290" s="678"/>
      <c r="K290" s="678"/>
      <c r="L290" s="678"/>
      <c r="M290" s="678"/>
      <c r="N290" s="678"/>
      <c r="O290" s="678"/>
      <c r="P290" s="678"/>
      <c r="Q290" s="678"/>
      <c r="R290" s="678"/>
      <c r="S290" s="678"/>
      <c r="T290" s="534"/>
    </row>
    <row r="291" spans="1:20">
      <c r="A291" s="678"/>
      <c r="B291" s="678"/>
      <c r="C291" s="681"/>
      <c r="D291" s="678"/>
      <c r="E291" s="678"/>
      <c r="F291" s="681"/>
      <c r="G291" s="678"/>
      <c r="H291" s="534" t="s">
        <v>984</v>
      </c>
      <c r="I291" s="678"/>
      <c r="J291" s="678"/>
      <c r="K291" s="678"/>
      <c r="L291" s="678"/>
      <c r="M291" s="678"/>
      <c r="N291" s="678"/>
      <c r="O291" s="678"/>
      <c r="P291" s="678"/>
      <c r="Q291" s="678"/>
      <c r="R291" s="678"/>
      <c r="S291" s="678"/>
      <c r="T291" s="534"/>
    </row>
    <row r="292" spans="1:20">
      <c r="A292" s="678"/>
      <c r="B292" s="678"/>
      <c r="C292" s="681"/>
      <c r="D292" s="678"/>
      <c r="E292" s="678"/>
      <c r="F292" s="681"/>
      <c r="G292" s="678"/>
      <c r="H292" s="534" t="s">
        <v>985</v>
      </c>
      <c r="I292" s="678"/>
      <c r="J292" s="678"/>
      <c r="K292" s="678"/>
      <c r="L292" s="678"/>
      <c r="M292" s="678"/>
      <c r="N292" s="678"/>
      <c r="O292" s="678"/>
      <c r="P292" s="678"/>
      <c r="Q292" s="678"/>
      <c r="R292" s="678"/>
      <c r="S292" s="678"/>
      <c r="T292" s="534"/>
    </row>
    <row r="293" spans="1:20">
      <c r="A293" s="678"/>
      <c r="B293" s="678"/>
      <c r="C293" s="681"/>
      <c r="D293" s="678"/>
      <c r="E293" s="678"/>
      <c r="F293" s="681"/>
      <c r="G293" s="678"/>
      <c r="H293" s="534" t="s">
        <v>1442</v>
      </c>
      <c r="I293" s="678"/>
      <c r="J293" s="678"/>
      <c r="K293" s="678"/>
      <c r="L293" s="678"/>
      <c r="M293" s="678"/>
      <c r="N293" s="678"/>
      <c r="O293" s="678"/>
      <c r="P293" s="678"/>
      <c r="Q293" s="678"/>
      <c r="R293" s="678"/>
      <c r="S293" s="678"/>
      <c r="T293" s="534"/>
    </row>
    <row r="294" spans="1:20">
      <c r="A294" s="678"/>
      <c r="B294" s="678"/>
      <c r="C294" s="681"/>
      <c r="D294" s="678"/>
      <c r="E294" s="678"/>
      <c r="F294" s="681"/>
      <c r="G294" s="678"/>
      <c r="H294" s="534" t="s">
        <v>1443</v>
      </c>
      <c r="I294" s="678"/>
      <c r="J294" s="678"/>
      <c r="K294" s="678"/>
      <c r="L294" s="678"/>
      <c r="M294" s="678"/>
      <c r="N294" s="678"/>
      <c r="O294" s="678"/>
      <c r="P294" s="678"/>
      <c r="Q294" s="678"/>
      <c r="R294" s="678"/>
      <c r="S294" s="678"/>
      <c r="T294" s="534"/>
    </row>
    <row r="295" spans="1:20">
      <c r="A295" s="678"/>
      <c r="B295" s="678"/>
      <c r="C295" s="681"/>
      <c r="D295" s="678"/>
      <c r="E295" s="678"/>
      <c r="F295" s="681"/>
      <c r="G295" s="678"/>
      <c r="H295" s="534" t="s">
        <v>1444</v>
      </c>
      <c r="I295" s="678"/>
      <c r="J295" s="678"/>
      <c r="K295" s="678"/>
      <c r="L295" s="678"/>
      <c r="M295" s="678"/>
      <c r="N295" s="678"/>
      <c r="O295" s="678"/>
      <c r="P295" s="678"/>
      <c r="Q295" s="678"/>
      <c r="R295" s="678"/>
      <c r="S295" s="678"/>
      <c r="T295" s="534"/>
    </row>
    <row r="296" spans="1:20">
      <c r="A296" s="678"/>
      <c r="B296" s="678"/>
      <c r="C296" s="681"/>
      <c r="D296" s="678"/>
      <c r="E296" s="678"/>
      <c r="F296" s="681"/>
      <c r="G296" s="678"/>
      <c r="H296" s="534"/>
      <c r="I296" s="678"/>
      <c r="J296" s="678"/>
      <c r="K296" s="678"/>
      <c r="L296" s="678"/>
      <c r="M296" s="678"/>
      <c r="N296" s="678"/>
      <c r="O296" s="678"/>
      <c r="P296" s="678"/>
      <c r="Q296" s="678"/>
      <c r="R296" s="678"/>
      <c r="S296" s="678"/>
      <c r="T296" s="534"/>
    </row>
    <row r="297" spans="1:20">
      <c r="A297" s="678"/>
      <c r="B297" s="678"/>
      <c r="C297" s="681"/>
      <c r="D297" s="678"/>
      <c r="E297" s="678"/>
      <c r="F297" s="681"/>
      <c r="G297" s="678"/>
      <c r="H297" s="534" t="s">
        <v>1155</v>
      </c>
      <c r="I297" s="678"/>
      <c r="J297" s="678"/>
      <c r="K297" s="678"/>
      <c r="L297" s="678"/>
      <c r="M297" s="678"/>
      <c r="N297" s="678"/>
      <c r="O297" s="678"/>
      <c r="P297" s="678"/>
      <c r="Q297" s="678"/>
      <c r="R297" s="678"/>
      <c r="S297" s="678"/>
      <c r="T297" s="534"/>
    </row>
    <row r="298" spans="1:20">
      <c r="A298" s="678"/>
      <c r="B298" s="678"/>
      <c r="C298" s="681"/>
      <c r="D298" s="678"/>
      <c r="E298" s="678"/>
      <c r="F298" s="681"/>
      <c r="G298" s="678"/>
      <c r="H298" s="534" t="s">
        <v>1445</v>
      </c>
      <c r="I298" s="678"/>
      <c r="J298" s="678"/>
      <c r="K298" s="678"/>
      <c r="L298" s="678"/>
      <c r="M298" s="678"/>
      <c r="N298" s="678"/>
      <c r="O298" s="678"/>
      <c r="P298" s="678"/>
      <c r="Q298" s="678"/>
      <c r="R298" s="678"/>
      <c r="S298" s="678"/>
      <c r="T298" s="534"/>
    </row>
    <row r="299" spans="1:20">
      <c r="A299" s="678"/>
      <c r="B299" s="678"/>
      <c r="C299" s="681"/>
      <c r="D299" s="678"/>
      <c r="E299" s="678"/>
      <c r="F299" s="681"/>
      <c r="G299" s="678"/>
      <c r="H299" s="534"/>
      <c r="I299" s="678"/>
      <c r="J299" s="678"/>
      <c r="K299" s="678"/>
      <c r="L299" s="678"/>
      <c r="M299" s="678"/>
      <c r="N299" s="678"/>
      <c r="O299" s="678"/>
      <c r="P299" s="678"/>
      <c r="Q299" s="678"/>
      <c r="R299" s="678"/>
      <c r="S299" s="678"/>
      <c r="T299" s="534"/>
    </row>
    <row r="300" spans="1:20">
      <c r="A300" s="678"/>
      <c r="B300" s="678"/>
      <c r="C300" s="681"/>
      <c r="D300" s="678"/>
      <c r="E300" s="678"/>
      <c r="F300" s="681"/>
      <c r="G300" s="678"/>
      <c r="H300" s="534" t="s">
        <v>1157</v>
      </c>
      <c r="I300" s="678"/>
      <c r="J300" s="678"/>
      <c r="K300" s="678"/>
      <c r="L300" s="678"/>
      <c r="M300" s="678"/>
      <c r="N300" s="678"/>
      <c r="O300" s="678"/>
      <c r="P300" s="678"/>
      <c r="Q300" s="678"/>
      <c r="R300" s="678"/>
      <c r="S300" s="678"/>
      <c r="T300" s="534"/>
    </row>
    <row r="301" spans="1:20">
      <c r="A301" s="679"/>
      <c r="B301" s="679"/>
      <c r="C301" s="682"/>
      <c r="D301" s="679"/>
      <c r="E301" s="679"/>
      <c r="F301" s="682"/>
      <c r="G301" s="679"/>
      <c r="H301" s="535">
        <v>1040</v>
      </c>
      <c r="I301" s="679"/>
      <c r="J301" s="679"/>
      <c r="K301" s="679"/>
      <c r="L301" s="679"/>
      <c r="M301" s="679"/>
      <c r="N301" s="679"/>
      <c r="O301" s="679"/>
      <c r="P301" s="679"/>
      <c r="Q301" s="679"/>
      <c r="R301" s="679"/>
      <c r="S301" s="679"/>
      <c r="T301" s="535"/>
    </row>
    <row r="302" spans="1:20" ht="28.8">
      <c r="A302" s="677" t="s">
        <v>1448</v>
      </c>
      <c r="B302" s="680" t="s">
        <v>1449</v>
      </c>
      <c r="C302" s="677">
        <v>17140</v>
      </c>
      <c r="D302" s="680" t="s">
        <v>1450</v>
      </c>
      <c r="E302" s="677" t="s">
        <v>1130</v>
      </c>
      <c r="F302" s="677">
        <v>35</v>
      </c>
      <c r="G302" s="680" t="s">
        <v>1022</v>
      </c>
      <c r="H302" s="677"/>
      <c r="I302" s="677" t="s">
        <v>1451</v>
      </c>
      <c r="J302" s="677" t="s">
        <v>1452</v>
      </c>
      <c r="K302" s="677" t="s">
        <v>1453</v>
      </c>
      <c r="L302" s="677" t="s">
        <v>1436</v>
      </c>
      <c r="M302" s="677" t="s">
        <v>1436</v>
      </c>
      <c r="N302" s="677"/>
      <c r="O302" s="677"/>
      <c r="P302" s="677"/>
      <c r="Q302" s="677"/>
      <c r="R302" s="677"/>
      <c r="S302" s="677"/>
      <c r="T302" s="533" t="s">
        <v>1424</v>
      </c>
    </row>
    <row r="303" spans="1:20">
      <c r="A303" s="679"/>
      <c r="B303" s="682"/>
      <c r="C303" s="679"/>
      <c r="D303" s="682"/>
      <c r="E303" s="679"/>
      <c r="F303" s="679"/>
      <c r="G303" s="682"/>
      <c r="H303" s="679"/>
      <c r="I303" s="679"/>
      <c r="J303" s="679"/>
      <c r="K303" s="679"/>
      <c r="L303" s="679"/>
      <c r="M303" s="679"/>
      <c r="N303" s="679"/>
      <c r="O303" s="679"/>
      <c r="P303" s="679"/>
      <c r="Q303" s="679"/>
      <c r="R303" s="679"/>
      <c r="S303" s="679"/>
      <c r="T303" s="535" t="s">
        <v>1454</v>
      </c>
    </row>
    <row r="304" spans="1:20">
      <c r="A304" s="677" t="s">
        <v>1455</v>
      </c>
      <c r="B304" s="677" t="s">
        <v>1456</v>
      </c>
      <c r="C304" s="680">
        <v>17140</v>
      </c>
      <c r="D304" s="677" t="s">
        <v>1457</v>
      </c>
      <c r="E304" s="677" t="s">
        <v>1130</v>
      </c>
      <c r="F304" s="680">
        <v>45</v>
      </c>
      <c r="G304" s="677" t="s">
        <v>1022</v>
      </c>
      <c r="H304" s="680"/>
      <c r="I304" s="677" t="s">
        <v>1458</v>
      </c>
      <c r="J304" s="677" t="s">
        <v>1452</v>
      </c>
      <c r="K304" s="677" t="s">
        <v>1459</v>
      </c>
      <c r="L304" s="677" t="s">
        <v>1436</v>
      </c>
      <c r="M304" s="677" t="s">
        <v>1436</v>
      </c>
      <c r="N304" s="677"/>
      <c r="O304" s="677"/>
      <c r="P304" s="677"/>
      <c r="Q304" s="677"/>
      <c r="R304" s="677"/>
      <c r="S304" s="677"/>
      <c r="T304" s="533" t="s">
        <v>1106</v>
      </c>
    </row>
    <row r="305" spans="1:20">
      <c r="A305" s="679"/>
      <c r="B305" s="679"/>
      <c r="C305" s="682"/>
      <c r="D305" s="679"/>
      <c r="E305" s="679"/>
      <c r="F305" s="682"/>
      <c r="G305" s="679"/>
      <c r="H305" s="682"/>
      <c r="I305" s="679"/>
      <c r="J305" s="679"/>
      <c r="K305" s="679"/>
      <c r="L305" s="679"/>
      <c r="M305" s="679"/>
      <c r="N305" s="679"/>
      <c r="O305" s="679"/>
      <c r="P305" s="679"/>
      <c r="Q305" s="679"/>
      <c r="R305" s="679"/>
      <c r="S305" s="679"/>
      <c r="T305" s="535" t="s">
        <v>1454</v>
      </c>
    </row>
    <row r="306" spans="1:20">
      <c r="A306" s="677" t="s">
        <v>1460</v>
      </c>
      <c r="B306" s="677" t="s">
        <v>1461</v>
      </c>
      <c r="C306" s="680">
        <v>17140</v>
      </c>
      <c r="D306" s="677" t="s">
        <v>1462</v>
      </c>
      <c r="E306" s="677" t="s">
        <v>1130</v>
      </c>
      <c r="F306" s="680">
        <v>55</v>
      </c>
      <c r="G306" s="677" t="s">
        <v>1022</v>
      </c>
      <c r="H306" s="680"/>
      <c r="I306" s="677" t="s">
        <v>1463</v>
      </c>
      <c r="J306" s="677" t="s">
        <v>1452</v>
      </c>
      <c r="K306" s="677" t="s">
        <v>1459</v>
      </c>
      <c r="L306" s="677" t="s">
        <v>1436</v>
      </c>
      <c r="M306" s="677" t="s">
        <v>1436</v>
      </c>
      <c r="N306" s="677"/>
      <c r="O306" s="677"/>
      <c r="P306" s="677"/>
      <c r="Q306" s="677"/>
      <c r="R306" s="677"/>
      <c r="S306" s="677"/>
      <c r="T306" s="533" t="s">
        <v>1106</v>
      </c>
    </row>
    <row r="307" spans="1:20">
      <c r="A307" s="679"/>
      <c r="B307" s="679"/>
      <c r="C307" s="682"/>
      <c r="D307" s="679"/>
      <c r="E307" s="679"/>
      <c r="F307" s="682"/>
      <c r="G307" s="679"/>
      <c r="H307" s="682"/>
      <c r="I307" s="679"/>
      <c r="J307" s="679"/>
      <c r="K307" s="679"/>
      <c r="L307" s="679"/>
      <c r="M307" s="679"/>
      <c r="N307" s="679"/>
      <c r="O307" s="679"/>
      <c r="P307" s="679"/>
      <c r="Q307" s="679"/>
      <c r="R307" s="679"/>
      <c r="S307" s="679"/>
      <c r="T307" s="535" t="s">
        <v>1454</v>
      </c>
    </row>
    <row r="308" spans="1:20" ht="28.8">
      <c r="A308" s="677" t="s">
        <v>1464</v>
      </c>
      <c r="B308" s="677" t="s">
        <v>1465</v>
      </c>
      <c r="C308" s="680"/>
      <c r="D308" s="677" t="s">
        <v>1466</v>
      </c>
      <c r="E308" s="677" t="s">
        <v>1214</v>
      </c>
      <c r="F308" s="680"/>
      <c r="G308" s="677"/>
      <c r="H308" s="533" t="s">
        <v>1151</v>
      </c>
      <c r="I308" s="677"/>
      <c r="J308" s="677"/>
      <c r="K308" s="677"/>
      <c r="L308" s="677"/>
      <c r="M308" s="677"/>
      <c r="N308" s="677"/>
      <c r="O308" s="677"/>
      <c r="P308" s="677"/>
      <c r="Q308" s="677"/>
      <c r="R308" s="677"/>
      <c r="S308" s="677"/>
      <c r="T308" s="533" t="s">
        <v>1424</v>
      </c>
    </row>
    <row r="309" spans="1:20">
      <c r="A309" s="678"/>
      <c r="B309" s="678"/>
      <c r="C309" s="681"/>
      <c r="D309" s="678"/>
      <c r="E309" s="678"/>
      <c r="F309" s="681"/>
      <c r="G309" s="678"/>
      <c r="H309" s="534" t="s">
        <v>1414</v>
      </c>
      <c r="I309" s="678"/>
      <c r="J309" s="678"/>
      <c r="K309" s="678"/>
      <c r="L309" s="678"/>
      <c r="M309" s="678"/>
      <c r="N309" s="678"/>
      <c r="O309" s="678"/>
      <c r="P309" s="678"/>
      <c r="Q309" s="678"/>
      <c r="R309" s="678"/>
      <c r="S309" s="678"/>
      <c r="T309" s="534" t="s">
        <v>1470</v>
      </c>
    </row>
    <row r="310" spans="1:20">
      <c r="A310" s="678"/>
      <c r="B310" s="678"/>
      <c r="C310" s="681"/>
      <c r="D310" s="678"/>
      <c r="E310" s="678"/>
      <c r="F310" s="681"/>
      <c r="G310" s="678"/>
      <c r="H310" s="534" t="s">
        <v>970</v>
      </c>
      <c r="I310" s="678"/>
      <c r="J310" s="678"/>
      <c r="K310" s="678"/>
      <c r="L310" s="678"/>
      <c r="M310" s="678"/>
      <c r="N310" s="678"/>
      <c r="O310" s="678"/>
      <c r="P310" s="678"/>
      <c r="Q310" s="678"/>
      <c r="R310" s="678"/>
      <c r="S310" s="678"/>
      <c r="T310" s="534"/>
    </row>
    <row r="311" spans="1:20">
      <c r="A311" s="678"/>
      <c r="B311" s="678"/>
      <c r="C311" s="681"/>
      <c r="D311" s="678"/>
      <c r="E311" s="678"/>
      <c r="F311" s="681"/>
      <c r="G311" s="678"/>
      <c r="H311" s="534" t="s">
        <v>971</v>
      </c>
      <c r="I311" s="678"/>
      <c r="J311" s="678"/>
      <c r="K311" s="678"/>
      <c r="L311" s="678"/>
      <c r="M311" s="678"/>
      <c r="N311" s="678"/>
      <c r="O311" s="678"/>
      <c r="P311" s="678"/>
      <c r="Q311" s="678"/>
      <c r="R311" s="678"/>
      <c r="S311" s="678"/>
      <c r="T311" s="534"/>
    </row>
    <row r="312" spans="1:20">
      <c r="A312" s="678"/>
      <c r="B312" s="678"/>
      <c r="C312" s="681"/>
      <c r="D312" s="678"/>
      <c r="E312" s="678"/>
      <c r="F312" s="681"/>
      <c r="G312" s="678"/>
      <c r="H312" s="534" t="s">
        <v>1415</v>
      </c>
      <c r="I312" s="678"/>
      <c r="J312" s="678"/>
      <c r="K312" s="678"/>
      <c r="L312" s="678"/>
      <c r="M312" s="678"/>
      <c r="N312" s="678"/>
      <c r="O312" s="678"/>
      <c r="P312" s="678"/>
      <c r="Q312" s="678"/>
      <c r="R312" s="678"/>
      <c r="S312" s="678"/>
      <c r="T312" s="534"/>
    </row>
    <row r="313" spans="1:20">
      <c r="A313" s="678"/>
      <c r="B313" s="678"/>
      <c r="C313" s="681"/>
      <c r="D313" s="678"/>
      <c r="E313" s="678"/>
      <c r="F313" s="681"/>
      <c r="G313" s="678"/>
      <c r="H313" s="534" t="s">
        <v>974</v>
      </c>
      <c r="I313" s="678"/>
      <c r="J313" s="678"/>
      <c r="K313" s="678"/>
      <c r="L313" s="678"/>
      <c r="M313" s="678"/>
      <c r="N313" s="678"/>
      <c r="O313" s="678"/>
      <c r="P313" s="678"/>
      <c r="Q313" s="678"/>
      <c r="R313" s="678"/>
      <c r="S313" s="678"/>
      <c r="T313" s="534"/>
    </row>
    <row r="314" spans="1:20">
      <c r="A314" s="678"/>
      <c r="B314" s="678"/>
      <c r="C314" s="681"/>
      <c r="D314" s="678"/>
      <c r="E314" s="678"/>
      <c r="F314" s="681"/>
      <c r="G314" s="678"/>
      <c r="H314" s="534" t="s">
        <v>975</v>
      </c>
      <c r="I314" s="678"/>
      <c r="J314" s="678"/>
      <c r="K314" s="678"/>
      <c r="L314" s="678"/>
      <c r="M314" s="678"/>
      <c r="N314" s="678"/>
      <c r="O314" s="678"/>
      <c r="P314" s="678"/>
      <c r="Q314" s="678"/>
      <c r="R314" s="678"/>
      <c r="S314" s="678"/>
      <c r="T314" s="534"/>
    </row>
    <row r="315" spans="1:20">
      <c r="A315" s="678"/>
      <c r="B315" s="678"/>
      <c r="C315" s="681"/>
      <c r="D315" s="678"/>
      <c r="E315" s="678"/>
      <c r="F315" s="681"/>
      <c r="G315" s="678"/>
      <c r="H315" s="534" t="s">
        <v>976</v>
      </c>
      <c r="I315" s="678"/>
      <c r="J315" s="678"/>
      <c r="K315" s="678"/>
      <c r="L315" s="678"/>
      <c r="M315" s="678"/>
      <c r="N315" s="678"/>
      <c r="O315" s="678"/>
      <c r="P315" s="678"/>
      <c r="Q315" s="678"/>
      <c r="R315" s="678"/>
      <c r="S315" s="678"/>
      <c r="T315" s="534"/>
    </row>
    <row r="316" spans="1:20">
      <c r="A316" s="678"/>
      <c r="B316" s="678"/>
      <c r="C316" s="681"/>
      <c r="D316" s="678"/>
      <c r="E316" s="678"/>
      <c r="F316" s="681"/>
      <c r="G316" s="678"/>
      <c r="H316" s="534" t="s">
        <v>977</v>
      </c>
      <c r="I316" s="678"/>
      <c r="J316" s="678"/>
      <c r="K316" s="678"/>
      <c r="L316" s="678"/>
      <c r="M316" s="678"/>
      <c r="N316" s="678"/>
      <c r="O316" s="678"/>
      <c r="P316" s="678"/>
      <c r="Q316" s="678"/>
      <c r="R316" s="678"/>
      <c r="S316" s="678"/>
      <c r="T316" s="534"/>
    </row>
    <row r="317" spans="1:20">
      <c r="A317" s="678"/>
      <c r="B317" s="678"/>
      <c r="C317" s="681"/>
      <c r="D317" s="678"/>
      <c r="E317" s="678"/>
      <c r="F317" s="681"/>
      <c r="G317" s="678"/>
      <c r="H317" s="534" t="s">
        <v>979</v>
      </c>
      <c r="I317" s="678"/>
      <c r="J317" s="678"/>
      <c r="K317" s="678"/>
      <c r="L317" s="678"/>
      <c r="M317" s="678"/>
      <c r="N317" s="678"/>
      <c r="O317" s="678"/>
      <c r="P317" s="678"/>
      <c r="Q317" s="678"/>
      <c r="R317" s="678"/>
      <c r="S317" s="678"/>
      <c r="T317" s="534"/>
    </row>
    <row r="318" spans="1:20">
      <c r="A318" s="678"/>
      <c r="B318" s="678"/>
      <c r="C318" s="681"/>
      <c r="D318" s="678"/>
      <c r="E318" s="678"/>
      <c r="F318" s="681"/>
      <c r="G318" s="678"/>
      <c r="H318" s="534" t="s">
        <v>980</v>
      </c>
      <c r="I318" s="678"/>
      <c r="J318" s="678"/>
      <c r="K318" s="678"/>
      <c r="L318" s="678"/>
      <c r="M318" s="678"/>
      <c r="N318" s="678"/>
      <c r="O318" s="678"/>
      <c r="P318" s="678"/>
      <c r="Q318" s="678"/>
      <c r="R318" s="678"/>
      <c r="S318" s="678"/>
      <c r="T318" s="534"/>
    </row>
    <row r="319" spans="1:20">
      <c r="A319" s="678"/>
      <c r="B319" s="678"/>
      <c r="C319" s="681"/>
      <c r="D319" s="678"/>
      <c r="E319" s="678"/>
      <c r="F319" s="681"/>
      <c r="G319" s="678"/>
      <c r="H319" s="534" t="s">
        <v>981</v>
      </c>
      <c r="I319" s="678"/>
      <c r="J319" s="678"/>
      <c r="K319" s="678"/>
      <c r="L319" s="678"/>
      <c r="M319" s="678"/>
      <c r="N319" s="678"/>
      <c r="O319" s="678"/>
      <c r="P319" s="678"/>
      <c r="Q319" s="678"/>
      <c r="R319" s="678"/>
      <c r="S319" s="678"/>
      <c r="T319" s="534"/>
    </row>
    <row r="320" spans="1:20">
      <c r="A320" s="678"/>
      <c r="B320" s="678"/>
      <c r="C320" s="681"/>
      <c r="D320" s="678"/>
      <c r="E320" s="678"/>
      <c r="F320" s="681"/>
      <c r="G320" s="678"/>
      <c r="H320" s="534" t="s">
        <v>1417</v>
      </c>
      <c r="I320" s="678"/>
      <c r="J320" s="678"/>
      <c r="K320" s="678"/>
      <c r="L320" s="678"/>
      <c r="M320" s="678"/>
      <c r="N320" s="678"/>
      <c r="O320" s="678"/>
      <c r="P320" s="678"/>
      <c r="Q320" s="678"/>
      <c r="R320" s="678"/>
      <c r="S320" s="678"/>
      <c r="T320" s="534"/>
    </row>
    <row r="321" spans="1:20">
      <c r="A321" s="678"/>
      <c r="B321" s="678"/>
      <c r="C321" s="681"/>
      <c r="D321" s="678"/>
      <c r="E321" s="678"/>
      <c r="F321" s="681"/>
      <c r="G321" s="678"/>
      <c r="H321" s="534" t="s">
        <v>984</v>
      </c>
      <c r="I321" s="678"/>
      <c r="J321" s="678"/>
      <c r="K321" s="678"/>
      <c r="L321" s="678"/>
      <c r="M321" s="678"/>
      <c r="N321" s="678"/>
      <c r="O321" s="678"/>
      <c r="P321" s="678"/>
      <c r="Q321" s="678"/>
      <c r="R321" s="678"/>
      <c r="S321" s="678"/>
      <c r="T321" s="534"/>
    </row>
    <row r="322" spans="1:20">
      <c r="A322" s="678"/>
      <c r="B322" s="678"/>
      <c r="C322" s="681"/>
      <c r="D322" s="678"/>
      <c r="E322" s="678"/>
      <c r="F322" s="681"/>
      <c r="G322" s="678"/>
      <c r="H322" s="534" t="s">
        <v>985</v>
      </c>
      <c r="I322" s="678"/>
      <c r="J322" s="678"/>
      <c r="K322" s="678"/>
      <c r="L322" s="678"/>
      <c r="M322" s="678"/>
      <c r="N322" s="678"/>
      <c r="O322" s="678"/>
      <c r="P322" s="678"/>
      <c r="Q322" s="678"/>
      <c r="R322" s="678"/>
      <c r="S322" s="678"/>
      <c r="T322" s="534"/>
    </row>
    <row r="323" spans="1:20">
      <c r="A323" s="678"/>
      <c r="B323" s="678"/>
      <c r="C323" s="681"/>
      <c r="D323" s="678"/>
      <c r="E323" s="678"/>
      <c r="F323" s="681"/>
      <c r="G323" s="678"/>
      <c r="H323" s="534" t="s">
        <v>1442</v>
      </c>
      <c r="I323" s="678"/>
      <c r="J323" s="678"/>
      <c r="K323" s="678"/>
      <c r="L323" s="678"/>
      <c r="M323" s="678"/>
      <c r="N323" s="678"/>
      <c r="O323" s="678"/>
      <c r="P323" s="678"/>
      <c r="Q323" s="678"/>
      <c r="R323" s="678"/>
      <c r="S323" s="678"/>
      <c r="T323" s="534"/>
    </row>
    <row r="324" spans="1:20">
      <c r="A324" s="678"/>
      <c r="B324" s="678"/>
      <c r="C324" s="681"/>
      <c r="D324" s="678"/>
      <c r="E324" s="678"/>
      <c r="F324" s="681"/>
      <c r="G324" s="678"/>
      <c r="H324" s="534" t="s">
        <v>988</v>
      </c>
      <c r="I324" s="678"/>
      <c r="J324" s="678"/>
      <c r="K324" s="678"/>
      <c r="L324" s="678"/>
      <c r="M324" s="678"/>
      <c r="N324" s="678"/>
      <c r="O324" s="678"/>
      <c r="P324" s="678"/>
      <c r="Q324" s="678"/>
      <c r="R324" s="678"/>
      <c r="S324" s="678"/>
      <c r="T324" s="534"/>
    </row>
    <row r="325" spans="1:20">
      <c r="A325" s="678"/>
      <c r="B325" s="678"/>
      <c r="C325" s="681"/>
      <c r="D325" s="678"/>
      <c r="E325" s="678"/>
      <c r="F325" s="681"/>
      <c r="G325" s="678"/>
      <c r="H325" s="534" t="s">
        <v>1467</v>
      </c>
      <c r="I325" s="678"/>
      <c r="J325" s="678"/>
      <c r="K325" s="678"/>
      <c r="L325" s="678"/>
      <c r="M325" s="678"/>
      <c r="N325" s="678"/>
      <c r="O325" s="678"/>
      <c r="P325" s="678"/>
      <c r="Q325" s="678"/>
      <c r="R325" s="678"/>
      <c r="S325" s="678"/>
      <c r="T325" s="534"/>
    </row>
    <row r="326" spans="1:20">
      <c r="A326" s="678"/>
      <c r="B326" s="678"/>
      <c r="C326" s="681"/>
      <c r="D326" s="678"/>
      <c r="E326" s="678"/>
      <c r="F326" s="681"/>
      <c r="G326" s="678"/>
      <c r="H326" s="534"/>
      <c r="I326" s="678"/>
      <c r="J326" s="678"/>
      <c r="K326" s="678"/>
      <c r="L326" s="678"/>
      <c r="M326" s="678"/>
      <c r="N326" s="678"/>
      <c r="O326" s="678"/>
      <c r="P326" s="678"/>
      <c r="Q326" s="678"/>
      <c r="R326" s="678"/>
      <c r="S326" s="678"/>
      <c r="T326" s="534"/>
    </row>
    <row r="327" spans="1:20">
      <c r="A327" s="678"/>
      <c r="B327" s="678"/>
      <c r="C327" s="681"/>
      <c r="D327" s="678"/>
      <c r="E327" s="678"/>
      <c r="F327" s="681"/>
      <c r="G327" s="678"/>
      <c r="H327" s="534" t="s">
        <v>1155</v>
      </c>
      <c r="I327" s="678"/>
      <c r="J327" s="678"/>
      <c r="K327" s="678"/>
      <c r="L327" s="678"/>
      <c r="M327" s="678"/>
      <c r="N327" s="678"/>
      <c r="O327" s="678"/>
      <c r="P327" s="678"/>
      <c r="Q327" s="678"/>
      <c r="R327" s="678"/>
      <c r="S327" s="678"/>
      <c r="T327" s="534"/>
    </row>
    <row r="328" spans="1:20">
      <c r="A328" s="678"/>
      <c r="B328" s="678"/>
      <c r="C328" s="681"/>
      <c r="D328" s="678"/>
      <c r="E328" s="678"/>
      <c r="F328" s="681"/>
      <c r="G328" s="678"/>
      <c r="H328" s="534" t="s">
        <v>1468</v>
      </c>
      <c r="I328" s="678"/>
      <c r="J328" s="678"/>
      <c r="K328" s="678"/>
      <c r="L328" s="678"/>
      <c r="M328" s="678"/>
      <c r="N328" s="678"/>
      <c r="O328" s="678"/>
      <c r="P328" s="678"/>
      <c r="Q328" s="678"/>
      <c r="R328" s="678"/>
      <c r="S328" s="678"/>
      <c r="T328" s="534"/>
    </row>
    <row r="329" spans="1:20">
      <c r="A329" s="678"/>
      <c r="B329" s="678"/>
      <c r="C329" s="681"/>
      <c r="D329" s="678"/>
      <c r="E329" s="678"/>
      <c r="F329" s="681"/>
      <c r="G329" s="678"/>
      <c r="H329" s="534"/>
      <c r="I329" s="678"/>
      <c r="J329" s="678"/>
      <c r="K329" s="678"/>
      <c r="L329" s="678"/>
      <c r="M329" s="678"/>
      <c r="N329" s="678"/>
      <c r="O329" s="678"/>
      <c r="P329" s="678"/>
      <c r="Q329" s="678"/>
      <c r="R329" s="678"/>
      <c r="S329" s="678"/>
      <c r="T329" s="534"/>
    </row>
    <row r="330" spans="1:20">
      <c r="A330" s="678"/>
      <c r="B330" s="678"/>
      <c r="C330" s="681"/>
      <c r="D330" s="678"/>
      <c r="E330" s="678"/>
      <c r="F330" s="681"/>
      <c r="G330" s="678"/>
      <c r="H330" s="534" t="s">
        <v>1469</v>
      </c>
      <c r="I330" s="678"/>
      <c r="J330" s="678"/>
      <c r="K330" s="678"/>
      <c r="L330" s="678"/>
      <c r="M330" s="678"/>
      <c r="N330" s="678"/>
      <c r="O330" s="678"/>
      <c r="P330" s="678"/>
      <c r="Q330" s="678"/>
      <c r="R330" s="678"/>
      <c r="S330" s="678"/>
      <c r="T330" s="534"/>
    </row>
    <row r="331" spans="1:20">
      <c r="A331" s="679"/>
      <c r="B331" s="679"/>
      <c r="C331" s="682"/>
      <c r="D331" s="679"/>
      <c r="E331" s="679"/>
      <c r="F331" s="682"/>
      <c r="G331" s="679"/>
      <c r="H331" s="535">
        <v>1030</v>
      </c>
      <c r="I331" s="679"/>
      <c r="J331" s="679"/>
      <c r="K331" s="679"/>
      <c r="L331" s="679"/>
      <c r="M331" s="679"/>
      <c r="N331" s="679"/>
      <c r="O331" s="679"/>
      <c r="P331" s="679"/>
      <c r="Q331" s="679"/>
      <c r="R331" s="679"/>
      <c r="S331" s="679"/>
      <c r="T331" s="535"/>
    </row>
    <row r="332" spans="1:20">
      <c r="A332" s="677" t="s">
        <v>1471</v>
      </c>
      <c r="B332" s="677" t="s">
        <v>1472</v>
      </c>
      <c r="C332" s="680">
        <v>17162</v>
      </c>
      <c r="D332" s="677" t="s">
        <v>1473</v>
      </c>
      <c r="E332" s="677">
        <v>10147</v>
      </c>
      <c r="F332" s="680"/>
      <c r="G332" s="677"/>
      <c r="H332" s="680"/>
      <c r="I332" s="677" t="s">
        <v>1401</v>
      </c>
      <c r="J332" s="677" t="s">
        <v>1300</v>
      </c>
      <c r="K332" s="677" t="s">
        <v>1474</v>
      </c>
      <c r="L332" s="677" t="s">
        <v>1402</v>
      </c>
      <c r="M332" s="677" t="s">
        <v>1423</v>
      </c>
      <c r="N332" s="677"/>
      <c r="O332" s="677"/>
      <c r="P332" s="677"/>
      <c r="Q332" s="677"/>
      <c r="R332" s="677"/>
      <c r="S332" s="677"/>
      <c r="T332" s="533" t="s">
        <v>1106</v>
      </c>
    </row>
    <row r="333" spans="1:20" ht="28.8">
      <c r="A333" s="678"/>
      <c r="B333" s="678"/>
      <c r="C333" s="681"/>
      <c r="D333" s="678"/>
      <c r="E333" s="678"/>
      <c r="F333" s="681"/>
      <c r="G333" s="678"/>
      <c r="H333" s="681"/>
      <c r="I333" s="678"/>
      <c r="J333" s="678"/>
      <c r="K333" s="678"/>
      <c r="L333" s="678"/>
      <c r="M333" s="678"/>
      <c r="N333" s="678"/>
      <c r="O333" s="678"/>
      <c r="P333" s="678"/>
      <c r="Q333" s="678"/>
      <c r="R333" s="678"/>
      <c r="S333" s="678"/>
      <c r="T333" s="534" t="s">
        <v>1475</v>
      </c>
    </row>
    <row r="334" spans="1:20">
      <c r="A334" s="679"/>
      <c r="B334" s="679"/>
      <c r="C334" s="682"/>
      <c r="D334" s="679"/>
      <c r="E334" s="679"/>
      <c r="F334" s="682"/>
      <c r="G334" s="679"/>
      <c r="H334" s="682"/>
      <c r="I334" s="679"/>
      <c r="J334" s="679"/>
      <c r="K334" s="679"/>
      <c r="L334" s="679"/>
      <c r="M334" s="679"/>
      <c r="N334" s="679"/>
      <c r="O334" s="679"/>
      <c r="P334" s="679"/>
      <c r="Q334" s="679"/>
      <c r="R334" s="679"/>
      <c r="S334" s="679"/>
      <c r="T334" s="535" t="s">
        <v>1476</v>
      </c>
    </row>
    <row r="335" spans="1:20" ht="28.8">
      <c r="A335" s="677" t="s">
        <v>1477</v>
      </c>
      <c r="B335" s="677" t="s">
        <v>1478</v>
      </c>
      <c r="C335" s="680"/>
      <c r="D335" s="677" t="s">
        <v>1479</v>
      </c>
      <c r="E335" s="677" t="s">
        <v>1130</v>
      </c>
      <c r="F335" s="680"/>
      <c r="G335" s="677"/>
      <c r="H335" s="680" t="s">
        <v>1480</v>
      </c>
      <c r="I335" s="677" t="s">
        <v>1481</v>
      </c>
      <c r="J335" s="677" t="s">
        <v>1452</v>
      </c>
      <c r="K335" s="677" t="s">
        <v>1453</v>
      </c>
      <c r="L335" s="677" t="s">
        <v>1436</v>
      </c>
      <c r="M335" s="677" t="s">
        <v>1436</v>
      </c>
      <c r="N335" s="677"/>
      <c r="O335" s="677"/>
      <c r="P335" s="677"/>
      <c r="Q335" s="677"/>
      <c r="R335" s="677"/>
      <c r="S335" s="677"/>
      <c r="T335" s="533" t="s">
        <v>1482</v>
      </c>
    </row>
    <row r="336" spans="1:20">
      <c r="A336" s="679"/>
      <c r="B336" s="679"/>
      <c r="C336" s="682"/>
      <c r="D336" s="679"/>
      <c r="E336" s="679"/>
      <c r="F336" s="682"/>
      <c r="G336" s="679"/>
      <c r="H336" s="682"/>
      <c r="I336" s="679"/>
      <c r="J336" s="679"/>
      <c r="K336" s="679"/>
      <c r="L336" s="679"/>
      <c r="M336" s="679"/>
      <c r="N336" s="679"/>
      <c r="O336" s="679"/>
      <c r="P336" s="679"/>
      <c r="Q336" s="679"/>
      <c r="R336" s="679"/>
      <c r="S336" s="679"/>
      <c r="T336" s="535" t="s">
        <v>1454</v>
      </c>
    </row>
    <row r="337" spans="1:20">
      <c r="A337" s="677" t="s">
        <v>1483</v>
      </c>
      <c r="B337" s="677" t="s">
        <v>1484</v>
      </c>
      <c r="C337" s="680" t="s">
        <v>1485</v>
      </c>
      <c r="D337" s="677" t="s">
        <v>1486</v>
      </c>
      <c r="E337" s="677">
        <v>10025</v>
      </c>
      <c r="F337" s="680"/>
      <c r="G337" s="677"/>
      <c r="H337" s="680"/>
      <c r="I337" s="677"/>
      <c r="J337" s="677"/>
      <c r="K337" s="677"/>
      <c r="L337" s="677"/>
      <c r="M337" s="677"/>
      <c r="N337" s="677"/>
      <c r="O337" s="677"/>
      <c r="P337" s="677"/>
      <c r="Q337" s="677"/>
      <c r="R337" s="677"/>
      <c r="S337" s="677"/>
      <c r="T337" s="533" t="s">
        <v>1106</v>
      </c>
    </row>
    <row r="338" spans="1:20" ht="28.8">
      <c r="A338" s="678"/>
      <c r="B338" s="678"/>
      <c r="C338" s="681"/>
      <c r="D338" s="678"/>
      <c r="E338" s="678"/>
      <c r="F338" s="681"/>
      <c r="G338" s="678"/>
      <c r="H338" s="681"/>
      <c r="I338" s="678"/>
      <c r="J338" s="678"/>
      <c r="K338" s="678"/>
      <c r="L338" s="678"/>
      <c r="M338" s="678"/>
      <c r="N338" s="678"/>
      <c r="O338" s="678"/>
      <c r="P338" s="678"/>
      <c r="Q338" s="678"/>
      <c r="R338" s="678"/>
      <c r="S338" s="678"/>
      <c r="T338" s="534" t="s">
        <v>1487</v>
      </c>
    </row>
    <row r="339" spans="1:20">
      <c r="A339" s="679"/>
      <c r="B339" s="679"/>
      <c r="C339" s="682"/>
      <c r="D339" s="679"/>
      <c r="E339" s="679"/>
      <c r="F339" s="682"/>
      <c r="G339" s="679"/>
      <c r="H339" s="682"/>
      <c r="I339" s="679"/>
      <c r="J339" s="679"/>
      <c r="K339" s="679"/>
      <c r="L339" s="679"/>
      <c r="M339" s="679"/>
      <c r="N339" s="679"/>
      <c r="O339" s="679"/>
      <c r="P339" s="679"/>
      <c r="Q339" s="679"/>
      <c r="R339" s="679"/>
      <c r="S339" s="679"/>
      <c r="T339" s="535" t="s">
        <v>1488</v>
      </c>
    </row>
    <row r="340" spans="1:20" ht="28.8">
      <c r="A340" s="677" t="s">
        <v>1489</v>
      </c>
      <c r="B340" s="677" t="s">
        <v>1490</v>
      </c>
      <c r="C340" s="680">
        <v>17200</v>
      </c>
      <c r="D340" s="677" t="s">
        <v>1491</v>
      </c>
      <c r="E340" s="677" t="s">
        <v>1214</v>
      </c>
      <c r="F340" s="680">
        <v>55</v>
      </c>
      <c r="G340" s="677" t="s">
        <v>1413</v>
      </c>
      <c r="H340" s="533" t="s">
        <v>1157</v>
      </c>
      <c r="I340" s="677" t="s">
        <v>1498</v>
      </c>
      <c r="J340" s="677" t="s">
        <v>1499</v>
      </c>
      <c r="K340" s="677" t="s">
        <v>1500</v>
      </c>
      <c r="L340" s="677" t="s">
        <v>1423</v>
      </c>
      <c r="M340" s="677" t="s">
        <v>1423</v>
      </c>
      <c r="N340" s="677" t="s">
        <v>259</v>
      </c>
      <c r="O340" s="677" t="s">
        <v>993</v>
      </c>
      <c r="P340" s="677"/>
      <c r="Q340" s="677"/>
      <c r="R340" s="677"/>
      <c r="S340" s="677" t="s">
        <v>993</v>
      </c>
      <c r="T340" s="533" t="s">
        <v>1501</v>
      </c>
    </row>
    <row r="341" spans="1:20">
      <c r="A341" s="678"/>
      <c r="B341" s="678"/>
      <c r="C341" s="681"/>
      <c r="D341" s="678"/>
      <c r="E341" s="678"/>
      <c r="F341" s="681"/>
      <c r="G341" s="678"/>
      <c r="H341" s="534" t="s">
        <v>1492</v>
      </c>
      <c r="I341" s="678"/>
      <c r="J341" s="678"/>
      <c r="K341" s="678"/>
      <c r="L341" s="678"/>
      <c r="M341" s="678"/>
      <c r="N341" s="678"/>
      <c r="O341" s="678"/>
      <c r="P341" s="678"/>
      <c r="Q341" s="678"/>
      <c r="R341" s="678"/>
      <c r="S341" s="678"/>
      <c r="T341" s="534" t="s">
        <v>1502</v>
      </c>
    </row>
    <row r="342" spans="1:20">
      <c r="A342" s="678"/>
      <c r="B342" s="678"/>
      <c r="C342" s="681"/>
      <c r="D342" s="678"/>
      <c r="E342" s="678"/>
      <c r="F342" s="681"/>
      <c r="G342" s="678"/>
      <c r="H342" s="534"/>
      <c r="I342" s="678"/>
      <c r="J342" s="678"/>
      <c r="K342" s="678"/>
      <c r="L342" s="678"/>
      <c r="M342" s="678"/>
      <c r="N342" s="678"/>
      <c r="O342" s="678"/>
      <c r="P342" s="678"/>
      <c r="Q342" s="678"/>
      <c r="R342" s="678"/>
      <c r="S342" s="678"/>
      <c r="T342" s="534"/>
    </row>
    <row r="343" spans="1:20">
      <c r="A343" s="678"/>
      <c r="B343" s="678"/>
      <c r="C343" s="681"/>
      <c r="D343" s="678"/>
      <c r="E343" s="678"/>
      <c r="F343" s="681"/>
      <c r="G343" s="678"/>
      <c r="H343" s="534" t="s">
        <v>1151</v>
      </c>
      <c r="I343" s="678"/>
      <c r="J343" s="678"/>
      <c r="K343" s="678"/>
      <c r="L343" s="678"/>
      <c r="M343" s="678"/>
      <c r="N343" s="678"/>
      <c r="O343" s="678"/>
      <c r="P343" s="678"/>
      <c r="Q343" s="678"/>
      <c r="R343" s="678"/>
      <c r="S343" s="678"/>
      <c r="T343" s="534"/>
    </row>
    <row r="344" spans="1:20">
      <c r="A344" s="678"/>
      <c r="B344" s="678"/>
      <c r="C344" s="681"/>
      <c r="D344" s="678"/>
      <c r="E344" s="678"/>
      <c r="F344" s="681"/>
      <c r="G344" s="678"/>
      <c r="H344" s="534" t="s">
        <v>1493</v>
      </c>
      <c r="I344" s="678"/>
      <c r="J344" s="678"/>
      <c r="K344" s="678"/>
      <c r="L344" s="678"/>
      <c r="M344" s="678"/>
      <c r="N344" s="678"/>
      <c r="O344" s="678"/>
      <c r="P344" s="678"/>
      <c r="Q344" s="678"/>
      <c r="R344" s="678"/>
      <c r="S344" s="678"/>
      <c r="T344" s="534"/>
    </row>
    <row r="345" spans="1:20">
      <c r="A345" s="678"/>
      <c r="B345" s="678"/>
      <c r="C345" s="681"/>
      <c r="D345" s="678"/>
      <c r="E345" s="678"/>
      <c r="F345" s="681"/>
      <c r="G345" s="678"/>
      <c r="H345" s="534" t="s">
        <v>1494</v>
      </c>
      <c r="I345" s="678"/>
      <c r="J345" s="678"/>
      <c r="K345" s="678"/>
      <c r="L345" s="678"/>
      <c r="M345" s="678"/>
      <c r="N345" s="678"/>
      <c r="O345" s="678"/>
      <c r="P345" s="678"/>
      <c r="Q345" s="678"/>
      <c r="R345" s="678"/>
      <c r="S345" s="678"/>
      <c r="T345" s="534"/>
    </row>
    <row r="346" spans="1:20">
      <c r="A346" s="678"/>
      <c r="B346" s="678"/>
      <c r="C346" s="681"/>
      <c r="D346" s="678"/>
      <c r="E346" s="678"/>
      <c r="F346" s="681"/>
      <c r="G346" s="678"/>
      <c r="H346" s="534" t="s">
        <v>974</v>
      </c>
      <c r="I346" s="678"/>
      <c r="J346" s="678"/>
      <c r="K346" s="678"/>
      <c r="L346" s="678"/>
      <c r="M346" s="678"/>
      <c r="N346" s="678"/>
      <c r="O346" s="678"/>
      <c r="P346" s="678"/>
      <c r="Q346" s="678"/>
      <c r="R346" s="678"/>
      <c r="S346" s="678"/>
      <c r="T346" s="534"/>
    </row>
    <row r="347" spans="1:20">
      <c r="A347" s="678"/>
      <c r="B347" s="678"/>
      <c r="C347" s="681"/>
      <c r="D347" s="678"/>
      <c r="E347" s="678"/>
      <c r="F347" s="681"/>
      <c r="G347" s="678"/>
      <c r="H347" s="534" t="s">
        <v>975</v>
      </c>
      <c r="I347" s="678"/>
      <c r="J347" s="678"/>
      <c r="K347" s="678"/>
      <c r="L347" s="678"/>
      <c r="M347" s="678"/>
      <c r="N347" s="678"/>
      <c r="O347" s="678"/>
      <c r="P347" s="678"/>
      <c r="Q347" s="678"/>
      <c r="R347" s="678"/>
      <c r="S347" s="678"/>
      <c r="T347" s="534"/>
    </row>
    <row r="348" spans="1:20">
      <c r="A348" s="678"/>
      <c r="B348" s="678"/>
      <c r="C348" s="681"/>
      <c r="D348" s="678"/>
      <c r="E348" s="678"/>
      <c r="F348" s="681"/>
      <c r="G348" s="678"/>
      <c r="H348" s="534" t="s">
        <v>980</v>
      </c>
      <c r="I348" s="678"/>
      <c r="J348" s="678"/>
      <c r="K348" s="678"/>
      <c r="L348" s="678"/>
      <c r="M348" s="678"/>
      <c r="N348" s="678"/>
      <c r="O348" s="678"/>
      <c r="P348" s="678"/>
      <c r="Q348" s="678"/>
      <c r="R348" s="678"/>
      <c r="S348" s="678"/>
      <c r="T348" s="534"/>
    </row>
    <row r="349" spans="1:20">
      <c r="A349" s="678"/>
      <c r="B349" s="678"/>
      <c r="C349" s="681"/>
      <c r="D349" s="678"/>
      <c r="E349" s="678"/>
      <c r="F349" s="681"/>
      <c r="G349" s="678"/>
      <c r="H349" s="534" t="s">
        <v>981</v>
      </c>
      <c r="I349" s="678"/>
      <c r="J349" s="678"/>
      <c r="K349" s="678"/>
      <c r="L349" s="678"/>
      <c r="M349" s="678"/>
      <c r="N349" s="678"/>
      <c r="O349" s="678"/>
      <c r="P349" s="678"/>
      <c r="Q349" s="678"/>
      <c r="R349" s="678"/>
      <c r="S349" s="678"/>
      <c r="T349" s="534"/>
    </row>
    <row r="350" spans="1:20">
      <c r="A350" s="678"/>
      <c r="B350" s="678"/>
      <c r="C350" s="681"/>
      <c r="D350" s="678"/>
      <c r="E350" s="678"/>
      <c r="F350" s="681"/>
      <c r="G350" s="678"/>
      <c r="H350" s="534" t="s">
        <v>1417</v>
      </c>
      <c r="I350" s="678"/>
      <c r="J350" s="678"/>
      <c r="K350" s="678"/>
      <c r="L350" s="678"/>
      <c r="M350" s="678"/>
      <c r="N350" s="678"/>
      <c r="O350" s="678"/>
      <c r="P350" s="678"/>
      <c r="Q350" s="678"/>
      <c r="R350" s="678"/>
      <c r="S350" s="678"/>
      <c r="T350" s="534"/>
    </row>
    <row r="351" spans="1:20">
      <c r="A351" s="678"/>
      <c r="B351" s="678"/>
      <c r="C351" s="681"/>
      <c r="D351" s="678"/>
      <c r="E351" s="678"/>
      <c r="F351" s="681"/>
      <c r="G351" s="678"/>
      <c r="H351" s="534" t="s">
        <v>984</v>
      </c>
      <c r="I351" s="678"/>
      <c r="J351" s="678"/>
      <c r="K351" s="678"/>
      <c r="L351" s="678"/>
      <c r="M351" s="678"/>
      <c r="N351" s="678"/>
      <c r="O351" s="678"/>
      <c r="P351" s="678"/>
      <c r="Q351" s="678"/>
      <c r="R351" s="678"/>
      <c r="S351" s="678"/>
      <c r="T351" s="534"/>
    </row>
    <row r="352" spans="1:20">
      <c r="A352" s="678"/>
      <c r="B352" s="678"/>
      <c r="C352" s="681"/>
      <c r="D352" s="678"/>
      <c r="E352" s="678"/>
      <c r="F352" s="681"/>
      <c r="G352" s="678"/>
      <c r="H352" s="534" t="s">
        <v>985</v>
      </c>
      <c r="I352" s="678"/>
      <c r="J352" s="678"/>
      <c r="K352" s="678"/>
      <c r="L352" s="678"/>
      <c r="M352" s="678"/>
      <c r="N352" s="678"/>
      <c r="O352" s="678"/>
      <c r="P352" s="678"/>
      <c r="Q352" s="678"/>
      <c r="R352" s="678"/>
      <c r="S352" s="678"/>
      <c r="T352" s="534"/>
    </row>
    <row r="353" spans="1:20">
      <c r="A353" s="678"/>
      <c r="B353" s="678"/>
      <c r="C353" s="681"/>
      <c r="D353" s="678"/>
      <c r="E353" s="678"/>
      <c r="F353" s="681"/>
      <c r="G353" s="678"/>
      <c r="H353" s="534" t="s">
        <v>1495</v>
      </c>
      <c r="I353" s="678"/>
      <c r="J353" s="678"/>
      <c r="K353" s="678"/>
      <c r="L353" s="678"/>
      <c r="M353" s="678"/>
      <c r="N353" s="678"/>
      <c r="O353" s="678"/>
      <c r="P353" s="678"/>
      <c r="Q353" s="678"/>
      <c r="R353" s="678"/>
      <c r="S353" s="678"/>
      <c r="T353" s="534"/>
    </row>
    <row r="354" spans="1:20">
      <c r="A354" s="678"/>
      <c r="B354" s="678"/>
      <c r="C354" s="681"/>
      <c r="D354" s="678"/>
      <c r="E354" s="678"/>
      <c r="F354" s="681"/>
      <c r="G354" s="678"/>
      <c r="H354" s="534"/>
      <c r="I354" s="678"/>
      <c r="J354" s="678"/>
      <c r="K354" s="678"/>
      <c r="L354" s="678"/>
      <c r="M354" s="678"/>
      <c r="N354" s="678"/>
      <c r="O354" s="678"/>
      <c r="P354" s="678"/>
      <c r="Q354" s="678"/>
      <c r="R354" s="678"/>
      <c r="S354" s="678"/>
      <c r="T354" s="534"/>
    </row>
    <row r="355" spans="1:20">
      <c r="A355" s="678"/>
      <c r="B355" s="678"/>
      <c r="C355" s="681"/>
      <c r="D355" s="678"/>
      <c r="E355" s="678"/>
      <c r="F355" s="681"/>
      <c r="G355" s="678"/>
      <c r="H355" s="534" t="s">
        <v>1155</v>
      </c>
      <c r="I355" s="678"/>
      <c r="J355" s="678"/>
      <c r="K355" s="678"/>
      <c r="L355" s="678"/>
      <c r="M355" s="678"/>
      <c r="N355" s="678"/>
      <c r="O355" s="678"/>
      <c r="P355" s="678"/>
      <c r="Q355" s="678"/>
      <c r="R355" s="678"/>
      <c r="S355" s="678"/>
      <c r="T355" s="534"/>
    </row>
    <row r="356" spans="1:20">
      <c r="A356" s="678"/>
      <c r="B356" s="678"/>
      <c r="C356" s="681"/>
      <c r="D356" s="678"/>
      <c r="E356" s="678"/>
      <c r="F356" s="681"/>
      <c r="G356" s="678"/>
      <c r="H356" s="534" t="s">
        <v>1496</v>
      </c>
      <c r="I356" s="678"/>
      <c r="J356" s="678"/>
      <c r="K356" s="678"/>
      <c r="L356" s="678"/>
      <c r="M356" s="678"/>
      <c r="N356" s="678"/>
      <c r="O356" s="678"/>
      <c r="P356" s="678"/>
      <c r="Q356" s="678"/>
      <c r="R356" s="678"/>
      <c r="S356" s="678"/>
      <c r="T356" s="534"/>
    </row>
    <row r="357" spans="1:20">
      <c r="A357" s="678"/>
      <c r="B357" s="678"/>
      <c r="C357" s="681"/>
      <c r="D357" s="678"/>
      <c r="E357" s="678"/>
      <c r="F357" s="681"/>
      <c r="G357" s="678"/>
      <c r="H357" s="534"/>
      <c r="I357" s="678"/>
      <c r="J357" s="678"/>
      <c r="K357" s="678"/>
      <c r="L357" s="678"/>
      <c r="M357" s="678"/>
      <c r="N357" s="678"/>
      <c r="O357" s="678"/>
      <c r="P357" s="678"/>
      <c r="Q357" s="678"/>
      <c r="R357" s="678"/>
      <c r="S357" s="678"/>
      <c r="T357" s="534"/>
    </row>
    <row r="358" spans="1:20">
      <c r="A358" s="679"/>
      <c r="B358" s="679"/>
      <c r="C358" s="682"/>
      <c r="D358" s="679"/>
      <c r="E358" s="679"/>
      <c r="F358" s="682"/>
      <c r="G358" s="679"/>
      <c r="H358" s="535" t="s">
        <v>1497</v>
      </c>
      <c r="I358" s="679"/>
      <c r="J358" s="679"/>
      <c r="K358" s="679"/>
      <c r="L358" s="679"/>
      <c r="M358" s="679"/>
      <c r="N358" s="679"/>
      <c r="O358" s="679"/>
      <c r="P358" s="679"/>
      <c r="Q358" s="679"/>
      <c r="R358" s="679"/>
      <c r="S358" s="679"/>
      <c r="T358" s="535"/>
    </row>
    <row r="359" spans="1:20">
      <c r="A359" s="677" t="s">
        <v>1503</v>
      </c>
      <c r="B359" s="677" t="s">
        <v>1504</v>
      </c>
      <c r="C359" s="680"/>
      <c r="D359" s="677" t="s">
        <v>1505</v>
      </c>
      <c r="E359" s="677" t="s">
        <v>1084</v>
      </c>
      <c r="F359" s="680"/>
      <c r="G359" s="677"/>
      <c r="H359" s="533" t="s">
        <v>1506</v>
      </c>
      <c r="I359" s="680" t="s">
        <v>1401</v>
      </c>
      <c r="J359" s="680" t="s">
        <v>1064</v>
      </c>
      <c r="K359" s="680" t="s">
        <v>1508</v>
      </c>
      <c r="L359" s="680" t="s">
        <v>1055</v>
      </c>
      <c r="M359" s="680" t="s">
        <v>1145</v>
      </c>
      <c r="N359" s="680" t="s">
        <v>993</v>
      </c>
      <c r="O359" s="680" t="s">
        <v>1064</v>
      </c>
      <c r="P359" s="680" t="s">
        <v>1402</v>
      </c>
      <c r="Q359" s="680" t="s">
        <v>1509</v>
      </c>
      <c r="R359" s="680" t="s">
        <v>1308</v>
      </c>
      <c r="S359" s="680" t="s">
        <v>1510</v>
      </c>
      <c r="T359" s="533" t="s">
        <v>1380</v>
      </c>
    </row>
    <row r="360" spans="1:20">
      <c r="A360" s="678"/>
      <c r="B360" s="678"/>
      <c r="C360" s="681"/>
      <c r="D360" s="678"/>
      <c r="E360" s="678"/>
      <c r="F360" s="681"/>
      <c r="G360" s="678"/>
      <c r="H360" s="534" t="s">
        <v>1507</v>
      </c>
      <c r="I360" s="681"/>
      <c r="J360" s="681"/>
      <c r="K360" s="681"/>
      <c r="L360" s="681"/>
      <c r="M360" s="681"/>
      <c r="N360" s="681"/>
      <c r="O360" s="681"/>
      <c r="P360" s="681"/>
      <c r="Q360" s="681"/>
      <c r="R360" s="681"/>
      <c r="S360" s="681"/>
      <c r="T360" s="534"/>
    </row>
    <row r="361" spans="1:20" ht="28.8">
      <c r="A361" s="678"/>
      <c r="B361" s="678"/>
      <c r="C361" s="681"/>
      <c r="D361" s="678"/>
      <c r="E361" s="678"/>
      <c r="F361" s="681"/>
      <c r="G361" s="678"/>
      <c r="H361" s="534"/>
      <c r="I361" s="681"/>
      <c r="J361" s="681"/>
      <c r="K361" s="681"/>
      <c r="L361" s="681"/>
      <c r="M361" s="681"/>
      <c r="N361" s="681"/>
      <c r="O361" s="681"/>
      <c r="P361" s="681"/>
      <c r="Q361" s="681"/>
      <c r="R361" s="681"/>
      <c r="S361" s="681"/>
      <c r="T361" s="534" t="s">
        <v>1511</v>
      </c>
    </row>
    <row r="362" spans="1:20">
      <c r="A362" s="678"/>
      <c r="B362" s="678"/>
      <c r="C362" s="681"/>
      <c r="D362" s="678"/>
      <c r="E362" s="678"/>
      <c r="F362" s="681"/>
      <c r="G362" s="678"/>
      <c r="H362" s="534"/>
      <c r="I362" s="681"/>
      <c r="J362" s="681"/>
      <c r="K362" s="681"/>
      <c r="L362" s="681"/>
      <c r="M362" s="681"/>
      <c r="N362" s="681"/>
      <c r="O362" s="681"/>
      <c r="P362" s="681"/>
      <c r="Q362" s="681"/>
      <c r="R362" s="681"/>
      <c r="S362" s="681"/>
      <c r="T362" s="534"/>
    </row>
    <row r="363" spans="1:20">
      <c r="A363" s="679"/>
      <c r="B363" s="679"/>
      <c r="C363" s="682"/>
      <c r="D363" s="679"/>
      <c r="E363" s="679"/>
      <c r="F363" s="682"/>
      <c r="G363" s="679"/>
      <c r="H363" s="535"/>
      <c r="I363" s="682"/>
      <c r="J363" s="682"/>
      <c r="K363" s="682"/>
      <c r="L363" s="682"/>
      <c r="M363" s="682"/>
      <c r="N363" s="682"/>
      <c r="O363" s="682"/>
      <c r="P363" s="682"/>
      <c r="Q363" s="682"/>
      <c r="R363" s="682"/>
      <c r="S363" s="682"/>
      <c r="T363" s="535" t="s">
        <v>1512</v>
      </c>
    </row>
    <row r="364" spans="1:20">
      <c r="A364" s="677" t="s">
        <v>1513</v>
      </c>
      <c r="B364" s="677" t="s">
        <v>1514</v>
      </c>
      <c r="C364" s="680"/>
      <c r="D364" s="677" t="s">
        <v>1515</v>
      </c>
      <c r="E364" s="677" t="s">
        <v>1214</v>
      </c>
      <c r="F364" s="680"/>
      <c r="G364" s="677"/>
      <c r="H364" s="533" t="s">
        <v>1151</v>
      </c>
      <c r="I364" s="680"/>
      <c r="J364" s="680"/>
      <c r="K364" s="680"/>
      <c r="L364" s="680"/>
      <c r="M364" s="680"/>
      <c r="N364" s="680"/>
      <c r="O364" s="680"/>
      <c r="P364" s="680"/>
      <c r="Q364" s="680"/>
      <c r="R364" s="680"/>
      <c r="S364" s="680"/>
      <c r="T364" s="533" t="s">
        <v>1106</v>
      </c>
    </row>
    <row r="365" spans="1:20">
      <c r="A365" s="678"/>
      <c r="B365" s="678"/>
      <c r="C365" s="681"/>
      <c r="D365" s="678"/>
      <c r="E365" s="678"/>
      <c r="F365" s="681"/>
      <c r="G365" s="678"/>
      <c r="H365" s="534" t="s">
        <v>1414</v>
      </c>
      <c r="I365" s="681"/>
      <c r="J365" s="681"/>
      <c r="K365" s="681"/>
      <c r="L365" s="681"/>
      <c r="M365" s="681"/>
      <c r="N365" s="681"/>
      <c r="O365" s="681"/>
      <c r="P365" s="681"/>
      <c r="Q365" s="681"/>
      <c r="R365" s="681"/>
      <c r="S365" s="681"/>
      <c r="T365" s="534"/>
    </row>
    <row r="366" spans="1:20">
      <c r="A366" s="678"/>
      <c r="B366" s="678"/>
      <c r="C366" s="681"/>
      <c r="D366" s="678"/>
      <c r="E366" s="678"/>
      <c r="F366" s="681"/>
      <c r="G366" s="678"/>
      <c r="H366" s="534" t="s">
        <v>1079</v>
      </c>
      <c r="I366" s="681"/>
      <c r="J366" s="681"/>
      <c r="K366" s="681"/>
      <c r="L366" s="681"/>
      <c r="M366" s="681"/>
      <c r="N366" s="681"/>
      <c r="O366" s="681"/>
      <c r="P366" s="681"/>
      <c r="Q366" s="681"/>
      <c r="R366" s="681"/>
      <c r="S366" s="681"/>
      <c r="T366" s="534" t="s">
        <v>1470</v>
      </c>
    </row>
    <row r="367" spans="1:20">
      <c r="A367" s="678"/>
      <c r="B367" s="678"/>
      <c r="C367" s="681"/>
      <c r="D367" s="678"/>
      <c r="E367" s="678"/>
      <c r="F367" s="681"/>
      <c r="G367" s="678"/>
      <c r="H367" s="534" t="s">
        <v>1516</v>
      </c>
      <c r="I367" s="681"/>
      <c r="J367" s="681"/>
      <c r="K367" s="681"/>
      <c r="L367" s="681"/>
      <c r="M367" s="681"/>
      <c r="N367" s="681"/>
      <c r="O367" s="681"/>
      <c r="P367" s="681"/>
      <c r="Q367" s="681"/>
      <c r="R367" s="681"/>
      <c r="S367" s="681"/>
      <c r="T367" s="534"/>
    </row>
    <row r="368" spans="1:20">
      <c r="A368" s="678"/>
      <c r="B368" s="678"/>
      <c r="C368" s="681"/>
      <c r="D368" s="678"/>
      <c r="E368" s="678"/>
      <c r="F368" s="681"/>
      <c r="G368" s="678"/>
      <c r="H368" s="534" t="s">
        <v>975</v>
      </c>
      <c r="I368" s="681"/>
      <c r="J368" s="681"/>
      <c r="K368" s="681"/>
      <c r="L368" s="681"/>
      <c r="M368" s="681"/>
      <c r="N368" s="681"/>
      <c r="O368" s="681"/>
      <c r="P368" s="681"/>
      <c r="Q368" s="681"/>
      <c r="R368" s="681"/>
      <c r="S368" s="681"/>
      <c r="T368" s="534"/>
    </row>
    <row r="369" spans="1:20">
      <c r="A369" s="678"/>
      <c r="B369" s="678"/>
      <c r="C369" s="681"/>
      <c r="D369" s="678"/>
      <c r="E369" s="678"/>
      <c r="F369" s="681"/>
      <c r="G369" s="678"/>
      <c r="H369" s="534" t="s">
        <v>980</v>
      </c>
      <c r="I369" s="681"/>
      <c r="J369" s="681"/>
      <c r="K369" s="681"/>
      <c r="L369" s="681"/>
      <c r="M369" s="681"/>
      <c r="N369" s="681"/>
      <c r="O369" s="681"/>
      <c r="P369" s="681"/>
      <c r="Q369" s="681"/>
      <c r="R369" s="681"/>
      <c r="S369" s="681"/>
      <c r="T369" s="534"/>
    </row>
    <row r="370" spans="1:20">
      <c r="A370" s="678"/>
      <c r="B370" s="678"/>
      <c r="C370" s="681"/>
      <c r="D370" s="678"/>
      <c r="E370" s="678"/>
      <c r="F370" s="681"/>
      <c r="G370" s="678"/>
      <c r="H370" s="534" t="s">
        <v>981</v>
      </c>
      <c r="I370" s="681"/>
      <c r="J370" s="681"/>
      <c r="K370" s="681"/>
      <c r="L370" s="681"/>
      <c r="M370" s="681"/>
      <c r="N370" s="681"/>
      <c r="O370" s="681"/>
      <c r="P370" s="681"/>
      <c r="Q370" s="681"/>
      <c r="R370" s="681"/>
      <c r="S370" s="681"/>
      <c r="T370" s="534"/>
    </row>
    <row r="371" spans="1:20">
      <c r="A371" s="678"/>
      <c r="B371" s="678"/>
      <c r="C371" s="681"/>
      <c r="D371" s="678"/>
      <c r="E371" s="678"/>
      <c r="F371" s="681"/>
      <c r="G371" s="678"/>
      <c r="H371" s="534" t="s">
        <v>984</v>
      </c>
      <c r="I371" s="681"/>
      <c r="J371" s="681"/>
      <c r="K371" s="681"/>
      <c r="L371" s="681"/>
      <c r="M371" s="681"/>
      <c r="N371" s="681"/>
      <c r="O371" s="681"/>
      <c r="P371" s="681"/>
      <c r="Q371" s="681"/>
      <c r="R371" s="681"/>
      <c r="S371" s="681"/>
      <c r="T371" s="534"/>
    </row>
    <row r="372" spans="1:20">
      <c r="A372" s="678"/>
      <c r="B372" s="678"/>
      <c r="C372" s="681"/>
      <c r="D372" s="678"/>
      <c r="E372" s="678"/>
      <c r="F372" s="681"/>
      <c r="G372" s="678"/>
      <c r="H372" s="534" t="s">
        <v>985</v>
      </c>
      <c r="I372" s="681"/>
      <c r="J372" s="681"/>
      <c r="K372" s="681"/>
      <c r="L372" s="681"/>
      <c r="M372" s="681"/>
      <c r="N372" s="681"/>
      <c r="O372" s="681"/>
      <c r="P372" s="681"/>
      <c r="Q372" s="681"/>
      <c r="R372" s="681"/>
      <c r="S372" s="681"/>
      <c r="T372" s="534"/>
    </row>
    <row r="373" spans="1:20">
      <c r="A373" s="678"/>
      <c r="B373" s="678"/>
      <c r="C373" s="681"/>
      <c r="D373" s="678"/>
      <c r="E373" s="678"/>
      <c r="F373" s="681"/>
      <c r="G373" s="678"/>
      <c r="H373" s="534" t="s">
        <v>1517</v>
      </c>
      <c r="I373" s="681"/>
      <c r="J373" s="681"/>
      <c r="K373" s="681"/>
      <c r="L373" s="681"/>
      <c r="M373" s="681"/>
      <c r="N373" s="681"/>
      <c r="O373" s="681"/>
      <c r="P373" s="681"/>
      <c r="Q373" s="681"/>
      <c r="R373" s="681"/>
      <c r="S373" s="681"/>
      <c r="T373" s="534"/>
    </row>
    <row r="374" spans="1:20">
      <c r="A374" s="678"/>
      <c r="B374" s="678"/>
      <c r="C374" s="681"/>
      <c r="D374" s="678"/>
      <c r="E374" s="678"/>
      <c r="F374" s="681"/>
      <c r="G374" s="678"/>
      <c r="H374" s="534" t="s">
        <v>970</v>
      </c>
      <c r="I374" s="681"/>
      <c r="J374" s="681"/>
      <c r="K374" s="681"/>
      <c r="L374" s="681"/>
      <c r="M374" s="681"/>
      <c r="N374" s="681"/>
      <c r="O374" s="681"/>
      <c r="P374" s="681"/>
      <c r="Q374" s="681"/>
      <c r="R374" s="681"/>
      <c r="S374" s="681"/>
      <c r="T374" s="534"/>
    </row>
    <row r="375" spans="1:20">
      <c r="A375" s="678"/>
      <c r="B375" s="678"/>
      <c r="C375" s="681"/>
      <c r="D375" s="678"/>
      <c r="E375" s="678"/>
      <c r="F375" s="681"/>
      <c r="G375" s="678"/>
      <c r="H375" s="534" t="s">
        <v>1518</v>
      </c>
      <c r="I375" s="681"/>
      <c r="J375" s="681"/>
      <c r="K375" s="681"/>
      <c r="L375" s="681"/>
      <c r="M375" s="681"/>
      <c r="N375" s="681"/>
      <c r="O375" s="681"/>
      <c r="P375" s="681"/>
      <c r="Q375" s="681"/>
      <c r="R375" s="681"/>
      <c r="S375" s="681"/>
      <c r="T375" s="534"/>
    </row>
    <row r="376" spans="1:20">
      <c r="A376" s="678"/>
      <c r="B376" s="678"/>
      <c r="C376" s="681"/>
      <c r="D376" s="678"/>
      <c r="E376" s="678"/>
      <c r="F376" s="681"/>
      <c r="G376" s="678"/>
      <c r="H376" s="534" t="s">
        <v>980</v>
      </c>
      <c r="I376" s="681"/>
      <c r="J376" s="681"/>
      <c r="K376" s="681"/>
      <c r="L376" s="681"/>
      <c r="M376" s="681"/>
      <c r="N376" s="681"/>
      <c r="O376" s="681"/>
      <c r="P376" s="681"/>
      <c r="Q376" s="681"/>
      <c r="R376" s="681"/>
      <c r="S376" s="681"/>
      <c r="T376" s="534"/>
    </row>
    <row r="377" spans="1:20">
      <c r="A377" s="678"/>
      <c r="B377" s="678"/>
      <c r="C377" s="681"/>
      <c r="D377" s="678"/>
      <c r="E377" s="678"/>
      <c r="F377" s="681"/>
      <c r="G377" s="678"/>
      <c r="H377" s="534" t="s">
        <v>981</v>
      </c>
      <c r="I377" s="681"/>
      <c r="J377" s="681"/>
      <c r="K377" s="681"/>
      <c r="L377" s="681"/>
      <c r="M377" s="681"/>
      <c r="N377" s="681"/>
      <c r="O377" s="681"/>
      <c r="P377" s="681"/>
      <c r="Q377" s="681"/>
      <c r="R377" s="681"/>
      <c r="S377" s="681"/>
      <c r="T377" s="534"/>
    </row>
    <row r="378" spans="1:20">
      <c r="A378" s="678"/>
      <c r="B378" s="678"/>
      <c r="C378" s="681"/>
      <c r="D378" s="678"/>
      <c r="E378" s="678"/>
      <c r="F378" s="681"/>
      <c r="G378" s="678"/>
      <c r="H378" s="534" t="s">
        <v>984</v>
      </c>
      <c r="I378" s="681"/>
      <c r="J378" s="681"/>
      <c r="K378" s="681"/>
      <c r="L378" s="681"/>
      <c r="M378" s="681"/>
      <c r="N378" s="681"/>
      <c r="O378" s="681"/>
      <c r="P378" s="681"/>
      <c r="Q378" s="681"/>
      <c r="R378" s="681"/>
      <c r="S378" s="681"/>
      <c r="T378" s="534"/>
    </row>
    <row r="379" spans="1:20">
      <c r="A379" s="678"/>
      <c r="B379" s="678"/>
      <c r="C379" s="681"/>
      <c r="D379" s="678"/>
      <c r="E379" s="678"/>
      <c r="F379" s="681"/>
      <c r="G379" s="678"/>
      <c r="H379" s="534" t="s">
        <v>985</v>
      </c>
      <c r="I379" s="681"/>
      <c r="J379" s="681"/>
      <c r="K379" s="681"/>
      <c r="L379" s="681"/>
      <c r="M379" s="681"/>
      <c r="N379" s="681"/>
      <c r="O379" s="681"/>
      <c r="P379" s="681"/>
      <c r="Q379" s="681"/>
      <c r="R379" s="681"/>
      <c r="S379" s="681"/>
      <c r="T379" s="534"/>
    </row>
    <row r="380" spans="1:20">
      <c r="A380" s="678"/>
      <c r="B380" s="678"/>
      <c r="C380" s="681"/>
      <c r="D380" s="678"/>
      <c r="E380" s="678"/>
      <c r="F380" s="681"/>
      <c r="G380" s="678"/>
      <c r="H380" s="534" t="s">
        <v>1519</v>
      </c>
      <c r="I380" s="681"/>
      <c r="J380" s="681"/>
      <c r="K380" s="681"/>
      <c r="L380" s="681"/>
      <c r="M380" s="681"/>
      <c r="N380" s="681"/>
      <c r="O380" s="681"/>
      <c r="P380" s="681"/>
      <c r="Q380" s="681"/>
      <c r="R380" s="681"/>
      <c r="S380" s="681"/>
      <c r="T380" s="534"/>
    </row>
    <row r="381" spans="1:20">
      <c r="A381" s="678"/>
      <c r="B381" s="678"/>
      <c r="C381" s="681"/>
      <c r="D381" s="678"/>
      <c r="E381" s="678"/>
      <c r="F381" s="681"/>
      <c r="G381" s="678"/>
      <c r="H381" s="534"/>
      <c r="I381" s="681"/>
      <c r="J381" s="681"/>
      <c r="K381" s="681"/>
      <c r="L381" s="681"/>
      <c r="M381" s="681"/>
      <c r="N381" s="681"/>
      <c r="O381" s="681"/>
      <c r="P381" s="681"/>
      <c r="Q381" s="681"/>
      <c r="R381" s="681"/>
      <c r="S381" s="681"/>
      <c r="T381" s="534"/>
    </row>
    <row r="382" spans="1:20">
      <c r="A382" s="678"/>
      <c r="B382" s="678"/>
      <c r="C382" s="681"/>
      <c r="D382" s="678"/>
      <c r="E382" s="678"/>
      <c r="F382" s="681"/>
      <c r="G382" s="678"/>
      <c r="H382" s="534" t="s">
        <v>1155</v>
      </c>
      <c r="I382" s="681"/>
      <c r="J382" s="681"/>
      <c r="K382" s="681"/>
      <c r="L382" s="681"/>
      <c r="M382" s="681"/>
      <c r="N382" s="681"/>
      <c r="O382" s="681"/>
      <c r="P382" s="681"/>
      <c r="Q382" s="681"/>
      <c r="R382" s="681"/>
      <c r="S382" s="681"/>
      <c r="T382" s="534"/>
    </row>
    <row r="383" spans="1:20">
      <c r="A383" s="678"/>
      <c r="B383" s="678"/>
      <c r="C383" s="681"/>
      <c r="D383" s="678"/>
      <c r="E383" s="678"/>
      <c r="F383" s="681"/>
      <c r="G383" s="678"/>
      <c r="H383" s="534" t="s">
        <v>1520</v>
      </c>
      <c r="I383" s="681"/>
      <c r="J383" s="681"/>
      <c r="K383" s="681"/>
      <c r="L383" s="681"/>
      <c r="M383" s="681"/>
      <c r="N383" s="681"/>
      <c r="O383" s="681"/>
      <c r="P383" s="681"/>
      <c r="Q383" s="681"/>
      <c r="R383" s="681"/>
      <c r="S383" s="681"/>
      <c r="T383" s="534"/>
    </row>
    <row r="384" spans="1:20">
      <c r="A384" s="678"/>
      <c r="B384" s="678"/>
      <c r="C384" s="681"/>
      <c r="D384" s="678"/>
      <c r="E384" s="678"/>
      <c r="F384" s="681"/>
      <c r="G384" s="678"/>
      <c r="H384" s="534"/>
      <c r="I384" s="681"/>
      <c r="J384" s="681"/>
      <c r="K384" s="681"/>
      <c r="L384" s="681"/>
      <c r="M384" s="681"/>
      <c r="N384" s="681"/>
      <c r="O384" s="681"/>
      <c r="P384" s="681"/>
      <c r="Q384" s="681"/>
      <c r="R384" s="681"/>
      <c r="S384" s="681"/>
      <c r="T384" s="534"/>
    </row>
    <row r="385" spans="1:20">
      <c r="A385" s="678"/>
      <c r="B385" s="678"/>
      <c r="C385" s="681"/>
      <c r="D385" s="678"/>
      <c r="E385" s="678"/>
      <c r="F385" s="681"/>
      <c r="G385" s="678"/>
      <c r="H385" s="534" t="s">
        <v>1469</v>
      </c>
      <c r="I385" s="681"/>
      <c r="J385" s="681"/>
      <c r="K385" s="681"/>
      <c r="L385" s="681"/>
      <c r="M385" s="681"/>
      <c r="N385" s="681"/>
      <c r="O385" s="681"/>
      <c r="P385" s="681"/>
      <c r="Q385" s="681"/>
      <c r="R385" s="681"/>
      <c r="S385" s="681"/>
      <c r="T385" s="534"/>
    </row>
    <row r="386" spans="1:20">
      <c r="A386" s="679"/>
      <c r="B386" s="679"/>
      <c r="C386" s="682"/>
      <c r="D386" s="679"/>
      <c r="E386" s="679"/>
      <c r="F386" s="682"/>
      <c r="G386" s="679"/>
      <c r="H386" s="535">
        <v>1050</v>
      </c>
      <c r="I386" s="682"/>
      <c r="J386" s="682"/>
      <c r="K386" s="682"/>
      <c r="L386" s="682"/>
      <c r="M386" s="682"/>
      <c r="N386" s="682"/>
      <c r="O386" s="682"/>
      <c r="P386" s="682"/>
      <c r="Q386" s="682"/>
      <c r="R386" s="682"/>
      <c r="S386" s="682"/>
      <c r="T386" s="535"/>
    </row>
    <row r="387" spans="1:20" ht="28.8">
      <c r="A387" s="536" t="s">
        <v>1521</v>
      </c>
      <c r="B387" s="536" t="s">
        <v>1522</v>
      </c>
      <c r="C387" s="537"/>
      <c r="D387" s="536" t="s">
        <v>1523</v>
      </c>
      <c r="E387" s="536" t="s">
        <v>1130</v>
      </c>
      <c r="F387" s="537"/>
      <c r="G387" s="536"/>
      <c r="H387" s="537"/>
      <c r="I387" s="537" t="s">
        <v>1524</v>
      </c>
      <c r="J387" s="537" t="s">
        <v>1525</v>
      </c>
      <c r="K387" s="537" t="s">
        <v>1526</v>
      </c>
      <c r="L387" s="537" t="s">
        <v>1527</v>
      </c>
      <c r="M387" s="537" t="s">
        <v>1528</v>
      </c>
      <c r="N387" s="537"/>
      <c r="O387" s="537" t="s">
        <v>1529</v>
      </c>
      <c r="P387" s="537"/>
      <c r="Q387" s="537"/>
      <c r="R387" s="537" t="s">
        <v>1530</v>
      </c>
      <c r="S387" s="537" t="s">
        <v>1509</v>
      </c>
      <c r="T387" s="537" t="s">
        <v>1482</v>
      </c>
    </row>
    <row r="388" spans="1:20" ht="28.8">
      <c r="A388" s="677" t="s">
        <v>1531</v>
      </c>
      <c r="B388" s="677" t="s">
        <v>1532</v>
      </c>
      <c r="C388" s="680"/>
      <c r="D388" s="677" t="s">
        <v>1533</v>
      </c>
      <c r="E388" s="677">
        <v>10025</v>
      </c>
      <c r="F388" s="680"/>
      <c r="G388" s="677"/>
      <c r="H388" s="680"/>
      <c r="I388" s="680"/>
      <c r="J388" s="680"/>
      <c r="K388" s="680"/>
      <c r="L388" s="680"/>
      <c r="M388" s="680"/>
      <c r="N388" s="680"/>
      <c r="O388" s="680"/>
      <c r="P388" s="680"/>
      <c r="Q388" s="680"/>
      <c r="R388" s="680"/>
      <c r="S388" s="680"/>
      <c r="T388" s="533" t="s">
        <v>1482</v>
      </c>
    </row>
    <row r="389" spans="1:20">
      <c r="A389" s="678"/>
      <c r="B389" s="678"/>
      <c r="C389" s="681"/>
      <c r="D389" s="678"/>
      <c r="E389" s="678"/>
      <c r="F389" s="681"/>
      <c r="G389" s="678"/>
      <c r="H389" s="681"/>
      <c r="I389" s="681"/>
      <c r="J389" s="681"/>
      <c r="K389" s="681"/>
      <c r="L389" s="681"/>
      <c r="M389" s="681"/>
      <c r="N389" s="681"/>
      <c r="O389" s="681"/>
      <c r="P389" s="681"/>
      <c r="Q389" s="681"/>
      <c r="R389" s="681"/>
      <c r="S389" s="681"/>
      <c r="T389" s="534"/>
    </row>
    <row r="390" spans="1:20">
      <c r="A390" s="679"/>
      <c r="B390" s="679"/>
      <c r="C390" s="682"/>
      <c r="D390" s="679"/>
      <c r="E390" s="679"/>
      <c r="F390" s="682"/>
      <c r="G390" s="679"/>
      <c r="H390" s="682"/>
      <c r="I390" s="682"/>
      <c r="J390" s="682"/>
      <c r="K390" s="682"/>
      <c r="L390" s="682"/>
      <c r="M390" s="682"/>
      <c r="N390" s="682"/>
      <c r="O390" s="682"/>
      <c r="P390" s="682"/>
      <c r="Q390" s="682"/>
      <c r="R390" s="682"/>
      <c r="S390" s="682"/>
      <c r="T390" s="535" t="s">
        <v>1389</v>
      </c>
    </row>
    <row r="391" spans="1:20">
      <c r="A391" s="677" t="s">
        <v>1534</v>
      </c>
      <c r="B391" s="677" t="s">
        <v>1504</v>
      </c>
      <c r="C391" s="680">
        <v>17102</v>
      </c>
      <c r="D391" s="677" t="s">
        <v>1535</v>
      </c>
      <c r="E391" s="677" t="s">
        <v>1392</v>
      </c>
      <c r="F391" s="680"/>
      <c r="G391" s="677"/>
      <c r="H391" s="533" t="s">
        <v>1151</v>
      </c>
      <c r="I391" s="680" t="s">
        <v>1401</v>
      </c>
      <c r="J391" s="680" t="s">
        <v>1064</v>
      </c>
      <c r="K391" s="680" t="s">
        <v>1508</v>
      </c>
      <c r="L391" s="680" t="s">
        <v>1145</v>
      </c>
      <c r="M391" s="680" t="s">
        <v>398</v>
      </c>
      <c r="N391" s="680"/>
      <c r="O391" s="680" t="s">
        <v>1064</v>
      </c>
      <c r="P391" s="680"/>
      <c r="Q391" s="680" t="s">
        <v>1509</v>
      </c>
      <c r="R391" s="680" t="s">
        <v>1386</v>
      </c>
      <c r="S391" s="680" t="s">
        <v>1539</v>
      </c>
      <c r="T391" s="533" t="s">
        <v>1388</v>
      </c>
    </row>
    <row r="392" spans="1:20">
      <c r="A392" s="678"/>
      <c r="B392" s="678"/>
      <c r="C392" s="681"/>
      <c r="D392" s="678"/>
      <c r="E392" s="678"/>
      <c r="F392" s="681"/>
      <c r="G392" s="678"/>
      <c r="H392" s="534" t="s">
        <v>1536</v>
      </c>
      <c r="I392" s="681"/>
      <c r="J392" s="681"/>
      <c r="K392" s="681"/>
      <c r="L392" s="681"/>
      <c r="M392" s="681"/>
      <c r="N392" s="681"/>
      <c r="O392" s="681"/>
      <c r="P392" s="681"/>
      <c r="Q392" s="681"/>
      <c r="R392" s="681"/>
      <c r="S392" s="681"/>
      <c r="T392" s="534"/>
    </row>
    <row r="393" spans="1:20" ht="28.8">
      <c r="A393" s="678"/>
      <c r="B393" s="678"/>
      <c r="C393" s="681"/>
      <c r="D393" s="678"/>
      <c r="E393" s="678"/>
      <c r="F393" s="681"/>
      <c r="G393" s="678"/>
      <c r="H393" s="534" t="s">
        <v>1537</v>
      </c>
      <c r="I393" s="681"/>
      <c r="J393" s="681"/>
      <c r="K393" s="681"/>
      <c r="L393" s="681"/>
      <c r="M393" s="681"/>
      <c r="N393" s="681"/>
      <c r="O393" s="681"/>
      <c r="P393" s="681"/>
      <c r="Q393" s="681"/>
      <c r="R393" s="681"/>
      <c r="S393" s="681"/>
      <c r="T393" s="534" t="s">
        <v>1511</v>
      </c>
    </row>
    <row r="394" spans="1:20">
      <c r="A394" s="678"/>
      <c r="B394" s="678"/>
      <c r="C394" s="681"/>
      <c r="D394" s="678"/>
      <c r="E394" s="678"/>
      <c r="F394" s="681"/>
      <c r="G394" s="678"/>
      <c r="H394" s="534" t="s">
        <v>1538</v>
      </c>
      <c r="I394" s="681"/>
      <c r="J394" s="681"/>
      <c r="K394" s="681"/>
      <c r="L394" s="681"/>
      <c r="M394" s="681"/>
      <c r="N394" s="681"/>
      <c r="O394" s="681"/>
      <c r="P394" s="681"/>
      <c r="Q394" s="681"/>
      <c r="R394" s="681"/>
      <c r="S394" s="681"/>
      <c r="T394" s="534"/>
    </row>
    <row r="395" spans="1:20">
      <c r="A395" s="679"/>
      <c r="B395" s="679"/>
      <c r="C395" s="682"/>
      <c r="D395" s="679"/>
      <c r="E395" s="679"/>
      <c r="F395" s="682"/>
      <c r="G395" s="679"/>
      <c r="H395" s="535"/>
      <c r="I395" s="682"/>
      <c r="J395" s="682"/>
      <c r="K395" s="682"/>
      <c r="L395" s="682"/>
      <c r="M395" s="682"/>
      <c r="N395" s="682"/>
      <c r="O395" s="682"/>
      <c r="P395" s="682"/>
      <c r="Q395" s="682"/>
      <c r="R395" s="682"/>
      <c r="S395" s="682"/>
      <c r="T395" s="535" t="s">
        <v>1389</v>
      </c>
    </row>
    <row r="396" spans="1:20">
      <c r="A396" s="677" t="s">
        <v>1540</v>
      </c>
      <c r="B396" s="677" t="s">
        <v>1541</v>
      </c>
      <c r="C396" s="680">
        <v>17102</v>
      </c>
      <c r="D396" s="677" t="s">
        <v>1542</v>
      </c>
      <c r="E396" s="677" t="s">
        <v>1392</v>
      </c>
      <c r="F396" s="680"/>
      <c r="G396" s="677"/>
      <c r="H396" s="533" t="s">
        <v>1151</v>
      </c>
      <c r="I396" s="680" t="s">
        <v>1361</v>
      </c>
      <c r="J396" s="680" t="s">
        <v>1064</v>
      </c>
      <c r="K396" s="680" t="s">
        <v>1508</v>
      </c>
      <c r="L396" s="680" t="s">
        <v>398</v>
      </c>
      <c r="M396" s="680" t="s">
        <v>1308</v>
      </c>
      <c r="N396" s="680"/>
      <c r="O396" s="680" t="s">
        <v>1064</v>
      </c>
      <c r="P396" s="680"/>
      <c r="Q396" s="680" t="s">
        <v>1509</v>
      </c>
      <c r="R396" s="680" t="s">
        <v>1386</v>
      </c>
      <c r="S396" s="680" t="s">
        <v>1539</v>
      </c>
      <c r="T396" s="533" t="s">
        <v>1388</v>
      </c>
    </row>
    <row r="397" spans="1:20">
      <c r="A397" s="678"/>
      <c r="B397" s="678"/>
      <c r="C397" s="681"/>
      <c r="D397" s="678"/>
      <c r="E397" s="678"/>
      <c r="F397" s="681"/>
      <c r="G397" s="678"/>
      <c r="H397" s="534" t="s">
        <v>1543</v>
      </c>
      <c r="I397" s="681"/>
      <c r="J397" s="681"/>
      <c r="K397" s="681"/>
      <c r="L397" s="681"/>
      <c r="M397" s="681"/>
      <c r="N397" s="681"/>
      <c r="O397" s="681"/>
      <c r="P397" s="681"/>
      <c r="Q397" s="681"/>
      <c r="R397" s="681"/>
      <c r="S397" s="681"/>
      <c r="T397" s="534"/>
    </row>
    <row r="398" spans="1:20" ht="28.8">
      <c r="A398" s="678"/>
      <c r="B398" s="678"/>
      <c r="C398" s="681"/>
      <c r="D398" s="678"/>
      <c r="E398" s="678"/>
      <c r="F398" s="681"/>
      <c r="G398" s="678"/>
      <c r="H398" s="534"/>
      <c r="I398" s="681"/>
      <c r="J398" s="681"/>
      <c r="K398" s="681"/>
      <c r="L398" s="681"/>
      <c r="M398" s="681"/>
      <c r="N398" s="681"/>
      <c r="O398" s="681"/>
      <c r="P398" s="681"/>
      <c r="Q398" s="681"/>
      <c r="R398" s="681"/>
      <c r="S398" s="681"/>
      <c r="T398" s="534" t="s">
        <v>1511</v>
      </c>
    </row>
    <row r="399" spans="1:20">
      <c r="A399" s="678"/>
      <c r="B399" s="678"/>
      <c r="C399" s="681"/>
      <c r="D399" s="678"/>
      <c r="E399" s="678"/>
      <c r="F399" s="681"/>
      <c r="G399" s="678"/>
      <c r="H399" s="534"/>
      <c r="I399" s="681"/>
      <c r="J399" s="681"/>
      <c r="K399" s="681"/>
      <c r="L399" s="681"/>
      <c r="M399" s="681"/>
      <c r="N399" s="681"/>
      <c r="O399" s="681"/>
      <c r="P399" s="681"/>
      <c r="Q399" s="681"/>
      <c r="R399" s="681"/>
      <c r="S399" s="681"/>
      <c r="T399" s="534"/>
    </row>
    <row r="400" spans="1:20">
      <c r="A400" s="679"/>
      <c r="B400" s="679"/>
      <c r="C400" s="682"/>
      <c r="D400" s="679"/>
      <c r="E400" s="679"/>
      <c r="F400" s="682"/>
      <c r="G400" s="679"/>
      <c r="H400" s="535"/>
      <c r="I400" s="682"/>
      <c r="J400" s="682"/>
      <c r="K400" s="682"/>
      <c r="L400" s="682"/>
      <c r="M400" s="682"/>
      <c r="N400" s="682"/>
      <c r="O400" s="682"/>
      <c r="P400" s="682"/>
      <c r="Q400" s="682"/>
      <c r="R400" s="682"/>
      <c r="S400" s="682"/>
      <c r="T400" s="535" t="s">
        <v>1389</v>
      </c>
    </row>
    <row r="401" spans="1:20">
      <c r="A401" s="677" t="s">
        <v>1544</v>
      </c>
      <c r="B401" s="677" t="s">
        <v>1545</v>
      </c>
      <c r="C401" s="680">
        <v>17102</v>
      </c>
      <c r="D401" s="677" t="s">
        <v>1546</v>
      </c>
      <c r="E401" s="677" t="s">
        <v>1084</v>
      </c>
      <c r="F401" s="680"/>
      <c r="G401" s="677"/>
      <c r="H401" s="533" t="s">
        <v>1547</v>
      </c>
      <c r="I401" s="680" t="s">
        <v>1361</v>
      </c>
      <c r="J401" s="680" t="s">
        <v>1064</v>
      </c>
      <c r="K401" s="680" t="s">
        <v>1508</v>
      </c>
      <c r="L401" s="680" t="s">
        <v>1145</v>
      </c>
      <c r="M401" s="680" t="s">
        <v>398</v>
      </c>
      <c r="N401" s="680" t="s">
        <v>993</v>
      </c>
      <c r="O401" s="680" t="s">
        <v>1064</v>
      </c>
      <c r="P401" s="680" t="s">
        <v>1402</v>
      </c>
      <c r="Q401" s="680" t="s">
        <v>1509</v>
      </c>
      <c r="R401" s="680" t="s">
        <v>1308</v>
      </c>
      <c r="S401" s="680" t="s">
        <v>1510</v>
      </c>
      <c r="T401" s="533" t="s">
        <v>1409</v>
      </c>
    </row>
    <row r="402" spans="1:20">
      <c r="A402" s="678"/>
      <c r="B402" s="678"/>
      <c r="C402" s="681"/>
      <c r="D402" s="678"/>
      <c r="E402" s="678"/>
      <c r="F402" s="681"/>
      <c r="G402" s="678"/>
      <c r="H402" s="534" t="s">
        <v>1548</v>
      </c>
      <c r="I402" s="681"/>
      <c r="J402" s="681"/>
      <c r="K402" s="681"/>
      <c r="L402" s="681"/>
      <c r="M402" s="681"/>
      <c r="N402" s="681"/>
      <c r="O402" s="681"/>
      <c r="P402" s="681"/>
      <c r="Q402" s="681"/>
      <c r="R402" s="681"/>
      <c r="S402" s="681"/>
      <c r="T402" s="534"/>
    </row>
    <row r="403" spans="1:20" ht="28.8">
      <c r="A403" s="678"/>
      <c r="B403" s="678"/>
      <c r="C403" s="681"/>
      <c r="D403" s="678"/>
      <c r="E403" s="678"/>
      <c r="F403" s="681"/>
      <c r="G403" s="678"/>
      <c r="H403" s="534"/>
      <c r="I403" s="681"/>
      <c r="J403" s="681"/>
      <c r="K403" s="681"/>
      <c r="L403" s="681"/>
      <c r="M403" s="681"/>
      <c r="N403" s="681"/>
      <c r="O403" s="681"/>
      <c r="P403" s="681"/>
      <c r="Q403" s="681"/>
      <c r="R403" s="681"/>
      <c r="S403" s="681"/>
      <c r="T403" s="534" t="s">
        <v>1511</v>
      </c>
    </row>
    <row r="404" spans="1:20">
      <c r="A404" s="678"/>
      <c r="B404" s="678"/>
      <c r="C404" s="681"/>
      <c r="D404" s="678"/>
      <c r="E404" s="678"/>
      <c r="F404" s="681"/>
      <c r="G404" s="678"/>
      <c r="H404" s="534"/>
      <c r="I404" s="681"/>
      <c r="J404" s="681"/>
      <c r="K404" s="681"/>
      <c r="L404" s="681"/>
      <c r="M404" s="681"/>
      <c r="N404" s="681"/>
      <c r="O404" s="681"/>
      <c r="P404" s="681"/>
      <c r="Q404" s="681"/>
      <c r="R404" s="681"/>
      <c r="S404" s="681"/>
      <c r="T404" s="534"/>
    </row>
    <row r="405" spans="1:20" ht="72">
      <c r="A405" s="679"/>
      <c r="B405" s="679"/>
      <c r="C405" s="682"/>
      <c r="D405" s="679"/>
      <c r="E405" s="679"/>
      <c r="F405" s="682"/>
      <c r="G405" s="679"/>
      <c r="H405" s="535"/>
      <c r="I405" s="682"/>
      <c r="J405" s="682"/>
      <c r="K405" s="682"/>
      <c r="L405" s="682"/>
      <c r="M405" s="682"/>
      <c r="N405" s="682"/>
      <c r="O405" s="682"/>
      <c r="P405" s="682"/>
      <c r="Q405" s="682"/>
      <c r="R405" s="682"/>
      <c r="S405" s="682"/>
      <c r="T405" s="535" t="s">
        <v>1549</v>
      </c>
    </row>
    <row r="406" spans="1:20">
      <c r="A406" s="677" t="s">
        <v>1550</v>
      </c>
      <c r="B406" s="677" t="s">
        <v>1551</v>
      </c>
      <c r="C406" s="680">
        <v>17100</v>
      </c>
      <c r="D406" s="677" t="s">
        <v>1552</v>
      </c>
      <c r="E406" s="677">
        <v>10025</v>
      </c>
      <c r="F406" s="680"/>
      <c r="G406" s="677"/>
      <c r="H406" s="680"/>
      <c r="I406" s="680" t="s">
        <v>1401</v>
      </c>
      <c r="J406" s="680" t="s">
        <v>1539</v>
      </c>
      <c r="K406" s="680" t="s">
        <v>991</v>
      </c>
      <c r="L406" s="680" t="s">
        <v>1436</v>
      </c>
      <c r="M406" s="680" t="s">
        <v>1436</v>
      </c>
      <c r="N406" s="680"/>
      <c r="O406" s="680"/>
      <c r="P406" s="680"/>
      <c r="Q406" s="680"/>
      <c r="R406" s="680"/>
      <c r="S406" s="680"/>
      <c r="T406" s="533" t="s">
        <v>1106</v>
      </c>
    </row>
    <row r="407" spans="1:20">
      <c r="A407" s="678"/>
      <c r="B407" s="678"/>
      <c r="C407" s="681"/>
      <c r="D407" s="678"/>
      <c r="E407" s="678"/>
      <c r="F407" s="681"/>
      <c r="G407" s="678"/>
      <c r="H407" s="681"/>
      <c r="I407" s="681"/>
      <c r="J407" s="681"/>
      <c r="K407" s="681"/>
      <c r="L407" s="681"/>
      <c r="M407" s="681"/>
      <c r="N407" s="681"/>
      <c r="O407" s="681"/>
      <c r="P407" s="681"/>
      <c r="Q407" s="681"/>
      <c r="R407" s="681"/>
      <c r="S407" s="681"/>
      <c r="T407" s="534"/>
    </row>
    <row r="408" spans="1:20">
      <c r="A408" s="679"/>
      <c r="B408" s="679"/>
      <c r="C408" s="682"/>
      <c r="D408" s="679"/>
      <c r="E408" s="679"/>
      <c r="F408" s="682"/>
      <c r="G408" s="679"/>
      <c r="H408" s="682"/>
      <c r="I408" s="682"/>
      <c r="J408" s="682"/>
      <c r="K408" s="682"/>
      <c r="L408" s="682"/>
      <c r="M408" s="682"/>
      <c r="N408" s="682"/>
      <c r="O408" s="682"/>
      <c r="P408" s="682"/>
      <c r="Q408" s="682"/>
      <c r="R408" s="682"/>
      <c r="S408" s="682"/>
      <c r="T408" s="535" t="s">
        <v>1553</v>
      </c>
    </row>
    <row r="409" spans="1:20">
      <c r="A409" s="677" t="s">
        <v>1554</v>
      </c>
      <c r="B409" s="677" t="s">
        <v>1555</v>
      </c>
      <c r="C409" s="680">
        <v>17100</v>
      </c>
      <c r="D409" s="677" t="s">
        <v>1556</v>
      </c>
      <c r="E409" s="677">
        <v>10025</v>
      </c>
      <c r="F409" s="680"/>
      <c r="G409" s="677"/>
      <c r="H409" s="680"/>
      <c r="I409" s="680" t="s">
        <v>1064</v>
      </c>
      <c r="J409" s="680" t="s">
        <v>993</v>
      </c>
      <c r="K409" s="680" t="s">
        <v>1143</v>
      </c>
      <c r="L409" s="680"/>
      <c r="M409" s="680"/>
      <c r="N409" s="680"/>
      <c r="O409" s="680"/>
      <c r="P409" s="680"/>
      <c r="Q409" s="680"/>
      <c r="R409" s="680"/>
      <c r="S409" s="680"/>
      <c r="T409" s="533" t="s">
        <v>1106</v>
      </c>
    </row>
    <row r="410" spans="1:20">
      <c r="A410" s="678"/>
      <c r="B410" s="678"/>
      <c r="C410" s="681"/>
      <c r="D410" s="678"/>
      <c r="E410" s="678"/>
      <c r="F410" s="681"/>
      <c r="G410" s="678"/>
      <c r="H410" s="681"/>
      <c r="I410" s="681"/>
      <c r="J410" s="681"/>
      <c r="K410" s="681"/>
      <c r="L410" s="681"/>
      <c r="M410" s="681"/>
      <c r="N410" s="681"/>
      <c r="O410" s="681"/>
      <c r="P410" s="681"/>
      <c r="Q410" s="681"/>
      <c r="R410" s="681"/>
      <c r="S410" s="681"/>
      <c r="T410" s="534"/>
    </row>
    <row r="411" spans="1:20">
      <c r="A411" s="678"/>
      <c r="B411" s="678"/>
      <c r="C411" s="681"/>
      <c r="D411" s="678"/>
      <c r="E411" s="678"/>
      <c r="F411" s="681"/>
      <c r="G411" s="678"/>
      <c r="H411" s="681"/>
      <c r="I411" s="681"/>
      <c r="J411" s="681"/>
      <c r="K411" s="681"/>
      <c r="L411" s="681"/>
      <c r="M411" s="681"/>
      <c r="N411" s="681"/>
      <c r="O411" s="681"/>
      <c r="P411" s="681"/>
      <c r="Q411" s="681"/>
      <c r="R411" s="681"/>
      <c r="S411" s="681"/>
      <c r="T411" s="534" t="s">
        <v>1557</v>
      </c>
    </row>
    <row r="412" spans="1:20">
      <c r="A412" s="678"/>
      <c r="B412" s="678"/>
      <c r="C412" s="681"/>
      <c r="D412" s="678"/>
      <c r="E412" s="678"/>
      <c r="F412" s="681"/>
      <c r="G412" s="678"/>
      <c r="H412" s="681"/>
      <c r="I412" s="681"/>
      <c r="J412" s="681"/>
      <c r="K412" s="681"/>
      <c r="L412" s="681"/>
      <c r="M412" s="681"/>
      <c r="N412" s="681"/>
      <c r="O412" s="681"/>
      <c r="P412" s="681"/>
      <c r="Q412" s="681"/>
      <c r="R412" s="681"/>
      <c r="S412" s="681"/>
      <c r="T412" s="534"/>
    </row>
    <row r="413" spans="1:20">
      <c r="A413" s="679"/>
      <c r="B413" s="679"/>
      <c r="C413" s="682"/>
      <c r="D413" s="679"/>
      <c r="E413" s="679"/>
      <c r="F413" s="682"/>
      <c r="G413" s="679"/>
      <c r="H413" s="682"/>
      <c r="I413" s="682"/>
      <c r="J413" s="682"/>
      <c r="K413" s="682"/>
      <c r="L413" s="682"/>
      <c r="M413" s="682"/>
      <c r="N413" s="682"/>
      <c r="O413" s="682"/>
      <c r="P413" s="682"/>
      <c r="Q413" s="682"/>
      <c r="R413" s="682"/>
      <c r="S413" s="682"/>
      <c r="T413" s="535" t="s">
        <v>1389</v>
      </c>
    </row>
    <row r="414" spans="1:20">
      <c r="A414" s="677" t="s">
        <v>1558</v>
      </c>
      <c r="B414" s="677" t="s">
        <v>1504</v>
      </c>
      <c r="C414" s="680">
        <v>17102</v>
      </c>
      <c r="D414" s="677" t="s">
        <v>1559</v>
      </c>
      <c r="E414" s="677" t="s">
        <v>1348</v>
      </c>
      <c r="F414" s="680"/>
      <c r="G414" s="677"/>
      <c r="H414" s="533" t="s">
        <v>1151</v>
      </c>
      <c r="I414" s="680" t="s">
        <v>1401</v>
      </c>
      <c r="J414" s="680" t="s">
        <v>1064</v>
      </c>
      <c r="K414" s="680" t="s">
        <v>1572</v>
      </c>
      <c r="L414" s="680" t="s">
        <v>398</v>
      </c>
      <c r="M414" s="680" t="s">
        <v>1308</v>
      </c>
      <c r="N414" s="680" t="s">
        <v>993</v>
      </c>
      <c r="O414" s="680" t="s">
        <v>1064</v>
      </c>
      <c r="P414" s="680" t="s">
        <v>1335</v>
      </c>
      <c r="Q414" s="680"/>
      <c r="R414" s="680" t="s">
        <v>1308</v>
      </c>
      <c r="S414" s="680" t="s">
        <v>993</v>
      </c>
      <c r="T414" s="533" t="s">
        <v>1573</v>
      </c>
    </row>
    <row r="415" spans="1:20">
      <c r="A415" s="678"/>
      <c r="B415" s="678"/>
      <c r="C415" s="681"/>
      <c r="D415" s="678"/>
      <c r="E415" s="678"/>
      <c r="F415" s="681"/>
      <c r="G415" s="678"/>
      <c r="H415" s="534" t="s">
        <v>1560</v>
      </c>
      <c r="I415" s="681"/>
      <c r="J415" s="681"/>
      <c r="K415" s="681"/>
      <c r="L415" s="681"/>
      <c r="M415" s="681"/>
      <c r="N415" s="681"/>
      <c r="O415" s="681"/>
      <c r="P415" s="681"/>
      <c r="Q415" s="681"/>
      <c r="R415" s="681"/>
      <c r="S415" s="681"/>
      <c r="T415" s="534"/>
    </row>
    <row r="416" spans="1:20" ht="28.8">
      <c r="A416" s="678"/>
      <c r="B416" s="678"/>
      <c r="C416" s="681"/>
      <c r="D416" s="678"/>
      <c r="E416" s="678"/>
      <c r="F416" s="681"/>
      <c r="G416" s="678"/>
      <c r="H416" s="534" t="s">
        <v>1561</v>
      </c>
      <c r="I416" s="681"/>
      <c r="J416" s="681"/>
      <c r="K416" s="681"/>
      <c r="L416" s="681"/>
      <c r="M416" s="681"/>
      <c r="N416" s="681"/>
      <c r="O416" s="681"/>
      <c r="P416" s="681"/>
      <c r="Q416" s="681"/>
      <c r="R416" s="681"/>
      <c r="S416" s="681"/>
      <c r="T416" s="534" t="s">
        <v>1364</v>
      </c>
    </row>
    <row r="417" spans="1:20">
      <c r="A417" s="678"/>
      <c r="B417" s="678"/>
      <c r="C417" s="681"/>
      <c r="D417" s="678"/>
      <c r="E417" s="678"/>
      <c r="F417" s="681"/>
      <c r="G417" s="678"/>
      <c r="H417" s="534" t="s">
        <v>1562</v>
      </c>
      <c r="I417" s="681"/>
      <c r="J417" s="681"/>
      <c r="K417" s="681"/>
      <c r="L417" s="681"/>
      <c r="M417" s="681"/>
      <c r="N417" s="681"/>
      <c r="O417" s="681"/>
      <c r="P417" s="681"/>
      <c r="Q417" s="681"/>
      <c r="R417" s="681"/>
      <c r="S417" s="681"/>
      <c r="T417" s="534"/>
    </row>
    <row r="418" spans="1:20">
      <c r="A418" s="678"/>
      <c r="B418" s="678"/>
      <c r="C418" s="681"/>
      <c r="D418" s="678"/>
      <c r="E418" s="678"/>
      <c r="F418" s="681"/>
      <c r="G418" s="678"/>
      <c r="H418" s="534" t="s">
        <v>1563</v>
      </c>
      <c r="I418" s="681"/>
      <c r="J418" s="681"/>
      <c r="K418" s="681"/>
      <c r="L418" s="681"/>
      <c r="M418" s="681"/>
      <c r="N418" s="681"/>
      <c r="O418" s="681"/>
      <c r="P418" s="681"/>
      <c r="Q418" s="681"/>
      <c r="R418" s="681"/>
      <c r="S418" s="681"/>
      <c r="T418" s="534" t="s">
        <v>1574</v>
      </c>
    </row>
    <row r="419" spans="1:20">
      <c r="A419" s="678"/>
      <c r="B419" s="678"/>
      <c r="C419" s="681"/>
      <c r="D419" s="678"/>
      <c r="E419" s="678"/>
      <c r="F419" s="681"/>
      <c r="G419" s="678"/>
      <c r="H419" s="534" t="s">
        <v>1564</v>
      </c>
      <c r="I419" s="681"/>
      <c r="J419" s="681"/>
      <c r="K419" s="681"/>
      <c r="L419" s="681"/>
      <c r="M419" s="681"/>
      <c r="N419" s="681"/>
      <c r="O419" s="681"/>
      <c r="P419" s="681"/>
      <c r="Q419" s="681"/>
      <c r="R419" s="681"/>
      <c r="S419" s="681"/>
      <c r="T419" s="534"/>
    </row>
    <row r="420" spans="1:20">
      <c r="A420" s="678"/>
      <c r="B420" s="678"/>
      <c r="C420" s="681"/>
      <c r="D420" s="678"/>
      <c r="E420" s="678"/>
      <c r="F420" s="681"/>
      <c r="G420" s="678"/>
      <c r="H420" s="534" t="s">
        <v>1565</v>
      </c>
      <c r="I420" s="681"/>
      <c r="J420" s="681"/>
      <c r="K420" s="681"/>
      <c r="L420" s="681"/>
      <c r="M420" s="681"/>
      <c r="N420" s="681"/>
      <c r="O420" s="681"/>
      <c r="P420" s="681"/>
      <c r="Q420" s="681"/>
      <c r="R420" s="681"/>
      <c r="S420" s="681"/>
      <c r="T420" s="538" t="s">
        <v>997</v>
      </c>
    </row>
    <row r="421" spans="1:20">
      <c r="A421" s="678"/>
      <c r="B421" s="678"/>
      <c r="C421" s="681"/>
      <c r="D421" s="678"/>
      <c r="E421" s="678"/>
      <c r="F421" s="681"/>
      <c r="G421" s="678"/>
      <c r="H421" s="534" t="s">
        <v>1566</v>
      </c>
      <c r="I421" s="681"/>
      <c r="J421" s="681"/>
      <c r="K421" s="681"/>
      <c r="L421" s="681"/>
      <c r="M421" s="681"/>
      <c r="N421" s="681"/>
      <c r="O421" s="681"/>
      <c r="P421" s="681"/>
      <c r="Q421" s="681"/>
      <c r="R421" s="681"/>
      <c r="S421" s="681"/>
      <c r="T421" s="534"/>
    </row>
    <row r="422" spans="1:20">
      <c r="A422" s="678"/>
      <c r="B422" s="678"/>
      <c r="C422" s="681"/>
      <c r="D422" s="678"/>
      <c r="E422" s="678"/>
      <c r="F422" s="681"/>
      <c r="G422" s="678"/>
      <c r="H422" s="534" t="s">
        <v>1052</v>
      </c>
      <c r="I422" s="681"/>
      <c r="J422" s="681"/>
      <c r="K422" s="681"/>
      <c r="L422" s="681"/>
      <c r="M422" s="681"/>
      <c r="N422" s="681"/>
      <c r="O422" s="681"/>
      <c r="P422" s="681"/>
      <c r="Q422" s="681"/>
      <c r="R422" s="681"/>
      <c r="S422" s="681"/>
      <c r="T422" s="534"/>
    </row>
    <row r="423" spans="1:20">
      <c r="A423" s="678"/>
      <c r="B423" s="678"/>
      <c r="C423" s="681"/>
      <c r="D423" s="678"/>
      <c r="E423" s="678"/>
      <c r="F423" s="681"/>
      <c r="G423" s="678"/>
      <c r="H423" s="534" t="s">
        <v>1567</v>
      </c>
      <c r="I423" s="681"/>
      <c r="J423" s="681"/>
      <c r="K423" s="681"/>
      <c r="L423" s="681"/>
      <c r="M423" s="681"/>
      <c r="N423" s="681"/>
      <c r="O423" s="681"/>
      <c r="P423" s="681"/>
      <c r="Q423" s="681"/>
      <c r="R423" s="681"/>
      <c r="S423" s="681"/>
      <c r="T423" s="534"/>
    </row>
    <row r="424" spans="1:20">
      <c r="A424" s="678"/>
      <c r="B424" s="678"/>
      <c r="C424" s="681"/>
      <c r="D424" s="678"/>
      <c r="E424" s="678"/>
      <c r="F424" s="681"/>
      <c r="G424" s="678"/>
      <c r="H424" s="534" t="s">
        <v>1568</v>
      </c>
      <c r="I424" s="681"/>
      <c r="J424" s="681"/>
      <c r="K424" s="681"/>
      <c r="L424" s="681"/>
      <c r="M424" s="681"/>
      <c r="N424" s="681"/>
      <c r="O424" s="681"/>
      <c r="P424" s="681"/>
      <c r="Q424" s="681"/>
      <c r="R424" s="681"/>
      <c r="S424" s="681"/>
      <c r="T424" s="534"/>
    </row>
    <row r="425" spans="1:20">
      <c r="A425" s="678"/>
      <c r="B425" s="678"/>
      <c r="C425" s="681"/>
      <c r="D425" s="678"/>
      <c r="E425" s="678"/>
      <c r="F425" s="681"/>
      <c r="G425" s="678"/>
      <c r="H425" s="534" t="s">
        <v>1569</v>
      </c>
      <c r="I425" s="681"/>
      <c r="J425" s="681"/>
      <c r="K425" s="681"/>
      <c r="L425" s="681"/>
      <c r="M425" s="681"/>
      <c r="N425" s="681"/>
      <c r="O425" s="681"/>
      <c r="P425" s="681"/>
      <c r="Q425" s="681"/>
      <c r="R425" s="681"/>
      <c r="S425" s="681"/>
      <c r="T425" s="534"/>
    </row>
    <row r="426" spans="1:20">
      <c r="A426" s="678"/>
      <c r="B426" s="678"/>
      <c r="C426" s="681"/>
      <c r="D426" s="678"/>
      <c r="E426" s="678"/>
      <c r="F426" s="681"/>
      <c r="G426" s="678"/>
      <c r="H426" s="534" t="s">
        <v>1570</v>
      </c>
      <c r="I426" s="681"/>
      <c r="J426" s="681"/>
      <c r="K426" s="681"/>
      <c r="L426" s="681"/>
      <c r="M426" s="681"/>
      <c r="N426" s="681"/>
      <c r="O426" s="681"/>
      <c r="P426" s="681"/>
      <c r="Q426" s="681"/>
      <c r="R426" s="681"/>
      <c r="S426" s="681"/>
      <c r="T426" s="534"/>
    </row>
    <row r="427" spans="1:20">
      <c r="A427" s="679"/>
      <c r="B427" s="679"/>
      <c r="C427" s="682"/>
      <c r="D427" s="679"/>
      <c r="E427" s="679"/>
      <c r="F427" s="682"/>
      <c r="G427" s="679"/>
      <c r="H427" s="535" t="s">
        <v>1571</v>
      </c>
      <c r="I427" s="682"/>
      <c r="J427" s="682"/>
      <c r="K427" s="682"/>
      <c r="L427" s="682"/>
      <c r="M427" s="682"/>
      <c r="N427" s="682"/>
      <c r="O427" s="682"/>
      <c r="P427" s="682"/>
      <c r="Q427" s="682"/>
      <c r="R427" s="682"/>
      <c r="S427" s="682"/>
      <c r="T427" s="535"/>
    </row>
    <row r="428" spans="1:20" ht="28.8">
      <c r="A428" s="677" t="s">
        <v>1575</v>
      </c>
      <c r="B428" s="677" t="s">
        <v>1576</v>
      </c>
      <c r="C428" s="680">
        <v>17102</v>
      </c>
      <c r="D428" s="677" t="s">
        <v>1577</v>
      </c>
      <c r="E428" s="677" t="s">
        <v>1348</v>
      </c>
      <c r="F428" s="680"/>
      <c r="G428" s="677"/>
      <c r="H428" s="680" t="s">
        <v>1578</v>
      </c>
      <c r="I428" s="680" t="s">
        <v>1401</v>
      </c>
      <c r="J428" s="680" t="s">
        <v>1064</v>
      </c>
      <c r="K428" s="680" t="s">
        <v>1572</v>
      </c>
      <c r="L428" s="680" t="s">
        <v>1145</v>
      </c>
      <c r="M428" s="680" t="s">
        <v>398</v>
      </c>
      <c r="N428" s="680"/>
      <c r="O428" s="680"/>
      <c r="P428" s="680"/>
      <c r="Q428" s="680"/>
      <c r="R428" s="680" t="s">
        <v>1308</v>
      </c>
      <c r="S428" s="680"/>
      <c r="T428" s="533" t="s">
        <v>1364</v>
      </c>
    </row>
    <row r="429" spans="1:20">
      <c r="A429" s="678"/>
      <c r="B429" s="678"/>
      <c r="C429" s="681"/>
      <c r="D429" s="678"/>
      <c r="E429" s="678"/>
      <c r="F429" s="681"/>
      <c r="G429" s="678"/>
      <c r="H429" s="681"/>
      <c r="I429" s="681"/>
      <c r="J429" s="681"/>
      <c r="K429" s="681"/>
      <c r="L429" s="681"/>
      <c r="M429" s="681"/>
      <c r="N429" s="681"/>
      <c r="O429" s="681"/>
      <c r="P429" s="681"/>
      <c r="Q429" s="681"/>
      <c r="R429" s="681"/>
      <c r="S429" s="681"/>
      <c r="T429" s="534"/>
    </row>
    <row r="430" spans="1:20">
      <c r="A430" s="679"/>
      <c r="B430" s="679"/>
      <c r="C430" s="682"/>
      <c r="D430" s="679"/>
      <c r="E430" s="679"/>
      <c r="F430" s="682"/>
      <c r="G430" s="679"/>
      <c r="H430" s="682"/>
      <c r="I430" s="682"/>
      <c r="J430" s="682"/>
      <c r="K430" s="682"/>
      <c r="L430" s="682"/>
      <c r="M430" s="682"/>
      <c r="N430" s="682"/>
      <c r="O430" s="682"/>
      <c r="P430" s="682"/>
      <c r="Q430" s="682"/>
      <c r="R430" s="682"/>
      <c r="S430" s="682"/>
      <c r="T430" s="535" t="s">
        <v>1579</v>
      </c>
    </row>
    <row r="431" spans="1:20">
      <c r="A431" s="677" t="s">
        <v>1580</v>
      </c>
      <c r="B431" s="677" t="s">
        <v>1541</v>
      </c>
      <c r="C431" s="680">
        <v>17102</v>
      </c>
      <c r="D431" s="677" t="s">
        <v>1581</v>
      </c>
      <c r="E431" s="677" t="s">
        <v>1348</v>
      </c>
      <c r="F431" s="680"/>
      <c r="G431" s="677"/>
      <c r="H431" s="533" t="s">
        <v>1582</v>
      </c>
      <c r="I431" s="677" t="s">
        <v>1594</v>
      </c>
      <c r="J431" s="677" t="s">
        <v>1281</v>
      </c>
      <c r="K431" s="677" t="s">
        <v>1595</v>
      </c>
      <c r="L431" s="677" t="s">
        <v>398</v>
      </c>
      <c r="M431" s="677" t="s">
        <v>1596</v>
      </c>
      <c r="N431" s="677" t="s">
        <v>1597</v>
      </c>
      <c r="O431" s="677" t="s">
        <v>993</v>
      </c>
      <c r="P431" s="677" t="s">
        <v>398</v>
      </c>
      <c r="Q431" s="677" t="s">
        <v>1285</v>
      </c>
      <c r="R431" s="677" t="s">
        <v>1598</v>
      </c>
      <c r="S431" s="677" t="s">
        <v>1599</v>
      </c>
      <c r="T431" s="533" t="s">
        <v>1600</v>
      </c>
    </row>
    <row r="432" spans="1:20">
      <c r="A432" s="678"/>
      <c r="B432" s="678"/>
      <c r="C432" s="681"/>
      <c r="D432" s="678"/>
      <c r="E432" s="678"/>
      <c r="F432" s="681"/>
      <c r="G432" s="678"/>
      <c r="H432" s="534" t="s">
        <v>1583</v>
      </c>
      <c r="I432" s="678"/>
      <c r="J432" s="678"/>
      <c r="K432" s="678"/>
      <c r="L432" s="678"/>
      <c r="M432" s="678"/>
      <c r="N432" s="678"/>
      <c r="O432" s="678"/>
      <c r="P432" s="678"/>
      <c r="Q432" s="678"/>
      <c r="R432" s="678"/>
      <c r="S432" s="678"/>
      <c r="T432" s="534" t="s">
        <v>1601</v>
      </c>
    </row>
    <row r="433" spans="1:20">
      <c r="A433" s="678"/>
      <c r="B433" s="678"/>
      <c r="C433" s="681"/>
      <c r="D433" s="678"/>
      <c r="E433" s="678"/>
      <c r="F433" s="681"/>
      <c r="G433" s="678"/>
      <c r="H433" s="534" t="s">
        <v>1584</v>
      </c>
      <c r="I433" s="678"/>
      <c r="J433" s="678"/>
      <c r="K433" s="678"/>
      <c r="L433" s="678"/>
      <c r="M433" s="678"/>
      <c r="N433" s="678"/>
      <c r="O433" s="678"/>
      <c r="P433" s="678"/>
      <c r="Q433" s="678"/>
      <c r="R433" s="678"/>
      <c r="S433" s="678"/>
      <c r="T433" s="534" t="s">
        <v>1602</v>
      </c>
    </row>
    <row r="434" spans="1:20">
      <c r="A434" s="678"/>
      <c r="B434" s="678"/>
      <c r="C434" s="681"/>
      <c r="D434" s="678"/>
      <c r="E434" s="678"/>
      <c r="F434" s="681"/>
      <c r="G434" s="678"/>
      <c r="H434" s="534" t="s">
        <v>1585</v>
      </c>
      <c r="I434" s="678"/>
      <c r="J434" s="678"/>
      <c r="K434" s="678"/>
      <c r="L434" s="678"/>
      <c r="M434" s="678"/>
      <c r="N434" s="678"/>
      <c r="O434" s="678"/>
      <c r="P434" s="678"/>
      <c r="Q434" s="678"/>
      <c r="R434" s="678"/>
      <c r="S434" s="678"/>
      <c r="T434" s="534"/>
    </row>
    <row r="435" spans="1:20" ht="28.8">
      <c r="A435" s="678"/>
      <c r="B435" s="678"/>
      <c r="C435" s="681"/>
      <c r="D435" s="678"/>
      <c r="E435" s="678"/>
      <c r="F435" s="681"/>
      <c r="G435" s="678"/>
      <c r="H435" s="534" t="s">
        <v>1586</v>
      </c>
      <c r="I435" s="678"/>
      <c r="J435" s="678"/>
      <c r="K435" s="678"/>
      <c r="L435" s="678"/>
      <c r="M435" s="678"/>
      <c r="N435" s="678"/>
      <c r="O435" s="678"/>
      <c r="P435" s="678"/>
      <c r="Q435" s="678"/>
      <c r="R435" s="678"/>
      <c r="S435" s="678"/>
      <c r="T435" s="534" t="s">
        <v>1511</v>
      </c>
    </row>
    <row r="436" spans="1:20">
      <c r="A436" s="678"/>
      <c r="B436" s="678"/>
      <c r="C436" s="681"/>
      <c r="D436" s="678"/>
      <c r="E436" s="678"/>
      <c r="F436" s="681"/>
      <c r="G436" s="678"/>
      <c r="H436" s="534" t="s">
        <v>1587</v>
      </c>
      <c r="I436" s="678"/>
      <c r="J436" s="678"/>
      <c r="K436" s="678"/>
      <c r="L436" s="678"/>
      <c r="M436" s="678"/>
      <c r="N436" s="678"/>
      <c r="O436" s="678"/>
      <c r="P436" s="678"/>
      <c r="Q436" s="678"/>
      <c r="R436" s="678"/>
      <c r="S436" s="678"/>
      <c r="T436" s="534"/>
    </row>
    <row r="437" spans="1:20">
      <c r="A437" s="678"/>
      <c r="B437" s="678"/>
      <c r="C437" s="681"/>
      <c r="D437" s="678"/>
      <c r="E437" s="678"/>
      <c r="F437" s="681"/>
      <c r="G437" s="678"/>
      <c r="H437" s="534" t="s">
        <v>1588</v>
      </c>
      <c r="I437" s="678"/>
      <c r="J437" s="678"/>
      <c r="K437" s="678"/>
      <c r="L437" s="678"/>
      <c r="M437" s="678"/>
      <c r="N437" s="678"/>
      <c r="O437" s="678"/>
      <c r="P437" s="678"/>
      <c r="Q437" s="678"/>
      <c r="R437" s="678"/>
      <c r="S437" s="678"/>
      <c r="T437" s="534" t="s">
        <v>1603</v>
      </c>
    </row>
    <row r="438" spans="1:20">
      <c r="A438" s="678"/>
      <c r="B438" s="678"/>
      <c r="C438" s="681"/>
      <c r="D438" s="678"/>
      <c r="E438" s="678"/>
      <c r="F438" s="681"/>
      <c r="G438" s="678"/>
      <c r="H438" s="534" t="s">
        <v>1589</v>
      </c>
      <c r="I438" s="678"/>
      <c r="J438" s="678"/>
      <c r="K438" s="678"/>
      <c r="L438" s="678"/>
      <c r="M438" s="678"/>
      <c r="N438" s="678"/>
      <c r="O438" s="678"/>
      <c r="P438" s="678"/>
      <c r="Q438" s="678"/>
      <c r="R438" s="678"/>
      <c r="S438" s="678"/>
      <c r="T438" s="534"/>
    </row>
    <row r="439" spans="1:20">
      <c r="A439" s="678"/>
      <c r="B439" s="678"/>
      <c r="C439" s="681"/>
      <c r="D439" s="678"/>
      <c r="E439" s="678"/>
      <c r="F439" s="681"/>
      <c r="G439" s="678"/>
      <c r="H439" s="534" t="s">
        <v>1590</v>
      </c>
      <c r="I439" s="678"/>
      <c r="J439" s="678"/>
      <c r="K439" s="678"/>
      <c r="L439" s="678"/>
      <c r="M439" s="678"/>
      <c r="N439" s="678"/>
      <c r="O439" s="678"/>
      <c r="P439" s="678"/>
      <c r="Q439" s="678"/>
      <c r="R439" s="678"/>
      <c r="S439" s="678"/>
      <c r="T439" s="534" t="s">
        <v>1604</v>
      </c>
    </row>
    <row r="440" spans="1:20">
      <c r="A440" s="678"/>
      <c r="B440" s="678"/>
      <c r="C440" s="681"/>
      <c r="D440" s="678"/>
      <c r="E440" s="678"/>
      <c r="F440" s="681"/>
      <c r="G440" s="678"/>
      <c r="H440" s="534" t="s">
        <v>1591</v>
      </c>
      <c r="I440" s="678"/>
      <c r="J440" s="678"/>
      <c r="K440" s="678"/>
      <c r="L440" s="678"/>
      <c r="M440" s="678"/>
      <c r="N440" s="678"/>
      <c r="O440" s="678"/>
      <c r="P440" s="678"/>
      <c r="Q440" s="678"/>
      <c r="R440" s="678"/>
      <c r="S440" s="678"/>
      <c r="T440" s="534"/>
    </row>
    <row r="441" spans="1:20">
      <c r="A441" s="678"/>
      <c r="B441" s="678"/>
      <c r="C441" s="681"/>
      <c r="D441" s="678"/>
      <c r="E441" s="678"/>
      <c r="F441" s="681"/>
      <c r="G441" s="678"/>
      <c r="H441" s="534" t="s">
        <v>1592</v>
      </c>
      <c r="I441" s="678"/>
      <c r="J441" s="678"/>
      <c r="K441" s="678"/>
      <c r="L441" s="678"/>
      <c r="M441" s="678"/>
      <c r="N441" s="678"/>
      <c r="O441" s="678"/>
      <c r="P441" s="678"/>
      <c r="Q441" s="678"/>
      <c r="R441" s="678"/>
      <c r="S441" s="678"/>
      <c r="T441" s="534"/>
    </row>
    <row r="442" spans="1:20">
      <c r="A442" s="679"/>
      <c r="B442" s="679"/>
      <c r="C442" s="682"/>
      <c r="D442" s="679"/>
      <c r="E442" s="679"/>
      <c r="F442" s="682"/>
      <c r="G442" s="679"/>
      <c r="H442" s="535" t="s">
        <v>1593</v>
      </c>
      <c r="I442" s="679"/>
      <c r="J442" s="679"/>
      <c r="K442" s="679"/>
      <c r="L442" s="679"/>
      <c r="M442" s="679"/>
      <c r="N442" s="679"/>
      <c r="O442" s="679"/>
      <c r="P442" s="679"/>
      <c r="Q442" s="679"/>
      <c r="R442" s="679"/>
      <c r="S442" s="679"/>
      <c r="T442" s="535"/>
    </row>
    <row r="443" spans="1:20" ht="28.8">
      <c r="A443" s="677" t="s">
        <v>1605</v>
      </c>
      <c r="B443" s="677" t="s">
        <v>1606</v>
      </c>
      <c r="C443" s="680">
        <v>17100</v>
      </c>
      <c r="D443" s="677" t="s">
        <v>1607</v>
      </c>
      <c r="E443" s="677">
        <v>10025</v>
      </c>
      <c r="F443" s="680"/>
      <c r="G443" s="677"/>
      <c r="H443" s="680"/>
      <c r="I443" s="680" t="s">
        <v>1608</v>
      </c>
      <c r="J443" s="680" t="s">
        <v>1539</v>
      </c>
      <c r="K443" s="680" t="s">
        <v>991</v>
      </c>
      <c r="L443" s="680" t="s">
        <v>1055</v>
      </c>
      <c r="M443" s="680" t="s">
        <v>1055</v>
      </c>
      <c r="N443" s="680"/>
      <c r="O443" s="680"/>
      <c r="P443" s="680"/>
      <c r="Q443" s="680"/>
      <c r="R443" s="680"/>
      <c r="S443" s="680"/>
      <c r="T443" s="533" t="s">
        <v>1609</v>
      </c>
    </row>
    <row r="444" spans="1:20">
      <c r="A444" s="678"/>
      <c r="B444" s="678"/>
      <c r="C444" s="681"/>
      <c r="D444" s="678"/>
      <c r="E444" s="678"/>
      <c r="F444" s="681"/>
      <c r="G444" s="678"/>
      <c r="H444" s="681"/>
      <c r="I444" s="681"/>
      <c r="J444" s="681"/>
      <c r="K444" s="681"/>
      <c r="L444" s="681"/>
      <c r="M444" s="681"/>
      <c r="N444" s="681"/>
      <c r="O444" s="681"/>
      <c r="P444" s="681"/>
      <c r="Q444" s="681"/>
      <c r="R444" s="681"/>
      <c r="S444" s="681"/>
      <c r="T444" s="534"/>
    </row>
    <row r="445" spans="1:20">
      <c r="A445" s="678"/>
      <c r="B445" s="678"/>
      <c r="C445" s="681"/>
      <c r="D445" s="678"/>
      <c r="E445" s="678"/>
      <c r="F445" s="681"/>
      <c r="G445" s="678"/>
      <c r="H445" s="681"/>
      <c r="I445" s="681"/>
      <c r="J445" s="681"/>
      <c r="K445" s="681"/>
      <c r="L445" s="681"/>
      <c r="M445" s="681"/>
      <c r="N445" s="681"/>
      <c r="O445" s="681"/>
      <c r="P445" s="681"/>
      <c r="Q445" s="681"/>
      <c r="R445" s="681"/>
      <c r="S445" s="681"/>
      <c r="T445" s="534" t="s">
        <v>1610</v>
      </c>
    </row>
    <row r="446" spans="1:20">
      <c r="A446" s="678"/>
      <c r="B446" s="678"/>
      <c r="C446" s="681"/>
      <c r="D446" s="678"/>
      <c r="E446" s="678"/>
      <c r="F446" s="681"/>
      <c r="G446" s="678"/>
      <c r="H446" s="681"/>
      <c r="I446" s="681"/>
      <c r="J446" s="681"/>
      <c r="K446" s="681"/>
      <c r="L446" s="681"/>
      <c r="M446" s="681"/>
      <c r="N446" s="681"/>
      <c r="O446" s="681"/>
      <c r="P446" s="681"/>
      <c r="Q446" s="681"/>
      <c r="R446" s="681"/>
      <c r="S446" s="681"/>
      <c r="T446" s="534"/>
    </row>
    <row r="447" spans="1:20">
      <c r="A447" s="678"/>
      <c r="B447" s="678"/>
      <c r="C447" s="681"/>
      <c r="D447" s="678"/>
      <c r="E447" s="678"/>
      <c r="F447" s="681"/>
      <c r="G447" s="678"/>
      <c r="H447" s="681"/>
      <c r="I447" s="681"/>
      <c r="J447" s="681"/>
      <c r="K447" s="681"/>
      <c r="L447" s="681"/>
      <c r="M447" s="681"/>
      <c r="N447" s="681"/>
      <c r="O447" s="681"/>
      <c r="P447" s="681"/>
      <c r="Q447" s="681"/>
      <c r="R447" s="681"/>
      <c r="S447" s="681"/>
      <c r="T447" s="534" t="s">
        <v>1611</v>
      </c>
    </row>
    <row r="448" spans="1:20">
      <c r="A448" s="678"/>
      <c r="B448" s="678"/>
      <c r="C448" s="681"/>
      <c r="D448" s="678"/>
      <c r="E448" s="678"/>
      <c r="F448" s="681"/>
      <c r="G448" s="678"/>
      <c r="H448" s="681"/>
      <c r="I448" s="681"/>
      <c r="J448" s="681"/>
      <c r="K448" s="681"/>
      <c r="L448" s="681"/>
      <c r="M448" s="681"/>
      <c r="N448" s="681"/>
      <c r="O448" s="681"/>
      <c r="P448" s="681"/>
      <c r="Q448" s="681"/>
      <c r="R448" s="681"/>
      <c r="S448" s="681"/>
      <c r="T448" s="534"/>
    </row>
    <row r="449" spans="1:20">
      <c r="A449" s="679"/>
      <c r="B449" s="679"/>
      <c r="C449" s="682"/>
      <c r="D449" s="679"/>
      <c r="E449" s="679"/>
      <c r="F449" s="682"/>
      <c r="G449" s="679"/>
      <c r="H449" s="682"/>
      <c r="I449" s="682"/>
      <c r="J449" s="682"/>
      <c r="K449" s="682"/>
      <c r="L449" s="682"/>
      <c r="M449" s="682"/>
      <c r="N449" s="682"/>
      <c r="O449" s="682"/>
      <c r="P449" s="682"/>
      <c r="Q449" s="682"/>
      <c r="R449" s="682"/>
      <c r="S449" s="682"/>
      <c r="T449" s="539" t="s">
        <v>997</v>
      </c>
    </row>
    <row r="450" spans="1:20">
      <c r="A450" s="677" t="s">
        <v>1612</v>
      </c>
      <c r="B450" s="677" t="s">
        <v>1613</v>
      </c>
      <c r="C450" s="680">
        <v>17100</v>
      </c>
      <c r="D450" s="677" t="s">
        <v>1614</v>
      </c>
      <c r="E450" s="677">
        <v>10025</v>
      </c>
      <c r="F450" s="680"/>
      <c r="G450" s="677"/>
      <c r="H450" s="533" t="s">
        <v>1615</v>
      </c>
      <c r="I450" s="677" t="s">
        <v>1622</v>
      </c>
      <c r="J450" s="677" t="s">
        <v>1623</v>
      </c>
      <c r="K450" s="677" t="s">
        <v>1624</v>
      </c>
      <c r="L450" s="677" t="s">
        <v>1625</v>
      </c>
      <c r="M450" s="677" t="s">
        <v>1625</v>
      </c>
      <c r="N450" s="677" t="s">
        <v>993</v>
      </c>
      <c r="O450" s="677" t="s">
        <v>1626</v>
      </c>
      <c r="P450" s="677" t="s">
        <v>994</v>
      </c>
      <c r="Q450" s="677" t="s">
        <v>1401</v>
      </c>
      <c r="R450" s="677" t="s">
        <v>1308</v>
      </c>
      <c r="S450" s="677" t="s">
        <v>1599</v>
      </c>
      <c r="T450" s="533" t="s">
        <v>1627</v>
      </c>
    </row>
    <row r="451" spans="1:20">
      <c r="A451" s="678"/>
      <c r="B451" s="678"/>
      <c r="C451" s="681"/>
      <c r="D451" s="678"/>
      <c r="E451" s="678"/>
      <c r="F451" s="681"/>
      <c r="G451" s="678"/>
      <c r="H451" s="534" t="s">
        <v>1616</v>
      </c>
      <c r="I451" s="678"/>
      <c r="J451" s="678"/>
      <c r="K451" s="678"/>
      <c r="L451" s="678"/>
      <c r="M451" s="678"/>
      <c r="N451" s="678"/>
      <c r="O451" s="678"/>
      <c r="P451" s="678"/>
      <c r="Q451" s="678"/>
      <c r="R451" s="678"/>
      <c r="S451" s="678"/>
      <c r="T451" s="534"/>
    </row>
    <row r="452" spans="1:20">
      <c r="A452" s="678"/>
      <c r="B452" s="678"/>
      <c r="C452" s="681"/>
      <c r="D452" s="678"/>
      <c r="E452" s="678"/>
      <c r="F452" s="681"/>
      <c r="G452" s="678"/>
      <c r="H452" s="534" t="s">
        <v>1617</v>
      </c>
      <c r="I452" s="678"/>
      <c r="J452" s="678"/>
      <c r="K452" s="678"/>
      <c r="L452" s="678"/>
      <c r="M452" s="678"/>
      <c r="N452" s="678"/>
      <c r="O452" s="678"/>
      <c r="P452" s="678"/>
      <c r="Q452" s="678"/>
      <c r="R452" s="678"/>
      <c r="S452" s="678"/>
      <c r="T452" s="534" t="s">
        <v>1106</v>
      </c>
    </row>
    <row r="453" spans="1:20">
      <c r="A453" s="678"/>
      <c r="B453" s="678"/>
      <c r="C453" s="681"/>
      <c r="D453" s="678"/>
      <c r="E453" s="678"/>
      <c r="F453" s="681"/>
      <c r="G453" s="678"/>
      <c r="H453" s="534" t="s">
        <v>1618</v>
      </c>
      <c r="I453" s="678"/>
      <c r="J453" s="678"/>
      <c r="K453" s="678"/>
      <c r="L453" s="678"/>
      <c r="M453" s="678"/>
      <c r="N453" s="678"/>
      <c r="O453" s="678"/>
      <c r="P453" s="678"/>
      <c r="Q453" s="678"/>
      <c r="R453" s="678"/>
      <c r="S453" s="678"/>
      <c r="T453" s="534"/>
    </row>
    <row r="454" spans="1:20">
      <c r="A454" s="678"/>
      <c r="B454" s="678"/>
      <c r="C454" s="681"/>
      <c r="D454" s="678"/>
      <c r="E454" s="678"/>
      <c r="F454" s="681"/>
      <c r="G454" s="678"/>
      <c r="H454" s="534" t="s">
        <v>1619</v>
      </c>
      <c r="I454" s="678"/>
      <c r="J454" s="678"/>
      <c r="K454" s="678"/>
      <c r="L454" s="678"/>
      <c r="M454" s="678"/>
      <c r="N454" s="678"/>
      <c r="O454" s="678"/>
      <c r="P454" s="678"/>
      <c r="Q454" s="678"/>
      <c r="R454" s="678"/>
      <c r="S454" s="678"/>
      <c r="T454" s="534" t="s">
        <v>1628</v>
      </c>
    </row>
    <row r="455" spans="1:20">
      <c r="A455" s="678"/>
      <c r="B455" s="678"/>
      <c r="C455" s="681"/>
      <c r="D455" s="678"/>
      <c r="E455" s="678"/>
      <c r="F455" s="681"/>
      <c r="G455" s="678"/>
      <c r="H455" s="534" t="s">
        <v>1620</v>
      </c>
      <c r="I455" s="678"/>
      <c r="J455" s="678"/>
      <c r="K455" s="678"/>
      <c r="L455" s="678"/>
      <c r="M455" s="678"/>
      <c r="N455" s="678"/>
      <c r="O455" s="678"/>
      <c r="P455" s="678"/>
      <c r="Q455" s="678"/>
      <c r="R455" s="678"/>
      <c r="S455" s="678"/>
      <c r="T455" s="534"/>
    </row>
    <row r="456" spans="1:20">
      <c r="A456" s="678"/>
      <c r="B456" s="678"/>
      <c r="C456" s="681"/>
      <c r="D456" s="678"/>
      <c r="E456" s="678"/>
      <c r="F456" s="681"/>
      <c r="G456" s="678"/>
      <c r="H456" s="534" t="s">
        <v>1621</v>
      </c>
      <c r="I456" s="678"/>
      <c r="J456" s="678"/>
      <c r="K456" s="678"/>
      <c r="L456" s="678"/>
      <c r="M456" s="678"/>
      <c r="N456" s="678"/>
      <c r="O456" s="678"/>
      <c r="P456" s="678"/>
      <c r="Q456" s="678"/>
      <c r="R456" s="678"/>
      <c r="S456" s="678"/>
      <c r="T456" s="534"/>
    </row>
    <row r="457" spans="1:20">
      <c r="A457" s="679"/>
      <c r="B457" s="679"/>
      <c r="C457" s="682"/>
      <c r="D457" s="679"/>
      <c r="E457" s="679"/>
      <c r="F457" s="682"/>
      <c r="G457" s="679"/>
      <c r="H457" s="535" t="s">
        <v>1538</v>
      </c>
      <c r="I457" s="679"/>
      <c r="J457" s="679"/>
      <c r="K457" s="679"/>
      <c r="L457" s="679"/>
      <c r="M457" s="679"/>
      <c r="N457" s="679"/>
      <c r="O457" s="679"/>
      <c r="P457" s="679"/>
      <c r="Q457" s="679"/>
      <c r="R457" s="679"/>
      <c r="S457" s="679"/>
      <c r="T457" s="535"/>
    </row>
    <row r="458" spans="1:20">
      <c r="A458" s="677" t="s">
        <v>1629</v>
      </c>
      <c r="B458" s="677" t="s">
        <v>1630</v>
      </c>
      <c r="C458" s="680">
        <v>17100</v>
      </c>
      <c r="D458" s="677" t="s">
        <v>1631</v>
      </c>
      <c r="E458" s="677" t="s">
        <v>1084</v>
      </c>
      <c r="F458" s="680"/>
      <c r="G458" s="677"/>
      <c r="H458" s="533" t="s">
        <v>1632</v>
      </c>
      <c r="I458" s="680" t="s">
        <v>1608</v>
      </c>
      <c r="J458" s="680" t="s">
        <v>1539</v>
      </c>
      <c r="K458" s="680" t="s">
        <v>991</v>
      </c>
      <c r="L458" s="680" t="s">
        <v>1145</v>
      </c>
      <c r="M458" s="680" t="s">
        <v>1145</v>
      </c>
      <c r="N458" s="680"/>
      <c r="O458" s="680"/>
      <c r="P458" s="680"/>
      <c r="Q458" s="680"/>
      <c r="R458" s="680"/>
      <c r="S458" s="680"/>
      <c r="T458" s="533" t="s">
        <v>1106</v>
      </c>
    </row>
    <row r="459" spans="1:20">
      <c r="A459" s="678"/>
      <c r="B459" s="678"/>
      <c r="C459" s="681"/>
      <c r="D459" s="678"/>
      <c r="E459" s="678"/>
      <c r="F459" s="681"/>
      <c r="G459" s="678"/>
      <c r="H459" s="534" t="s">
        <v>1538</v>
      </c>
      <c r="I459" s="681"/>
      <c r="J459" s="681"/>
      <c r="K459" s="681"/>
      <c r="L459" s="681"/>
      <c r="M459" s="681"/>
      <c r="N459" s="681"/>
      <c r="O459" s="681"/>
      <c r="P459" s="681"/>
      <c r="Q459" s="681"/>
      <c r="R459" s="681"/>
      <c r="S459" s="681"/>
      <c r="T459" s="534"/>
    </row>
    <row r="460" spans="1:20">
      <c r="A460" s="679"/>
      <c r="B460" s="679"/>
      <c r="C460" s="682"/>
      <c r="D460" s="679"/>
      <c r="E460" s="679"/>
      <c r="F460" s="682"/>
      <c r="G460" s="679"/>
      <c r="H460" s="535"/>
      <c r="I460" s="682"/>
      <c r="J460" s="682"/>
      <c r="K460" s="682"/>
      <c r="L460" s="682"/>
      <c r="M460" s="682"/>
      <c r="N460" s="682"/>
      <c r="O460" s="682"/>
      <c r="P460" s="682"/>
      <c r="Q460" s="682"/>
      <c r="R460" s="682"/>
      <c r="S460" s="682"/>
      <c r="T460" s="535" t="s">
        <v>1633</v>
      </c>
    </row>
    <row r="461" spans="1:20" ht="28.8">
      <c r="A461" s="677" t="s">
        <v>1634</v>
      </c>
      <c r="B461" s="677" t="s">
        <v>1635</v>
      </c>
      <c r="C461" s="680">
        <v>17172</v>
      </c>
      <c r="D461" s="677" t="s">
        <v>1636</v>
      </c>
      <c r="E461" s="677" t="s">
        <v>1275</v>
      </c>
      <c r="F461" s="680"/>
      <c r="G461" s="677"/>
      <c r="H461" s="680" t="s">
        <v>1276</v>
      </c>
      <c r="I461" s="680" t="s">
        <v>1306</v>
      </c>
      <c r="J461" s="680" t="s">
        <v>1637</v>
      </c>
      <c r="K461" s="680" t="s">
        <v>991</v>
      </c>
      <c r="L461" s="680" t="s">
        <v>398</v>
      </c>
      <c r="M461" s="680" t="s">
        <v>1308</v>
      </c>
      <c r="N461" s="680"/>
      <c r="O461" s="680"/>
      <c r="P461" s="680"/>
      <c r="Q461" s="680" t="s">
        <v>357</v>
      </c>
      <c r="R461" s="680" t="s">
        <v>1309</v>
      </c>
      <c r="S461" s="680"/>
      <c r="T461" s="533" t="s">
        <v>1638</v>
      </c>
    </row>
    <row r="462" spans="1:20">
      <c r="A462" s="678"/>
      <c r="B462" s="678"/>
      <c r="C462" s="681"/>
      <c r="D462" s="678"/>
      <c r="E462" s="678"/>
      <c r="F462" s="681"/>
      <c r="G462" s="678"/>
      <c r="H462" s="681"/>
      <c r="I462" s="681"/>
      <c r="J462" s="681"/>
      <c r="K462" s="681"/>
      <c r="L462" s="681"/>
      <c r="M462" s="681"/>
      <c r="N462" s="681"/>
      <c r="O462" s="681"/>
      <c r="P462" s="681"/>
      <c r="Q462" s="681"/>
      <c r="R462" s="681"/>
      <c r="S462" s="681"/>
      <c r="T462" s="534"/>
    </row>
    <row r="463" spans="1:20">
      <c r="A463" s="678"/>
      <c r="B463" s="678"/>
      <c r="C463" s="681"/>
      <c r="D463" s="678"/>
      <c r="E463" s="678"/>
      <c r="F463" s="681"/>
      <c r="G463" s="678"/>
      <c r="H463" s="681"/>
      <c r="I463" s="681"/>
      <c r="J463" s="681"/>
      <c r="K463" s="681"/>
      <c r="L463" s="681"/>
      <c r="M463" s="681"/>
      <c r="N463" s="681"/>
      <c r="O463" s="681"/>
      <c r="P463" s="681"/>
      <c r="Q463" s="681"/>
      <c r="R463" s="681"/>
      <c r="S463" s="681"/>
      <c r="T463" s="534" t="s">
        <v>1610</v>
      </c>
    </row>
    <row r="464" spans="1:20">
      <c r="A464" s="678"/>
      <c r="B464" s="678"/>
      <c r="C464" s="681"/>
      <c r="D464" s="678"/>
      <c r="E464" s="678"/>
      <c r="F464" s="681"/>
      <c r="G464" s="678"/>
      <c r="H464" s="681"/>
      <c r="I464" s="681"/>
      <c r="J464" s="681"/>
      <c r="K464" s="681"/>
      <c r="L464" s="681"/>
      <c r="M464" s="681"/>
      <c r="N464" s="681"/>
      <c r="O464" s="681"/>
      <c r="P464" s="681"/>
      <c r="Q464" s="681"/>
      <c r="R464" s="681"/>
      <c r="S464" s="681"/>
      <c r="T464" s="534"/>
    </row>
    <row r="465" spans="1:20">
      <c r="A465" s="679"/>
      <c r="B465" s="679"/>
      <c r="C465" s="682"/>
      <c r="D465" s="679"/>
      <c r="E465" s="679"/>
      <c r="F465" s="682"/>
      <c r="G465" s="679"/>
      <c r="H465" s="682"/>
      <c r="I465" s="682"/>
      <c r="J465" s="682"/>
      <c r="K465" s="682"/>
      <c r="L465" s="682"/>
      <c r="M465" s="682"/>
      <c r="N465" s="682"/>
      <c r="O465" s="682"/>
      <c r="P465" s="682"/>
      <c r="Q465" s="682"/>
      <c r="R465" s="682"/>
      <c r="S465" s="682"/>
      <c r="T465" s="535" t="s">
        <v>1344</v>
      </c>
    </row>
    <row r="466" spans="1:20">
      <c r="A466" s="677" t="s">
        <v>1639</v>
      </c>
      <c r="B466" s="677" t="s">
        <v>1640</v>
      </c>
      <c r="C466" s="680">
        <v>17172</v>
      </c>
      <c r="D466" s="677" t="s">
        <v>1641</v>
      </c>
      <c r="E466" s="677" t="s">
        <v>1275</v>
      </c>
      <c r="F466" s="680"/>
      <c r="G466" s="677"/>
      <c r="H466" s="680" t="s">
        <v>1642</v>
      </c>
      <c r="I466" s="680" t="s">
        <v>1401</v>
      </c>
      <c r="J466" s="680" t="s">
        <v>1637</v>
      </c>
      <c r="K466" s="680" t="s">
        <v>991</v>
      </c>
      <c r="L466" s="680" t="s">
        <v>398</v>
      </c>
      <c r="M466" s="680" t="s">
        <v>1308</v>
      </c>
      <c r="N466" s="680"/>
      <c r="O466" s="680"/>
      <c r="P466" s="680"/>
      <c r="Q466" s="680" t="s">
        <v>1402</v>
      </c>
      <c r="R466" s="680" t="s">
        <v>1309</v>
      </c>
      <c r="S466" s="680"/>
      <c r="T466" s="533" t="s">
        <v>1643</v>
      </c>
    </row>
    <row r="467" spans="1:20">
      <c r="A467" s="678"/>
      <c r="B467" s="678"/>
      <c r="C467" s="681"/>
      <c r="D467" s="678"/>
      <c r="E467" s="678"/>
      <c r="F467" s="681"/>
      <c r="G467" s="678"/>
      <c r="H467" s="681"/>
      <c r="I467" s="681"/>
      <c r="J467" s="681"/>
      <c r="K467" s="681"/>
      <c r="L467" s="681"/>
      <c r="M467" s="681"/>
      <c r="N467" s="681"/>
      <c r="O467" s="681"/>
      <c r="P467" s="681"/>
      <c r="Q467" s="681"/>
      <c r="R467" s="681"/>
      <c r="S467" s="681"/>
      <c r="T467" s="534"/>
    </row>
    <row r="468" spans="1:20" ht="28.8">
      <c r="A468" s="678"/>
      <c r="B468" s="678"/>
      <c r="C468" s="681"/>
      <c r="D468" s="678"/>
      <c r="E468" s="678"/>
      <c r="F468" s="681"/>
      <c r="G468" s="678"/>
      <c r="H468" s="681"/>
      <c r="I468" s="681"/>
      <c r="J468" s="681"/>
      <c r="K468" s="681"/>
      <c r="L468" s="681"/>
      <c r="M468" s="681"/>
      <c r="N468" s="681"/>
      <c r="O468" s="681"/>
      <c r="P468" s="681"/>
      <c r="Q468" s="681"/>
      <c r="R468" s="681"/>
      <c r="S468" s="681"/>
      <c r="T468" s="534" t="s">
        <v>1609</v>
      </c>
    </row>
    <row r="469" spans="1:20">
      <c r="A469" s="678"/>
      <c r="B469" s="678"/>
      <c r="C469" s="681"/>
      <c r="D469" s="678"/>
      <c r="E469" s="678"/>
      <c r="F469" s="681"/>
      <c r="G469" s="678"/>
      <c r="H469" s="681"/>
      <c r="I469" s="681"/>
      <c r="J469" s="681"/>
      <c r="K469" s="681"/>
      <c r="L469" s="681"/>
      <c r="M469" s="681"/>
      <c r="N469" s="681"/>
      <c r="O469" s="681"/>
      <c r="P469" s="681"/>
      <c r="Q469" s="681"/>
      <c r="R469" s="681"/>
      <c r="S469" s="681"/>
      <c r="T469" s="534"/>
    </row>
    <row r="470" spans="1:20">
      <c r="A470" s="678"/>
      <c r="B470" s="678"/>
      <c r="C470" s="681"/>
      <c r="D470" s="678"/>
      <c r="E470" s="678"/>
      <c r="F470" s="681"/>
      <c r="G470" s="678"/>
      <c r="H470" s="681"/>
      <c r="I470" s="681"/>
      <c r="J470" s="681"/>
      <c r="K470" s="681"/>
      <c r="L470" s="681"/>
      <c r="M470" s="681"/>
      <c r="N470" s="681"/>
      <c r="O470" s="681"/>
      <c r="P470" s="681"/>
      <c r="Q470" s="681"/>
      <c r="R470" s="681"/>
      <c r="S470" s="681"/>
      <c r="T470" s="534" t="s">
        <v>1610</v>
      </c>
    </row>
    <row r="471" spans="1:20">
      <c r="A471" s="678"/>
      <c r="B471" s="678"/>
      <c r="C471" s="681"/>
      <c r="D471" s="678"/>
      <c r="E471" s="678"/>
      <c r="F471" s="681"/>
      <c r="G471" s="678"/>
      <c r="H471" s="681"/>
      <c r="I471" s="681"/>
      <c r="J471" s="681"/>
      <c r="K471" s="681"/>
      <c r="L471" s="681"/>
      <c r="M471" s="681"/>
      <c r="N471" s="681"/>
      <c r="O471" s="681"/>
      <c r="P471" s="681"/>
      <c r="Q471" s="681"/>
      <c r="R471" s="681"/>
      <c r="S471" s="681"/>
      <c r="T471" s="534"/>
    </row>
    <row r="472" spans="1:20">
      <c r="A472" s="679"/>
      <c r="B472" s="679"/>
      <c r="C472" s="682"/>
      <c r="D472" s="679"/>
      <c r="E472" s="679"/>
      <c r="F472" s="682"/>
      <c r="G472" s="679"/>
      <c r="H472" s="682"/>
      <c r="I472" s="682"/>
      <c r="J472" s="682"/>
      <c r="K472" s="682"/>
      <c r="L472" s="682"/>
      <c r="M472" s="682"/>
      <c r="N472" s="682"/>
      <c r="O472" s="682"/>
      <c r="P472" s="682"/>
      <c r="Q472" s="682"/>
      <c r="R472" s="682"/>
      <c r="S472" s="682"/>
      <c r="T472" s="535" t="s">
        <v>1344</v>
      </c>
    </row>
    <row r="473" spans="1:20">
      <c r="A473" s="677" t="s">
        <v>1644</v>
      </c>
      <c r="B473" s="677" t="s">
        <v>1645</v>
      </c>
      <c r="C473" s="680"/>
      <c r="D473" s="677" t="s">
        <v>1646</v>
      </c>
      <c r="E473" s="677">
        <v>10025</v>
      </c>
      <c r="F473" s="680"/>
      <c r="G473" s="677"/>
      <c r="H473" s="680"/>
      <c r="I473" s="680"/>
      <c r="J473" s="680"/>
      <c r="K473" s="680"/>
      <c r="L473" s="680"/>
      <c r="M473" s="680"/>
      <c r="N473" s="680"/>
      <c r="O473" s="680"/>
      <c r="P473" s="680"/>
      <c r="Q473" s="680"/>
      <c r="R473" s="680"/>
      <c r="S473" s="680"/>
      <c r="T473" s="533" t="s">
        <v>1106</v>
      </c>
    </row>
    <row r="474" spans="1:20">
      <c r="A474" s="678"/>
      <c r="B474" s="678"/>
      <c r="C474" s="681"/>
      <c r="D474" s="678"/>
      <c r="E474" s="678"/>
      <c r="F474" s="681"/>
      <c r="G474" s="678"/>
      <c r="H474" s="681"/>
      <c r="I474" s="681"/>
      <c r="J474" s="681"/>
      <c r="K474" s="681"/>
      <c r="L474" s="681"/>
      <c r="M474" s="681"/>
      <c r="N474" s="681"/>
      <c r="O474" s="681"/>
      <c r="P474" s="681"/>
      <c r="Q474" s="681"/>
      <c r="R474" s="681"/>
      <c r="S474" s="681"/>
      <c r="T474" s="534"/>
    </row>
    <row r="475" spans="1:20" ht="28.8">
      <c r="A475" s="679"/>
      <c r="B475" s="679"/>
      <c r="C475" s="682"/>
      <c r="D475" s="679"/>
      <c r="E475" s="679"/>
      <c r="F475" s="682"/>
      <c r="G475" s="679"/>
      <c r="H475" s="682"/>
      <c r="I475" s="682"/>
      <c r="J475" s="682"/>
      <c r="K475" s="682"/>
      <c r="L475" s="682"/>
      <c r="M475" s="682"/>
      <c r="N475" s="682"/>
      <c r="O475" s="682"/>
      <c r="P475" s="682"/>
      <c r="Q475" s="682"/>
      <c r="R475" s="682"/>
      <c r="S475" s="682"/>
      <c r="T475" s="535" t="s">
        <v>1647</v>
      </c>
    </row>
    <row r="476" spans="1:20">
      <c r="A476" s="677" t="s">
        <v>1648</v>
      </c>
      <c r="B476" s="677" t="s">
        <v>1649</v>
      </c>
      <c r="C476" s="680"/>
      <c r="D476" s="677" t="s">
        <v>1650</v>
      </c>
      <c r="E476" s="677" t="s">
        <v>1130</v>
      </c>
      <c r="F476" s="680"/>
      <c r="G476" s="677"/>
      <c r="H476" s="680"/>
      <c r="I476" s="680" t="s">
        <v>1651</v>
      </c>
      <c r="J476" s="680" t="s">
        <v>1452</v>
      </c>
      <c r="K476" s="680" t="s">
        <v>1422</v>
      </c>
      <c r="L476" s="680"/>
      <c r="M476" s="680"/>
      <c r="N476" s="680" t="s">
        <v>1597</v>
      </c>
      <c r="O476" s="680" t="s">
        <v>1401</v>
      </c>
      <c r="P476" s="680" t="s">
        <v>357</v>
      </c>
      <c r="Q476" s="680"/>
      <c r="R476" s="680" t="s">
        <v>1285</v>
      </c>
      <c r="S476" s="680" t="s">
        <v>259</v>
      </c>
      <c r="T476" s="533" t="s">
        <v>1106</v>
      </c>
    </row>
    <row r="477" spans="1:20">
      <c r="A477" s="678"/>
      <c r="B477" s="678"/>
      <c r="C477" s="681"/>
      <c r="D477" s="678"/>
      <c r="E477" s="678"/>
      <c r="F477" s="681"/>
      <c r="G477" s="678"/>
      <c r="H477" s="681"/>
      <c r="I477" s="681"/>
      <c r="J477" s="681"/>
      <c r="K477" s="681"/>
      <c r="L477" s="681"/>
      <c r="M477" s="681"/>
      <c r="N477" s="681"/>
      <c r="O477" s="681"/>
      <c r="P477" s="681"/>
      <c r="Q477" s="681"/>
      <c r="R477" s="681"/>
      <c r="S477" s="681"/>
      <c r="T477" s="534"/>
    </row>
    <row r="478" spans="1:20">
      <c r="A478" s="679"/>
      <c r="B478" s="679"/>
      <c r="C478" s="682"/>
      <c r="D478" s="679"/>
      <c r="E478" s="679"/>
      <c r="F478" s="682"/>
      <c r="G478" s="679"/>
      <c r="H478" s="682"/>
      <c r="I478" s="682"/>
      <c r="J478" s="682"/>
      <c r="K478" s="682"/>
      <c r="L478" s="682"/>
      <c r="M478" s="682"/>
      <c r="N478" s="682"/>
      <c r="O478" s="682"/>
      <c r="P478" s="682"/>
      <c r="Q478" s="682"/>
      <c r="R478" s="682"/>
      <c r="S478" s="682"/>
      <c r="T478" s="535" t="s">
        <v>1454</v>
      </c>
    </row>
    <row r="479" spans="1:20">
      <c r="A479" s="677" t="s">
        <v>1652</v>
      </c>
      <c r="B479" s="677" t="s">
        <v>1653</v>
      </c>
      <c r="C479" s="680"/>
      <c r="D479" s="677" t="s">
        <v>1654</v>
      </c>
      <c r="E479" s="677" t="s">
        <v>1130</v>
      </c>
      <c r="F479" s="680"/>
      <c r="G479" s="677"/>
      <c r="H479" s="680"/>
      <c r="I479" s="680"/>
      <c r="J479" s="680"/>
      <c r="K479" s="680"/>
      <c r="L479" s="680"/>
      <c r="M479" s="680"/>
      <c r="N479" s="680"/>
      <c r="O479" s="680"/>
      <c r="P479" s="680"/>
      <c r="Q479" s="680"/>
      <c r="R479" s="680"/>
      <c r="S479" s="680"/>
      <c r="T479" s="533" t="s">
        <v>1106</v>
      </c>
    </row>
    <row r="480" spans="1:20">
      <c r="A480" s="678"/>
      <c r="B480" s="678"/>
      <c r="C480" s="681"/>
      <c r="D480" s="678"/>
      <c r="E480" s="678"/>
      <c r="F480" s="681"/>
      <c r="G480" s="678"/>
      <c r="H480" s="681"/>
      <c r="I480" s="681"/>
      <c r="J480" s="681"/>
      <c r="K480" s="681"/>
      <c r="L480" s="681"/>
      <c r="M480" s="681"/>
      <c r="N480" s="681"/>
      <c r="O480" s="681"/>
      <c r="P480" s="681"/>
      <c r="Q480" s="681"/>
      <c r="R480" s="681"/>
      <c r="S480" s="681"/>
      <c r="T480" s="534"/>
    </row>
    <row r="481" spans="1:20">
      <c r="A481" s="679"/>
      <c r="B481" s="679"/>
      <c r="C481" s="682"/>
      <c r="D481" s="679"/>
      <c r="E481" s="679"/>
      <c r="F481" s="682"/>
      <c r="G481" s="679"/>
      <c r="H481" s="682"/>
      <c r="I481" s="682"/>
      <c r="J481" s="682"/>
      <c r="K481" s="682"/>
      <c r="L481" s="682"/>
      <c r="M481" s="682"/>
      <c r="N481" s="682"/>
      <c r="O481" s="682"/>
      <c r="P481" s="682"/>
      <c r="Q481" s="682"/>
      <c r="R481" s="682"/>
      <c r="S481" s="682"/>
      <c r="T481" s="535" t="s">
        <v>1454</v>
      </c>
    </row>
    <row r="482" spans="1:20" ht="28.8">
      <c r="A482" s="677" t="s">
        <v>1655</v>
      </c>
      <c r="B482" s="677" t="s">
        <v>1656</v>
      </c>
      <c r="C482" s="680">
        <v>17200</v>
      </c>
      <c r="D482" s="677" t="s">
        <v>1657</v>
      </c>
      <c r="E482" s="677" t="s">
        <v>1214</v>
      </c>
      <c r="F482" s="680">
        <v>60</v>
      </c>
      <c r="G482" s="677" t="s">
        <v>1658</v>
      </c>
      <c r="H482" s="533" t="s">
        <v>1157</v>
      </c>
      <c r="I482" s="680"/>
      <c r="J482" s="680"/>
      <c r="K482" s="680"/>
      <c r="L482" s="680"/>
      <c r="M482" s="680"/>
      <c r="N482" s="680"/>
      <c r="O482" s="680"/>
      <c r="P482" s="680"/>
      <c r="Q482" s="680"/>
      <c r="R482" s="680"/>
      <c r="S482" s="680"/>
      <c r="T482" s="533" t="s">
        <v>1663</v>
      </c>
    </row>
    <row r="483" spans="1:20">
      <c r="A483" s="678"/>
      <c r="B483" s="678"/>
      <c r="C483" s="681"/>
      <c r="D483" s="678"/>
      <c r="E483" s="678"/>
      <c r="F483" s="681"/>
      <c r="G483" s="678"/>
      <c r="H483" s="534" t="s">
        <v>1659</v>
      </c>
      <c r="I483" s="681"/>
      <c r="J483" s="681"/>
      <c r="K483" s="681"/>
      <c r="L483" s="681"/>
      <c r="M483" s="681"/>
      <c r="N483" s="681"/>
      <c r="O483" s="681"/>
      <c r="P483" s="681"/>
      <c r="Q483" s="681"/>
      <c r="R483" s="681"/>
      <c r="S483" s="681"/>
      <c r="T483" s="534"/>
    </row>
    <row r="484" spans="1:20" ht="43.2">
      <c r="A484" s="678"/>
      <c r="B484" s="678"/>
      <c r="C484" s="681"/>
      <c r="D484" s="678"/>
      <c r="E484" s="678"/>
      <c r="F484" s="681"/>
      <c r="G484" s="678"/>
      <c r="H484" s="534"/>
      <c r="I484" s="681"/>
      <c r="J484" s="681"/>
      <c r="K484" s="681"/>
      <c r="L484" s="681"/>
      <c r="M484" s="681"/>
      <c r="N484" s="681"/>
      <c r="O484" s="681"/>
      <c r="P484" s="681"/>
      <c r="Q484" s="681"/>
      <c r="R484" s="681"/>
      <c r="S484" s="681"/>
      <c r="T484" s="534" t="s">
        <v>1664</v>
      </c>
    </row>
    <row r="485" spans="1:20">
      <c r="A485" s="678"/>
      <c r="B485" s="678"/>
      <c r="C485" s="681"/>
      <c r="D485" s="678"/>
      <c r="E485" s="678"/>
      <c r="F485" s="681"/>
      <c r="G485" s="678"/>
      <c r="H485" s="534" t="s">
        <v>1151</v>
      </c>
      <c r="I485" s="681"/>
      <c r="J485" s="681"/>
      <c r="K485" s="681"/>
      <c r="L485" s="681"/>
      <c r="M485" s="681"/>
      <c r="N485" s="681"/>
      <c r="O485" s="681"/>
      <c r="P485" s="681"/>
      <c r="Q485" s="681"/>
      <c r="R485" s="681"/>
      <c r="S485" s="681"/>
      <c r="T485" s="534"/>
    </row>
    <row r="486" spans="1:20">
      <c r="A486" s="678"/>
      <c r="B486" s="678"/>
      <c r="C486" s="681"/>
      <c r="D486" s="678"/>
      <c r="E486" s="678"/>
      <c r="F486" s="681"/>
      <c r="G486" s="678"/>
      <c r="H486" s="534" t="s">
        <v>1660</v>
      </c>
      <c r="I486" s="681"/>
      <c r="J486" s="681"/>
      <c r="K486" s="681"/>
      <c r="L486" s="681"/>
      <c r="M486" s="681"/>
      <c r="N486" s="681"/>
      <c r="O486" s="681"/>
      <c r="P486" s="681"/>
      <c r="Q486" s="681"/>
      <c r="R486" s="681"/>
      <c r="S486" s="681"/>
      <c r="T486" s="534" t="s">
        <v>1665</v>
      </c>
    </row>
    <row r="487" spans="1:20">
      <c r="A487" s="678"/>
      <c r="B487" s="678"/>
      <c r="C487" s="681"/>
      <c r="D487" s="678"/>
      <c r="E487" s="678"/>
      <c r="F487" s="681"/>
      <c r="G487" s="678"/>
      <c r="H487" s="534" t="s">
        <v>970</v>
      </c>
      <c r="I487" s="681"/>
      <c r="J487" s="681"/>
      <c r="K487" s="681"/>
      <c r="L487" s="681"/>
      <c r="M487" s="681"/>
      <c r="N487" s="681"/>
      <c r="O487" s="681"/>
      <c r="P487" s="681"/>
      <c r="Q487" s="681"/>
      <c r="R487" s="681"/>
      <c r="S487" s="681"/>
      <c r="T487" s="534"/>
    </row>
    <row r="488" spans="1:20">
      <c r="A488" s="678"/>
      <c r="B488" s="678"/>
      <c r="C488" s="681"/>
      <c r="D488" s="678"/>
      <c r="E488" s="678"/>
      <c r="F488" s="681"/>
      <c r="G488" s="678"/>
      <c r="H488" s="534" t="s">
        <v>974</v>
      </c>
      <c r="I488" s="681"/>
      <c r="J488" s="681"/>
      <c r="K488" s="681"/>
      <c r="L488" s="681"/>
      <c r="M488" s="681"/>
      <c r="N488" s="681"/>
      <c r="O488" s="681"/>
      <c r="P488" s="681"/>
      <c r="Q488" s="681"/>
      <c r="R488" s="681"/>
      <c r="S488" s="681"/>
      <c r="T488" s="534"/>
    </row>
    <row r="489" spans="1:20">
      <c r="A489" s="678"/>
      <c r="B489" s="678"/>
      <c r="C489" s="681"/>
      <c r="D489" s="678"/>
      <c r="E489" s="678"/>
      <c r="F489" s="681"/>
      <c r="G489" s="678"/>
      <c r="H489" s="534" t="s">
        <v>975</v>
      </c>
      <c r="I489" s="681"/>
      <c r="J489" s="681"/>
      <c r="K489" s="681"/>
      <c r="L489" s="681"/>
      <c r="M489" s="681"/>
      <c r="N489" s="681"/>
      <c r="O489" s="681"/>
      <c r="P489" s="681"/>
      <c r="Q489" s="681"/>
      <c r="R489" s="681"/>
      <c r="S489" s="681"/>
      <c r="T489" s="534"/>
    </row>
    <row r="490" spans="1:20">
      <c r="A490" s="678"/>
      <c r="B490" s="678"/>
      <c r="C490" s="681"/>
      <c r="D490" s="678"/>
      <c r="E490" s="678"/>
      <c r="F490" s="681"/>
      <c r="G490" s="678"/>
      <c r="H490" s="534" t="s">
        <v>977</v>
      </c>
      <c r="I490" s="681"/>
      <c r="J490" s="681"/>
      <c r="K490" s="681"/>
      <c r="L490" s="681"/>
      <c r="M490" s="681"/>
      <c r="N490" s="681"/>
      <c r="O490" s="681"/>
      <c r="P490" s="681"/>
      <c r="Q490" s="681"/>
      <c r="R490" s="681"/>
      <c r="S490" s="681"/>
      <c r="T490" s="534"/>
    </row>
    <row r="491" spans="1:20">
      <c r="A491" s="678"/>
      <c r="B491" s="678"/>
      <c r="C491" s="681"/>
      <c r="D491" s="678"/>
      <c r="E491" s="678"/>
      <c r="F491" s="681"/>
      <c r="G491" s="678"/>
      <c r="H491" s="534" t="s">
        <v>980</v>
      </c>
      <c r="I491" s="681"/>
      <c r="J491" s="681"/>
      <c r="K491" s="681"/>
      <c r="L491" s="681"/>
      <c r="M491" s="681"/>
      <c r="N491" s="681"/>
      <c r="O491" s="681"/>
      <c r="P491" s="681"/>
      <c r="Q491" s="681"/>
      <c r="R491" s="681"/>
      <c r="S491" s="681"/>
      <c r="T491" s="534"/>
    </row>
    <row r="492" spans="1:20">
      <c r="A492" s="678"/>
      <c r="B492" s="678"/>
      <c r="C492" s="681"/>
      <c r="D492" s="678"/>
      <c r="E492" s="678"/>
      <c r="F492" s="681"/>
      <c r="G492" s="678"/>
      <c r="H492" s="534" t="s">
        <v>981</v>
      </c>
      <c r="I492" s="681"/>
      <c r="J492" s="681"/>
      <c r="K492" s="681"/>
      <c r="L492" s="681"/>
      <c r="M492" s="681"/>
      <c r="N492" s="681"/>
      <c r="O492" s="681"/>
      <c r="P492" s="681"/>
      <c r="Q492" s="681"/>
      <c r="R492" s="681"/>
      <c r="S492" s="681"/>
      <c r="T492" s="534"/>
    </row>
    <row r="493" spans="1:20">
      <c r="A493" s="678"/>
      <c r="B493" s="678"/>
      <c r="C493" s="681"/>
      <c r="D493" s="678"/>
      <c r="E493" s="678"/>
      <c r="F493" s="681"/>
      <c r="G493" s="678"/>
      <c r="H493" s="534" t="s">
        <v>1417</v>
      </c>
      <c r="I493" s="681"/>
      <c r="J493" s="681"/>
      <c r="K493" s="681"/>
      <c r="L493" s="681"/>
      <c r="M493" s="681"/>
      <c r="N493" s="681"/>
      <c r="O493" s="681"/>
      <c r="P493" s="681"/>
      <c r="Q493" s="681"/>
      <c r="R493" s="681"/>
      <c r="S493" s="681"/>
      <c r="T493" s="534"/>
    </row>
    <row r="494" spans="1:20">
      <c r="A494" s="678"/>
      <c r="B494" s="678"/>
      <c r="C494" s="681"/>
      <c r="D494" s="678"/>
      <c r="E494" s="678"/>
      <c r="F494" s="681"/>
      <c r="G494" s="678"/>
      <c r="H494" s="534" t="s">
        <v>984</v>
      </c>
      <c r="I494" s="681"/>
      <c r="J494" s="681"/>
      <c r="K494" s="681"/>
      <c r="L494" s="681"/>
      <c r="M494" s="681"/>
      <c r="N494" s="681"/>
      <c r="O494" s="681"/>
      <c r="P494" s="681"/>
      <c r="Q494" s="681"/>
      <c r="R494" s="681"/>
      <c r="S494" s="681"/>
      <c r="T494" s="534"/>
    </row>
    <row r="495" spans="1:20">
      <c r="A495" s="678"/>
      <c r="B495" s="678"/>
      <c r="C495" s="681"/>
      <c r="D495" s="678"/>
      <c r="E495" s="678"/>
      <c r="F495" s="681"/>
      <c r="G495" s="678"/>
      <c r="H495" s="534" t="s">
        <v>985</v>
      </c>
      <c r="I495" s="681"/>
      <c r="J495" s="681"/>
      <c r="K495" s="681"/>
      <c r="L495" s="681"/>
      <c r="M495" s="681"/>
      <c r="N495" s="681"/>
      <c r="O495" s="681"/>
      <c r="P495" s="681"/>
      <c r="Q495" s="681"/>
      <c r="R495" s="681"/>
      <c r="S495" s="681"/>
      <c r="T495" s="534"/>
    </row>
    <row r="496" spans="1:20">
      <c r="A496" s="678"/>
      <c r="B496" s="678"/>
      <c r="C496" s="681"/>
      <c r="D496" s="678"/>
      <c r="E496" s="678"/>
      <c r="F496" s="681"/>
      <c r="G496" s="678"/>
      <c r="H496" s="534" t="s">
        <v>1661</v>
      </c>
      <c r="I496" s="681"/>
      <c r="J496" s="681"/>
      <c r="K496" s="681"/>
      <c r="L496" s="681"/>
      <c r="M496" s="681"/>
      <c r="N496" s="681"/>
      <c r="O496" s="681"/>
      <c r="P496" s="681"/>
      <c r="Q496" s="681"/>
      <c r="R496" s="681"/>
      <c r="S496" s="681"/>
      <c r="T496" s="534"/>
    </row>
    <row r="497" spans="1:20">
      <c r="A497" s="679"/>
      <c r="B497" s="679"/>
      <c r="C497" s="682"/>
      <c r="D497" s="679"/>
      <c r="E497" s="679"/>
      <c r="F497" s="682"/>
      <c r="G497" s="679"/>
      <c r="H497" s="535" t="s">
        <v>1662</v>
      </c>
      <c r="I497" s="682"/>
      <c r="J497" s="682"/>
      <c r="K497" s="682"/>
      <c r="L497" s="682"/>
      <c r="M497" s="682"/>
      <c r="N497" s="682"/>
      <c r="O497" s="682"/>
      <c r="P497" s="682"/>
      <c r="Q497" s="682"/>
      <c r="R497" s="682"/>
      <c r="S497" s="682"/>
      <c r="T497" s="535"/>
    </row>
    <row r="498" spans="1:20">
      <c r="A498" s="677" t="s">
        <v>1666</v>
      </c>
      <c r="B498" s="677" t="s">
        <v>1667</v>
      </c>
      <c r="C498" s="680"/>
      <c r="D498" s="677" t="s">
        <v>1668</v>
      </c>
      <c r="E498" s="677" t="s">
        <v>1130</v>
      </c>
      <c r="F498" s="680"/>
      <c r="G498" s="677"/>
      <c r="H498" s="680"/>
      <c r="I498" s="680"/>
      <c r="J498" s="680"/>
      <c r="K498" s="680"/>
      <c r="L498" s="680"/>
      <c r="M498" s="680"/>
      <c r="N498" s="680"/>
      <c r="O498" s="680"/>
      <c r="P498" s="680"/>
      <c r="Q498" s="680"/>
      <c r="R498" s="680"/>
      <c r="S498" s="680"/>
      <c r="T498" s="533" t="s">
        <v>1669</v>
      </c>
    </row>
    <row r="499" spans="1:20">
      <c r="A499" s="678"/>
      <c r="B499" s="678"/>
      <c r="C499" s="681"/>
      <c r="D499" s="678"/>
      <c r="E499" s="678"/>
      <c r="F499" s="681"/>
      <c r="G499" s="678"/>
      <c r="H499" s="681"/>
      <c r="I499" s="681"/>
      <c r="J499" s="681"/>
      <c r="K499" s="681"/>
      <c r="L499" s="681"/>
      <c r="M499" s="681"/>
      <c r="N499" s="681"/>
      <c r="O499" s="681"/>
      <c r="P499" s="681"/>
      <c r="Q499" s="681"/>
      <c r="R499" s="681"/>
      <c r="S499" s="681"/>
      <c r="T499" s="534"/>
    </row>
    <row r="500" spans="1:20">
      <c r="A500" s="679"/>
      <c r="B500" s="679"/>
      <c r="C500" s="682"/>
      <c r="D500" s="679"/>
      <c r="E500" s="679"/>
      <c r="F500" s="682"/>
      <c r="G500" s="679"/>
      <c r="H500" s="682"/>
      <c r="I500" s="682"/>
      <c r="J500" s="682"/>
      <c r="K500" s="682"/>
      <c r="L500" s="682"/>
      <c r="M500" s="682"/>
      <c r="N500" s="682"/>
      <c r="O500" s="682"/>
      <c r="P500" s="682"/>
      <c r="Q500" s="682"/>
      <c r="R500" s="682"/>
      <c r="S500" s="682"/>
      <c r="T500" s="535" t="s">
        <v>1670</v>
      </c>
    </row>
    <row r="501" spans="1:20">
      <c r="A501" s="677" t="s">
        <v>1671</v>
      </c>
      <c r="B501" s="677" t="s">
        <v>1672</v>
      </c>
      <c r="C501" s="680"/>
      <c r="D501" s="677" t="s">
        <v>1673</v>
      </c>
      <c r="E501" s="677" t="s">
        <v>1130</v>
      </c>
      <c r="F501" s="680"/>
      <c r="G501" s="677"/>
      <c r="H501" s="680"/>
      <c r="I501" s="680"/>
      <c r="J501" s="680"/>
      <c r="K501" s="680"/>
      <c r="L501" s="680"/>
      <c r="M501" s="680"/>
      <c r="N501" s="680"/>
      <c r="O501" s="680"/>
      <c r="P501" s="680"/>
      <c r="Q501" s="680"/>
      <c r="R501" s="680"/>
      <c r="S501" s="680"/>
      <c r="T501" s="533" t="s">
        <v>1669</v>
      </c>
    </row>
    <row r="502" spans="1:20">
      <c r="A502" s="678"/>
      <c r="B502" s="678"/>
      <c r="C502" s="681"/>
      <c r="D502" s="678"/>
      <c r="E502" s="678"/>
      <c r="F502" s="681"/>
      <c r="G502" s="678"/>
      <c r="H502" s="681"/>
      <c r="I502" s="681"/>
      <c r="J502" s="681"/>
      <c r="K502" s="681"/>
      <c r="L502" s="681"/>
      <c r="M502" s="681"/>
      <c r="N502" s="681"/>
      <c r="O502" s="681"/>
      <c r="P502" s="681"/>
      <c r="Q502" s="681"/>
      <c r="R502" s="681"/>
      <c r="S502" s="681"/>
      <c r="T502" s="534"/>
    </row>
    <row r="503" spans="1:20">
      <c r="A503" s="679"/>
      <c r="B503" s="679"/>
      <c r="C503" s="682"/>
      <c r="D503" s="679"/>
      <c r="E503" s="679"/>
      <c r="F503" s="682"/>
      <c r="G503" s="679"/>
      <c r="H503" s="682"/>
      <c r="I503" s="682"/>
      <c r="J503" s="682"/>
      <c r="K503" s="682"/>
      <c r="L503" s="682"/>
      <c r="M503" s="682"/>
      <c r="N503" s="682"/>
      <c r="O503" s="682"/>
      <c r="P503" s="682"/>
      <c r="Q503" s="682"/>
      <c r="R503" s="682"/>
      <c r="S503" s="682"/>
      <c r="T503" s="535" t="s">
        <v>1674</v>
      </c>
    </row>
    <row r="504" spans="1:20" ht="28.8">
      <c r="A504" s="536" t="s">
        <v>1675</v>
      </c>
      <c r="B504" s="536" t="s">
        <v>1676</v>
      </c>
      <c r="C504" s="537"/>
      <c r="D504" s="536" t="s">
        <v>1677</v>
      </c>
      <c r="E504" s="536" t="s">
        <v>1130</v>
      </c>
      <c r="F504" s="537"/>
      <c r="G504" s="536"/>
      <c r="H504" s="537"/>
      <c r="I504" s="537"/>
      <c r="J504" s="537"/>
      <c r="K504" s="537"/>
      <c r="L504" s="537"/>
      <c r="M504" s="537"/>
      <c r="N504" s="537"/>
      <c r="O504" s="537"/>
      <c r="P504" s="537"/>
      <c r="Q504" s="537"/>
      <c r="R504" s="537"/>
      <c r="S504" s="537"/>
      <c r="T504" s="537" t="s">
        <v>1678</v>
      </c>
    </row>
    <row r="505" spans="1:20">
      <c r="A505" s="677" t="s">
        <v>1679</v>
      </c>
      <c r="B505" s="677" t="s">
        <v>1680</v>
      </c>
      <c r="C505" s="680">
        <v>17140</v>
      </c>
      <c r="D505" s="677" t="s">
        <v>1681</v>
      </c>
      <c r="E505" s="677" t="s">
        <v>1130</v>
      </c>
      <c r="F505" s="680">
        <v>65</v>
      </c>
      <c r="G505" s="677" t="s">
        <v>1682</v>
      </c>
      <c r="H505" s="680"/>
      <c r="I505" s="680"/>
      <c r="J505" s="680"/>
      <c r="K505" s="680"/>
      <c r="L505" s="680"/>
      <c r="M505" s="680"/>
      <c r="N505" s="680"/>
      <c r="O505" s="680"/>
      <c r="P505" s="680"/>
      <c r="Q505" s="680"/>
      <c r="R505" s="680"/>
      <c r="S505" s="680"/>
      <c r="T505" s="533" t="s">
        <v>1669</v>
      </c>
    </row>
    <row r="506" spans="1:20">
      <c r="A506" s="678"/>
      <c r="B506" s="678"/>
      <c r="C506" s="681"/>
      <c r="D506" s="678"/>
      <c r="E506" s="678"/>
      <c r="F506" s="681"/>
      <c r="G506" s="678"/>
      <c r="H506" s="681"/>
      <c r="I506" s="681"/>
      <c r="J506" s="681"/>
      <c r="K506" s="681"/>
      <c r="L506" s="681"/>
      <c r="M506" s="681"/>
      <c r="N506" s="681"/>
      <c r="O506" s="681"/>
      <c r="P506" s="681"/>
      <c r="Q506" s="681"/>
      <c r="R506" s="681"/>
      <c r="S506" s="681"/>
      <c r="T506" s="534"/>
    </row>
    <row r="507" spans="1:20">
      <c r="A507" s="679"/>
      <c r="B507" s="679"/>
      <c r="C507" s="682"/>
      <c r="D507" s="679"/>
      <c r="E507" s="679"/>
      <c r="F507" s="682"/>
      <c r="G507" s="679"/>
      <c r="H507" s="682"/>
      <c r="I507" s="682"/>
      <c r="J507" s="682"/>
      <c r="K507" s="682"/>
      <c r="L507" s="682"/>
      <c r="M507" s="682"/>
      <c r="N507" s="682"/>
      <c r="O507" s="682"/>
      <c r="P507" s="682"/>
      <c r="Q507" s="682"/>
      <c r="R507" s="682"/>
      <c r="S507" s="682"/>
      <c r="T507" s="535" t="s">
        <v>1454</v>
      </c>
    </row>
    <row r="508" spans="1:20">
      <c r="A508" s="677" t="s">
        <v>1683</v>
      </c>
      <c r="B508" s="677" t="s">
        <v>1684</v>
      </c>
      <c r="C508" s="680"/>
      <c r="D508" s="677" t="s">
        <v>1685</v>
      </c>
      <c r="E508" s="677" t="s">
        <v>1130</v>
      </c>
      <c r="F508" s="680"/>
      <c r="G508" s="677"/>
      <c r="H508" s="533" t="s">
        <v>1151</v>
      </c>
      <c r="I508" s="680"/>
      <c r="J508" s="680"/>
      <c r="K508" s="680"/>
      <c r="L508" s="680"/>
      <c r="M508" s="680"/>
      <c r="N508" s="680"/>
      <c r="O508" s="680"/>
      <c r="P508" s="680"/>
      <c r="Q508" s="680"/>
      <c r="R508" s="680"/>
      <c r="S508" s="680"/>
      <c r="T508" s="533" t="s">
        <v>1669</v>
      </c>
    </row>
    <row r="509" spans="1:20">
      <c r="A509" s="678"/>
      <c r="B509" s="678"/>
      <c r="C509" s="681"/>
      <c r="D509" s="678"/>
      <c r="E509" s="678"/>
      <c r="F509" s="681"/>
      <c r="G509" s="678"/>
      <c r="H509" s="534" t="s">
        <v>970</v>
      </c>
      <c r="I509" s="681"/>
      <c r="J509" s="681"/>
      <c r="K509" s="681"/>
      <c r="L509" s="681"/>
      <c r="M509" s="681"/>
      <c r="N509" s="681"/>
      <c r="O509" s="681"/>
      <c r="P509" s="681"/>
      <c r="Q509" s="681"/>
      <c r="R509" s="681"/>
      <c r="S509" s="681"/>
      <c r="T509" s="534"/>
    </row>
    <row r="510" spans="1:20" ht="28.8">
      <c r="A510" s="678"/>
      <c r="B510" s="678"/>
      <c r="C510" s="681"/>
      <c r="D510" s="678"/>
      <c r="E510" s="678"/>
      <c r="F510" s="681"/>
      <c r="G510" s="678"/>
      <c r="H510" s="534" t="s">
        <v>974</v>
      </c>
      <c r="I510" s="681"/>
      <c r="J510" s="681"/>
      <c r="K510" s="681"/>
      <c r="L510" s="681"/>
      <c r="M510" s="681"/>
      <c r="N510" s="681"/>
      <c r="O510" s="681"/>
      <c r="P510" s="681"/>
      <c r="Q510" s="681"/>
      <c r="R510" s="681"/>
      <c r="S510" s="681"/>
      <c r="T510" s="534" t="s">
        <v>1686</v>
      </c>
    </row>
    <row r="511" spans="1:20">
      <c r="A511" s="678"/>
      <c r="B511" s="678"/>
      <c r="C511" s="681"/>
      <c r="D511" s="678"/>
      <c r="E511" s="678"/>
      <c r="F511" s="681"/>
      <c r="G511" s="678"/>
      <c r="H511" s="534" t="s">
        <v>975</v>
      </c>
      <c r="I511" s="681"/>
      <c r="J511" s="681"/>
      <c r="K511" s="681"/>
      <c r="L511" s="681"/>
      <c r="M511" s="681"/>
      <c r="N511" s="681"/>
      <c r="O511" s="681"/>
      <c r="P511" s="681"/>
      <c r="Q511" s="681"/>
      <c r="R511" s="681"/>
      <c r="S511" s="681"/>
      <c r="T511" s="534"/>
    </row>
    <row r="512" spans="1:20">
      <c r="A512" s="678"/>
      <c r="B512" s="678"/>
      <c r="C512" s="681"/>
      <c r="D512" s="678"/>
      <c r="E512" s="678"/>
      <c r="F512" s="681"/>
      <c r="G512" s="678"/>
      <c r="H512" s="534" t="s">
        <v>980</v>
      </c>
      <c r="I512" s="681"/>
      <c r="J512" s="681"/>
      <c r="K512" s="681"/>
      <c r="L512" s="681"/>
      <c r="M512" s="681"/>
      <c r="N512" s="681"/>
      <c r="O512" s="681"/>
      <c r="P512" s="681"/>
      <c r="Q512" s="681"/>
      <c r="R512" s="681"/>
      <c r="S512" s="681"/>
      <c r="T512" s="534"/>
    </row>
    <row r="513" spans="1:20">
      <c r="A513" s="678"/>
      <c r="B513" s="678"/>
      <c r="C513" s="681"/>
      <c r="D513" s="678"/>
      <c r="E513" s="678"/>
      <c r="F513" s="681"/>
      <c r="G513" s="678"/>
      <c r="H513" s="534" t="s">
        <v>1417</v>
      </c>
      <c r="I513" s="681"/>
      <c r="J513" s="681"/>
      <c r="K513" s="681"/>
      <c r="L513" s="681"/>
      <c r="M513" s="681"/>
      <c r="N513" s="681"/>
      <c r="O513" s="681"/>
      <c r="P513" s="681"/>
      <c r="Q513" s="681"/>
      <c r="R513" s="681"/>
      <c r="S513" s="681"/>
      <c r="T513" s="534"/>
    </row>
    <row r="514" spans="1:20">
      <c r="A514" s="678"/>
      <c r="B514" s="678"/>
      <c r="C514" s="681"/>
      <c r="D514" s="678"/>
      <c r="E514" s="678"/>
      <c r="F514" s="681"/>
      <c r="G514" s="678"/>
      <c r="H514" s="534" t="s">
        <v>985</v>
      </c>
      <c r="I514" s="681"/>
      <c r="J514" s="681"/>
      <c r="K514" s="681"/>
      <c r="L514" s="681"/>
      <c r="M514" s="681"/>
      <c r="N514" s="681"/>
      <c r="O514" s="681"/>
      <c r="P514" s="681"/>
      <c r="Q514" s="681"/>
      <c r="R514" s="681"/>
      <c r="S514" s="681"/>
      <c r="T514" s="534"/>
    </row>
    <row r="515" spans="1:20">
      <c r="A515" s="678"/>
      <c r="B515" s="678"/>
      <c r="C515" s="681"/>
      <c r="D515" s="678"/>
      <c r="E515" s="678"/>
      <c r="F515" s="681"/>
      <c r="G515" s="678"/>
      <c r="H515" s="534" t="s">
        <v>1661</v>
      </c>
      <c r="I515" s="681"/>
      <c r="J515" s="681"/>
      <c r="K515" s="681"/>
      <c r="L515" s="681"/>
      <c r="M515" s="681"/>
      <c r="N515" s="681"/>
      <c r="O515" s="681"/>
      <c r="P515" s="681"/>
      <c r="Q515" s="681"/>
      <c r="R515" s="681"/>
      <c r="S515" s="681"/>
      <c r="T515" s="534"/>
    </row>
    <row r="516" spans="1:20">
      <c r="A516" s="679"/>
      <c r="B516" s="679"/>
      <c r="C516" s="682"/>
      <c r="D516" s="679"/>
      <c r="E516" s="679"/>
      <c r="F516" s="682"/>
      <c r="G516" s="679"/>
      <c r="H516" s="535" t="s">
        <v>1662</v>
      </c>
      <c r="I516" s="682"/>
      <c r="J516" s="682"/>
      <c r="K516" s="682"/>
      <c r="L516" s="682"/>
      <c r="M516" s="682"/>
      <c r="N516" s="682"/>
      <c r="O516" s="682"/>
      <c r="P516" s="682"/>
      <c r="Q516" s="682"/>
      <c r="R516" s="682"/>
      <c r="S516" s="682"/>
      <c r="T516" s="535"/>
    </row>
    <row r="517" spans="1:20" ht="28.8">
      <c r="A517" s="677" t="s">
        <v>1687</v>
      </c>
      <c r="B517" s="677" t="s">
        <v>1688</v>
      </c>
      <c r="C517" s="680">
        <v>17140</v>
      </c>
      <c r="D517" s="677" t="s">
        <v>1689</v>
      </c>
      <c r="E517" s="677" t="s">
        <v>1130</v>
      </c>
      <c r="F517" s="680">
        <v>75</v>
      </c>
      <c r="G517" s="677" t="s">
        <v>1690</v>
      </c>
      <c r="H517" s="533" t="s">
        <v>1151</v>
      </c>
      <c r="I517" s="680"/>
      <c r="J517" s="680"/>
      <c r="K517" s="680"/>
      <c r="L517" s="680"/>
      <c r="M517" s="680"/>
      <c r="N517" s="680"/>
      <c r="O517" s="680"/>
      <c r="P517" s="680"/>
      <c r="Q517" s="680"/>
      <c r="R517" s="680"/>
      <c r="S517" s="680"/>
      <c r="T517" s="533" t="s">
        <v>1691</v>
      </c>
    </row>
    <row r="518" spans="1:20">
      <c r="A518" s="678"/>
      <c r="B518" s="678"/>
      <c r="C518" s="681"/>
      <c r="D518" s="678"/>
      <c r="E518" s="678"/>
      <c r="F518" s="681"/>
      <c r="G518" s="678"/>
      <c r="H518" s="534" t="s">
        <v>970</v>
      </c>
      <c r="I518" s="681"/>
      <c r="J518" s="681"/>
      <c r="K518" s="681"/>
      <c r="L518" s="681"/>
      <c r="M518" s="681"/>
      <c r="N518" s="681"/>
      <c r="O518" s="681"/>
      <c r="P518" s="681"/>
      <c r="Q518" s="681"/>
      <c r="R518" s="681"/>
      <c r="S518" s="681"/>
      <c r="T518" s="534"/>
    </row>
    <row r="519" spans="1:20">
      <c r="A519" s="678"/>
      <c r="B519" s="678"/>
      <c r="C519" s="681"/>
      <c r="D519" s="678"/>
      <c r="E519" s="678"/>
      <c r="F519" s="681"/>
      <c r="G519" s="678"/>
      <c r="H519" s="534" t="s">
        <v>974</v>
      </c>
      <c r="I519" s="681"/>
      <c r="J519" s="681"/>
      <c r="K519" s="681"/>
      <c r="L519" s="681"/>
      <c r="M519" s="681"/>
      <c r="N519" s="681"/>
      <c r="O519" s="681"/>
      <c r="P519" s="681"/>
      <c r="Q519" s="681"/>
      <c r="R519" s="681"/>
      <c r="S519" s="681"/>
      <c r="T519" s="534" t="s">
        <v>1454</v>
      </c>
    </row>
    <row r="520" spans="1:20">
      <c r="A520" s="678"/>
      <c r="B520" s="678"/>
      <c r="C520" s="681"/>
      <c r="D520" s="678"/>
      <c r="E520" s="678"/>
      <c r="F520" s="681"/>
      <c r="G520" s="678"/>
      <c r="H520" s="534" t="s">
        <v>975</v>
      </c>
      <c r="I520" s="681"/>
      <c r="J520" s="681"/>
      <c r="K520" s="681"/>
      <c r="L520" s="681"/>
      <c r="M520" s="681"/>
      <c r="N520" s="681"/>
      <c r="O520" s="681"/>
      <c r="P520" s="681"/>
      <c r="Q520" s="681"/>
      <c r="R520" s="681"/>
      <c r="S520" s="681"/>
      <c r="T520" s="534"/>
    </row>
    <row r="521" spans="1:20">
      <c r="A521" s="678"/>
      <c r="B521" s="678"/>
      <c r="C521" s="681"/>
      <c r="D521" s="678"/>
      <c r="E521" s="678"/>
      <c r="F521" s="681"/>
      <c r="G521" s="678"/>
      <c r="H521" s="534" t="s">
        <v>980</v>
      </c>
      <c r="I521" s="681"/>
      <c r="J521" s="681"/>
      <c r="K521" s="681"/>
      <c r="L521" s="681"/>
      <c r="M521" s="681"/>
      <c r="N521" s="681"/>
      <c r="O521" s="681"/>
      <c r="P521" s="681"/>
      <c r="Q521" s="681"/>
      <c r="R521" s="681"/>
      <c r="S521" s="681"/>
      <c r="T521" s="534"/>
    </row>
    <row r="522" spans="1:20">
      <c r="A522" s="678"/>
      <c r="B522" s="678"/>
      <c r="C522" s="681"/>
      <c r="D522" s="678"/>
      <c r="E522" s="678"/>
      <c r="F522" s="681"/>
      <c r="G522" s="678"/>
      <c r="H522" s="534" t="s">
        <v>1417</v>
      </c>
      <c r="I522" s="681"/>
      <c r="J522" s="681"/>
      <c r="K522" s="681"/>
      <c r="L522" s="681"/>
      <c r="M522" s="681"/>
      <c r="N522" s="681"/>
      <c r="O522" s="681"/>
      <c r="P522" s="681"/>
      <c r="Q522" s="681"/>
      <c r="R522" s="681"/>
      <c r="S522" s="681"/>
      <c r="T522" s="534"/>
    </row>
    <row r="523" spans="1:20">
      <c r="A523" s="678"/>
      <c r="B523" s="678"/>
      <c r="C523" s="681"/>
      <c r="D523" s="678"/>
      <c r="E523" s="678"/>
      <c r="F523" s="681"/>
      <c r="G523" s="678"/>
      <c r="H523" s="534" t="s">
        <v>985</v>
      </c>
      <c r="I523" s="681"/>
      <c r="J523" s="681"/>
      <c r="K523" s="681"/>
      <c r="L523" s="681"/>
      <c r="M523" s="681"/>
      <c r="N523" s="681"/>
      <c r="O523" s="681"/>
      <c r="P523" s="681"/>
      <c r="Q523" s="681"/>
      <c r="R523" s="681"/>
      <c r="S523" s="681"/>
      <c r="T523" s="534"/>
    </row>
    <row r="524" spans="1:20">
      <c r="A524" s="678"/>
      <c r="B524" s="678"/>
      <c r="C524" s="681"/>
      <c r="D524" s="678"/>
      <c r="E524" s="678"/>
      <c r="F524" s="681"/>
      <c r="G524" s="678"/>
      <c r="H524" s="534" t="s">
        <v>1661</v>
      </c>
      <c r="I524" s="681"/>
      <c r="J524" s="681"/>
      <c r="K524" s="681"/>
      <c r="L524" s="681"/>
      <c r="M524" s="681"/>
      <c r="N524" s="681"/>
      <c r="O524" s="681"/>
      <c r="P524" s="681"/>
      <c r="Q524" s="681"/>
      <c r="R524" s="681"/>
      <c r="S524" s="681"/>
      <c r="T524" s="534"/>
    </row>
    <row r="525" spans="1:20">
      <c r="A525" s="679"/>
      <c r="B525" s="679"/>
      <c r="C525" s="682"/>
      <c r="D525" s="679"/>
      <c r="E525" s="679"/>
      <c r="F525" s="682"/>
      <c r="G525" s="679"/>
      <c r="H525" s="535" t="s">
        <v>1662</v>
      </c>
      <c r="I525" s="682"/>
      <c r="J525" s="682"/>
      <c r="K525" s="682"/>
      <c r="L525" s="682"/>
      <c r="M525" s="682"/>
      <c r="N525" s="682"/>
      <c r="O525" s="682"/>
      <c r="P525" s="682"/>
      <c r="Q525" s="682"/>
      <c r="R525" s="682"/>
      <c r="S525" s="682"/>
      <c r="T525" s="535"/>
    </row>
    <row r="526" spans="1:20">
      <c r="A526" s="677" t="s">
        <v>1692</v>
      </c>
      <c r="B526" s="677" t="s">
        <v>1693</v>
      </c>
      <c r="C526" s="680"/>
      <c r="D526" s="677" t="s">
        <v>1694</v>
      </c>
      <c r="E526" s="677" t="s">
        <v>1130</v>
      </c>
      <c r="F526" s="680"/>
      <c r="G526" s="677"/>
      <c r="H526" s="680"/>
      <c r="I526" s="680"/>
      <c r="J526" s="680"/>
      <c r="K526" s="680"/>
      <c r="L526" s="680"/>
      <c r="M526" s="680"/>
      <c r="N526" s="680"/>
      <c r="O526" s="680"/>
      <c r="P526" s="680"/>
      <c r="Q526" s="680"/>
      <c r="R526" s="680"/>
      <c r="S526" s="680"/>
      <c r="T526" s="533" t="s">
        <v>1669</v>
      </c>
    </row>
    <row r="527" spans="1:20">
      <c r="A527" s="678"/>
      <c r="B527" s="678"/>
      <c r="C527" s="681"/>
      <c r="D527" s="678"/>
      <c r="E527" s="678"/>
      <c r="F527" s="681"/>
      <c r="G527" s="678"/>
      <c r="H527" s="681"/>
      <c r="I527" s="681"/>
      <c r="J527" s="681"/>
      <c r="K527" s="681"/>
      <c r="L527" s="681"/>
      <c r="M527" s="681"/>
      <c r="N527" s="681"/>
      <c r="O527" s="681"/>
      <c r="P527" s="681"/>
      <c r="Q527" s="681"/>
      <c r="R527" s="681"/>
      <c r="S527" s="681"/>
      <c r="T527" s="534"/>
    </row>
    <row r="528" spans="1:20">
      <c r="A528" s="679"/>
      <c r="B528" s="679"/>
      <c r="C528" s="682"/>
      <c r="D528" s="679"/>
      <c r="E528" s="679"/>
      <c r="F528" s="682"/>
      <c r="G528" s="679"/>
      <c r="H528" s="682"/>
      <c r="I528" s="682"/>
      <c r="J528" s="682"/>
      <c r="K528" s="682"/>
      <c r="L528" s="682"/>
      <c r="M528" s="682"/>
      <c r="N528" s="682"/>
      <c r="O528" s="682"/>
      <c r="P528" s="682"/>
      <c r="Q528" s="682"/>
      <c r="R528" s="682"/>
      <c r="S528" s="682"/>
      <c r="T528" s="535" t="s">
        <v>1454</v>
      </c>
    </row>
    <row r="529" spans="1:20" ht="28.8">
      <c r="A529" s="677" t="s">
        <v>1695</v>
      </c>
      <c r="B529" s="677" t="s">
        <v>1696</v>
      </c>
      <c r="C529" s="680">
        <v>17140</v>
      </c>
      <c r="D529" s="677" t="s">
        <v>1697</v>
      </c>
      <c r="E529" s="677" t="s">
        <v>1130</v>
      </c>
      <c r="F529" s="680">
        <v>85</v>
      </c>
      <c r="G529" s="677" t="s">
        <v>1690</v>
      </c>
      <c r="H529" s="533" t="s">
        <v>1151</v>
      </c>
      <c r="I529" s="680" t="s">
        <v>1702</v>
      </c>
      <c r="J529" s="680" t="s">
        <v>1703</v>
      </c>
      <c r="K529" s="680" t="s">
        <v>1704</v>
      </c>
      <c r="L529" s="680"/>
      <c r="M529" s="680"/>
      <c r="N529" s="680"/>
      <c r="O529" s="680"/>
      <c r="P529" s="680"/>
      <c r="Q529" s="680"/>
      <c r="R529" s="680"/>
      <c r="S529" s="680"/>
      <c r="T529" s="533" t="s">
        <v>1691</v>
      </c>
    </row>
    <row r="530" spans="1:20">
      <c r="A530" s="678"/>
      <c r="B530" s="678"/>
      <c r="C530" s="681"/>
      <c r="D530" s="678"/>
      <c r="E530" s="678"/>
      <c r="F530" s="681"/>
      <c r="G530" s="678"/>
      <c r="H530" s="534" t="s">
        <v>970</v>
      </c>
      <c r="I530" s="681"/>
      <c r="J530" s="681"/>
      <c r="K530" s="681"/>
      <c r="L530" s="681"/>
      <c r="M530" s="681"/>
      <c r="N530" s="681"/>
      <c r="O530" s="681"/>
      <c r="P530" s="681"/>
      <c r="Q530" s="681"/>
      <c r="R530" s="681"/>
      <c r="S530" s="681"/>
      <c r="T530" s="534"/>
    </row>
    <row r="531" spans="1:20" ht="28.8">
      <c r="A531" s="678"/>
      <c r="B531" s="678"/>
      <c r="C531" s="681"/>
      <c r="D531" s="678"/>
      <c r="E531" s="678"/>
      <c r="F531" s="681"/>
      <c r="G531" s="678"/>
      <c r="H531" s="534" t="s">
        <v>1698</v>
      </c>
      <c r="I531" s="681"/>
      <c r="J531" s="681"/>
      <c r="K531" s="681"/>
      <c r="L531" s="681"/>
      <c r="M531" s="681"/>
      <c r="N531" s="681"/>
      <c r="O531" s="681"/>
      <c r="P531" s="681"/>
      <c r="Q531" s="681"/>
      <c r="R531" s="681"/>
      <c r="S531" s="681"/>
      <c r="T531" s="534" t="s">
        <v>1705</v>
      </c>
    </row>
    <row r="532" spans="1:20">
      <c r="A532" s="678"/>
      <c r="B532" s="678"/>
      <c r="C532" s="681"/>
      <c r="D532" s="678"/>
      <c r="E532" s="678"/>
      <c r="F532" s="681"/>
      <c r="G532" s="678"/>
      <c r="H532" s="534" t="s">
        <v>974</v>
      </c>
      <c r="I532" s="681"/>
      <c r="J532" s="681"/>
      <c r="K532" s="681"/>
      <c r="L532" s="681"/>
      <c r="M532" s="681"/>
      <c r="N532" s="681"/>
      <c r="O532" s="681"/>
      <c r="P532" s="681"/>
      <c r="Q532" s="681"/>
      <c r="R532" s="681"/>
      <c r="S532" s="681"/>
      <c r="T532" s="534"/>
    </row>
    <row r="533" spans="1:20" ht="43.2">
      <c r="A533" s="678"/>
      <c r="B533" s="678"/>
      <c r="C533" s="681"/>
      <c r="D533" s="678"/>
      <c r="E533" s="678"/>
      <c r="F533" s="681"/>
      <c r="G533" s="678"/>
      <c r="H533" s="534" t="s">
        <v>975</v>
      </c>
      <c r="I533" s="681"/>
      <c r="J533" s="681"/>
      <c r="K533" s="681"/>
      <c r="L533" s="681"/>
      <c r="M533" s="681"/>
      <c r="N533" s="681"/>
      <c r="O533" s="681"/>
      <c r="P533" s="681"/>
      <c r="Q533" s="681"/>
      <c r="R533" s="681"/>
      <c r="S533" s="681"/>
      <c r="T533" s="534" t="s">
        <v>1706</v>
      </c>
    </row>
    <row r="534" spans="1:20">
      <c r="A534" s="678"/>
      <c r="B534" s="678"/>
      <c r="C534" s="681"/>
      <c r="D534" s="678"/>
      <c r="E534" s="678"/>
      <c r="F534" s="681"/>
      <c r="G534" s="678"/>
      <c r="H534" s="534" t="s">
        <v>980</v>
      </c>
      <c r="I534" s="681"/>
      <c r="J534" s="681"/>
      <c r="K534" s="681"/>
      <c r="L534" s="681"/>
      <c r="M534" s="681"/>
      <c r="N534" s="681"/>
      <c r="O534" s="681"/>
      <c r="P534" s="681"/>
      <c r="Q534" s="681"/>
      <c r="R534" s="681"/>
      <c r="S534" s="681"/>
      <c r="T534" s="534"/>
    </row>
    <row r="535" spans="1:20">
      <c r="A535" s="678"/>
      <c r="B535" s="678"/>
      <c r="C535" s="681"/>
      <c r="D535" s="678"/>
      <c r="E535" s="678"/>
      <c r="F535" s="681"/>
      <c r="G535" s="678"/>
      <c r="H535" s="534" t="s">
        <v>1417</v>
      </c>
      <c r="I535" s="681"/>
      <c r="J535" s="681"/>
      <c r="K535" s="681"/>
      <c r="L535" s="681"/>
      <c r="M535" s="681"/>
      <c r="N535" s="681"/>
      <c r="O535" s="681"/>
      <c r="P535" s="681"/>
      <c r="Q535" s="681"/>
      <c r="R535" s="681"/>
      <c r="S535" s="681"/>
      <c r="T535" s="534"/>
    </row>
    <row r="536" spans="1:20">
      <c r="A536" s="678"/>
      <c r="B536" s="678"/>
      <c r="C536" s="681"/>
      <c r="D536" s="678"/>
      <c r="E536" s="678"/>
      <c r="F536" s="681"/>
      <c r="G536" s="678"/>
      <c r="H536" s="534" t="s">
        <v>985</v>
      </c>
      <c r="I536" s="681"/>
      <c r="J536" s="681"/>
      <c r="K536" s="681"/>
      <c r="L536" s="681"/>
      <c r="M536" s="681"/>
      <c r="N536" s="681"/>
      <c r="O536" s="681"/>
      <c r="P536" s="681"/>
      <c r="Q536" s="681"/>
      <c r="R536" s="681"/>
      <c r="S536" s="681"/>
      <c r="T536" s="534"/>
    </row>
    <row r="537" spans="1:20">
      <c r="A537" s="678"/>
      <c r="B537" s="678"/>
      <c r="C537" s="681"/>
      <c r="D537" s="678"/>
      <c r="E537" s="678"/>
      <c r="F537" s="681"/>
      <c r="G537" s="678"/>
      <c r="H537" s="534" t="s">
        <v>1661</v>
      </c>
      <c r="I537" s="681"/>
      <c r="J537" s="681"/>
      <c r="K537" s="681"/>
      <c r="L537" s="681"/>
      <c r="M537" s="681"/>
      <c r="N537" s="681"/>
      <c r="O537" s="681"/>
      <c r="P537" s="681"/>
      <c r="Q537" s="681"/>
      <c r="R537" s="681"/>
      <c r="S537" s="681"/>
      <c r="T537" s="534"/>
    </row>
    <row r="538" spans="1:20">
      <c r="A538" s="678"/>
      <c r="B538" s="678"/>
      <c r="C538" s="681"/>
      <c r="D538" s="678"/>
      <c r="E538" s="678"/>
      <c r="F538" s="681"/>
      <c r="G538" s="678"/>
      <c r="H538" s="534" t="s">
        <v>1699</v>
      </c>
      <c r="I538" s="681"/>
      <c r="J538" s="681"/>
      <c r="K538" s="681"/>
      <c r="L538" s="681"/>
      <c r="M538" s="681"/>
      <c r="N538" s="681"/>
      <c r="O538" s="681"/>
      <c r="P538" s="681"/>
      <c r="Q538" s="681"/>
      <c r="R538" s="681"/>
      <c r="S538" s="681"/>
      <c r="T538" s="534"/>
    </row>
    <row r="539" spans="1:20">
      <c r="A539" s="678"/>
      <c r="B539" s="678"/>
      <c r="C539" s="681"/>
      <c r="D539" s="678"/>
      <c r="E539" s="678"/>
      <c r="F539" s="681"/>
      <c r="G539" s="678"/>
      <c r="H539" s="534"/>
      <c r="I539" s="681"/>
      <c r="J539" s="681"/>
      <c r="K539" s="681"/>
      <c r="L539" s="681"/>
      <c r="M539" s="681"/>
      <c r="N539" s="681"/>
      <c r="O539" s="681"/>
      <c r="P539" s="681"/>
      <c r="Q539" s="681"/>
      <c r="R539" s="681"/>
      <c r="S539" s="681"/>
      <c r="T539" s="534"/>
    </row>
    <row r="540" spans="1:20">
      <c r="A540" s="678"/>
      <c r="B540" s="678"/>
      <c r="C540" s="681"/>
      <c r="D540" s="678"/>
      <c r="E540" s="678"/>
      <c r="F540" s="681"/>
      <c r="G540" s="678"/>
      <c r="H540" s="534" t="s">
        <v>1157</v>
      </c>
      <c r="I540" s="681"/>
      <c r="J540" s="681"/>
      <c r="K540" s="681"/>
      <c r="L540" s="681"/>
      <c r="M540" s="681"/>
      <c r="N540" s="681"/>
      <c r="O540" s="681"/>
      <c r="P540" s="681"/>
      <c r="Q540" s="681"/>
      <c r="R540" s="681"/>
      <c r="S540" s="681"/>
      <c r="T540" s="534"/>
    </row>
    <row r="541" spans="1:20">
      <c r="A541" s="678"/>
      <c r="B541" s="678"/>
      <c r="C541" s="681"/>
      <c r="D541" s="678"/>
      <c r="E541" s="678"/>
      <c r="F541" s="681"/>
      <c r="G541" s="678"/>
      <c r="H541" s="534" t="s">
        <v>1700</v>
      </c>
      <c r="I541" s="681"/>
      <c r="J541" s="681"/>
      <c r="K541" s="681"/>
      <c r="L541" s="681"/>
      <c r="M541" s="681"/>
      <c r="N541" s="681"/>
      <c r="O541" s="681"/>
      <c r="P541" s="681"/>
      <c r="Q541" s="681"/>
      <c r="R541" s="681"/>
      <c r="S541" s="681"/>
      <c r="T541" s="534"/>
    </row>
    <row r="542" spans="1:20">
      <c r="A542" s="678"/>
      <c r="B542" s="678"/>
      <c r="C542" s="681"/>
      <c r="D542" s="678"/>
      <c r="E542" s="678"/>
      <c r="F542" s="681"/>
      <c r="G542" s="678"/>
      <c r="H542" s="534"/>
      <c r="I542" s="681"/>
      <c r="J542" s="681"/>
      <c r="K542" s="681"/>
      <c r="L542" s="681"/>
      <c r="M542" s="681"/>
      <c r="N542" s="681"/>
      <c r="O542" s="681"/>
      <c r="P542" s="681"/>
      <c r="Q542" s="681"/>
      <c r="R542" s="681"/>
      <c r="S542" s="681"/>
      <c r="T542" s="534"/>
    </row>
    <row r="543" spans="1:20">
      <c r="A543" s="678"/>
      <c r="B543" s="678"/>
      <c r="C543" s="681"/>
      <c r="D543" s="678"/>
      <c r="E543" s="678"/>
      <c r="F543" s="681"/>
      <c r="G543" s="678"/>
      <c r="H543" s="534" t="s">
        <v>1155</v>
      </c>
      <c r="I543" s="681"/>
      <c r="J543" s="681"/>
      <c r="K543" s="681"/>
      <c r="L543" s="681"/>
      <c r="M543" s="681"/>
      <c r="N543" s="681"/>
      <c r="O543" s="681"/>
      <c r="P543" s="681"/>
      <c r="Q543" s="681"/>
      <c r="R543" s="681"/>
      <c r="S543" s="681"/>
      <c r="T543" s="534"/>
    </row>
    <row r="544" spans="1:20">
      <c r="A544" s="679"/>
      <c r="B544" s="679"/>
      <c r="C544" s="682"/>
      <c r="D544" s="679"/>
      <c r="E544" s="679"/>
      <c r="F544" s="682"/>
      <c r="G544" s="679"/>
      <c r="H544" s="535" t="s">
        <v>1701</v>
      </c>
      <c r="I544" s="682"/>
      <c r="J544" s="682"/>
      <c r="K544" s="682"/>
      <c r="L544" s="682"/>
      <c r="M544" s="682"/>
      <c r="N544" s="682"/>
      <c r="O544" s="682"/>
      <c r="P544" s="682"/>
      <c r="Q544" s="682"/>
      <c r="R544" s="682"/>
      <c r="S544" s="682"/>
      <c r="T544" s="535"/>
    </row>
    <row r="545" spans="1:20">
      <c r="A545" s="677" t="s">
        <v>1707</v>
      </c>
      <c r="B545" s="677" t="s">
        <v>1708</v>
      </c>
      <c r="C545" s="680"/>
      <c r="D545" s="677" t="s">
        <v>1709</v>
      </c>
      <c r="E545" s="677" t="s">
        <v>1130</v>
      </c>
      <c r="F545" s="680"/>
      <c r="G545" s="677"/>
      <c r="H545" s="680"/>
      <c r="I545" s="680"/>
      <c r="J545" s="680"/>
      <c r="K545" s="680"/>
      <c r="L545" s="680"/>
      <c r="M545" s="680"/>
      <c r="N545" s="680"/>
      <c r="O545" s="680"/>
      <c r="P545" s="680"/>
      <c r="Q545" s="680"/>
      <c r="R545" s="680"/>
      <c r="S545" s="680"/>
      <c r="T545" s="533" t="s">
        <v>1669</v>
      </c>
    </row>
    <row r="546" spans="1:20">
      <c r="A546" s="678"/>
      <c r="B546" s="678"/>
      <c r="C546" s="681"/>
      <c r="D546" s="678"/>
      <c r="E546" s="678"/>
      <c r="F546" s="681"/>
      <c r="G546" s="678"/>
      <c r="H546" s="681"/>
      <c r="I546" s="681"/>
      <c r="J546" s="681"/>
      <c r="K546" s="681"/>
      <c r="L546" s="681"/>
      <c r="M546" s="681"/>
      <c r="N546" s="681"/>
      <c r="O546" s="681"/>
      <c r="P546" s="681"/>
      <c r="Q546" s="681"/>
      <c r="R546" s="681"/>
      <c r="S546" s="681"/>
      <c r="T546" s="534"/>
    </row>
    <row r="547" spans="1:20">
      <c r="A547" s="679"/>
      <c r="B547" s="679"/>
      <c r="C547" s="682"/>
      <c r="D547" s="679"/>
      <c r="E547" s="679"/>
      <c r="F547" s="682"/>
      <c r="G547" s="679"/>
      <c r="H547" s="682"/>
      <c r="I547" s="682"/>
      <c r="J547" s="682"/>
      <c r="K547" s="682"/>
      <c r="L547" s="682"/>
      <c r="M547" s="682"/>
      <c r="N547" s="682"/>
      <c r="O547" s="682"/>
      <c r="P547" s="682"/>
      <c r="Q547" s="682"/>
      <c r="R547" s="682"/>
      <c r="S547" s="682"/>
      <c r="T547" s="535" t="s">
        <v>1454</v>
      </c>
    </row>
    <row r="548" spans="1:20">
      <c r="A548" s="677" t="s">
        <v>1710</v>
      </c>
      <c r="B548" s="677" t="s">
        <v>1711</v>
      </c>
      <c r="C548" s="680"/>
      <c r="D548" s="677" t="s">
        <v>1712</v>
      </c>
      <c r="E548" s="677" t="s">
        <v>1130</v>
      </c>
      <c r="F548" s="680"/>
      <c r="G548" s="677"/>
      <c r="H548" s="533" t="s">
        <v>1151</v>
      </c>
      <c r="I548" s="680"/>
      <c r="J548" s="680"/>
      <c r="K548" s="680"/>
      <c r="L548" s="680"/>
      <c r="M548" s="680"/>
      <c r="N548" s="680"/>
      <c r="O548" s="680"/>
      <c r="P548" s="680"/>
      <c r="Q548" s="680"/>
      <c r="R548" s="680"/>
      <c r="S548" s="680"/>
      <c r="T548" s="533" t="s">
        <v>1669</v>
      </c>
    </row>
    <row r="549" spans="1:20">
      <c r="A549" s="678"/>
      <c r="B549" s="678"/>
      <c r="C549" s="681"/>
      <c r="D549" s="678"/>
      <c r="E549" s="678"/>
      <c r="F549" s="681"/>
      <c r="G549" s="678"/>
      <c r="H549" s="534" t="s">
        <v>970</v>
      </c>
      <c r="I549" s="681"/>
      <c r="J549" s="681"/>
      <c r="K549" s="681"/>
      <c r="L549" s="681"/>
      <c r="M549" s="681"/>
      <c r="N549" s="681"/>
      <c r="O549" s="681"/>
      <c r="P549" s="681"/>
      <c r="Q549" s="681"/>
      <c r="R549" s="681"/>
      <c r="S549" s="681"/>
      <c r="T549" s="534"/>
    </row>
    <row r="550" spans="1:20" ht="28.8">
      <c r="A550" s="678"/>
      <c r="B550" s="678"/>
      <c r="C550" s="681"/>
      <c r="D550" s="678"/>
      <c r="E550" s="678"/>
      <c r="F550" s="681"/>
      <c r="G550" s="678"/>
      <c r="H550" s="534" t="s">
        <v>1713</v>
      </c>
      <c r="I550" s="681"/>
      <c r="J550" s="681"/>
      <c r="K550" s="681"/>
      <c r="L550" s="681"/>
      <c r="M550" s="681"/>
      <c r="N550" s="681"/>
      <c r="O550" s="681"/>
      <c r="P550" s="681"/>
      <c r="Q550" s="681"/>
      <c r="R550" s="681"/>
      <c r="S550" s="681"/>
      <c r="T550" s="534" t="s">
        <v>1715</v>
      </c>
    </row>
    <row r="551" spans="1:20">
      <c r="A551" s="678"/>
      <c r="B551" s="678"/>
      <c r="C551" s="681"/>
      <c r="D551" s="678"/>
      <c r="E551" s="678"/>
      <c r="F551" s="681"/>
      <c r="G551" s="678"/>
      <c r="H551" s="534"/>
      <c r="I551" s="681"/>
      <c r="J551" s="681"/>
      <c r="K551" s="681"/>
      <c r="L551" s="681"/>
      <c r="M551" s="681"/>
      <c r="N551" s="681"/>
      <c r="O551" s="681"/>
      <c r="P551" s="681"/>
      <c r="Q551" s="681"/>
      <c r="R551" s="681"/>
      <c r="S551" s="681"/>
      <c r="T551" s="534"/>
    </row>
    <row r="552" spans="1:20">
      <c r="A552" s="678"/>
      <c r="B552" s="678"/>
      <c r="C552" s="681"/>
      <c r="D552" s="678"/>
      <c r="E552" s="678"/>
      <c r="F552" s="681"/>
      <c r="G552" s="678"/>
      <c r="H552" s="534" t="s">
        <v>1155</v>
      </c>
      <c r="I552" s="681"/>
      <c r="J552" s="681"/>
      <c r="K552" s="681"/>
      <c r="L552" s="681"/>
      <c r="M552" s="681"/>
      <c r="N552" s="681"/>
      <c r="O552" s="681"/>
      <c r="P552" s="681"/>
      <c r="Q552" s="681"/>
      <c r="R552" s="681"/>
      <c r="S552" s="681"/>
      <c r="T552" s="534"/>
    </row>
    <row r="553" spans="1:20">
      <c r="A553" s="679"/>
      <c r="B553" s="679"/>
      <c r="C553" s="682"/>
      <c r="D553" s="679"/>
      <c r="E553" s="679"/>
      <c r="F553" s="682"/>
      <c r="G553" s="679"/>
      <c r="H553" s="535" t="s">
        <v>1714</v>
      </c>
      <c r="I553" s="682"/>
      <c r="J553" s="682"/>
      <c r="K553" s="682"/>
      <c r="L553" s="682"/>
      <c r="M553" s="682"/>
      <c r="N553" s="682"/>
      <c r="O553" s="682"/>
      <c r="P553" s="682"/>
      <c r="Q553" s="682"/>
      <c r="R553" s="682"/>
      <c r="S553" s="682"/>
      <c r="T553" s="535"/>
    </row>
    <row r="554" spans="1:20" ht="28.8">
      <c r="A554" s="677" t="s">
        <v>1716</v>
      </c>
      <c r="B554" s="677" t="s">
        <v>1717</v>
      </c>
      <c r="C554" s="680"/>
      <c r="D554" s="677" t="s">
        <v>1718</v>
      </c>
      <c r="E554" s="677" t="s">
        <v>1130</v>
      </c>
      <c r="F554" s="680"/>
      <c r="G554" s="677"/>
      <c r="H554" s="680"/>
      <c r="I554" s="680"/>
      <c r="J554" s="680"/>
      <c r="K554" s="680"/>
      <c r="L554" s="680"/>
      <c r="M554" s="680"/>
      <c r="N554" s="680"/>
      <c r="O554" s="680"/>
      <c r="P554" s="680"/>
      <c r="Q554" s="680"/>
      <c r="R554" s="680"/>
      <c r="S554" s="680"/>
      <c r="T554" s="533" t="s">
        <v>1691</v>
      </c>
    </row>
    <row r="555" spans="1:20">
      <c r="A555" s="678"/>
      <c r="B555" s="678"/>
      <c r="C555" s="681"/>
      <c r="D555" s="678"/>
      <c r="E555" s="678"/>
      <c r="F555" s="681"/>
      <c r="G555" s="678"/>
      <c r="H555" s="681"/>
      <c r="I555" s="681"/>
      <c r="J555" s="681"/>
      <c r="K555" s="681"/>
      <c r="L555" s="681"/>
      <c r="M555" s="681"/>
      <c r="N555" s="681"/>
      <c r="O555" s="681"/>
      <c r="P555" s="681"/>
      <c r="Q555" s="681"/>
      <c r="R555" s="681"/>
      <c r="S555" s="681"/>
      <c r="T555" s="534"/>
    </row>
    <row r="556" spans="1:20" ht="28.8">
      <c r="A556" s="679"/>
      <c r="B556" s="679"/>
      <c r="C556" s="682"/>
      <c r="D556" s="679"/>
      <c r="E556" s="679"/>
      <c r="F556" s="682"/>
      <c r="G556" s="679"/>
      <c r="H556" s="682"/>
      <c r="I556" s="682"/>
      <c r="J556" s="682"/>
      <c r="K556" s="682"/>
      <c r="L556" s="682"/>
      <c r="M556" s="682"/>
      <c r="N556" s="682"/>
      <c r="O556" s="682"/>
      <c r="P556" s="682"/>
      <c r="Q556" s="682"/>
      <c r="R556" s="682"/>
      <c r="S556" s="682"/>
      <c r="T556" s="535" t="s">
        <v>1686</v>
      </c>
    </row>
    <row r="557" spans="1:20">
      <c r="A557" s="677" t="s">
        <v>1719</v>
      </c>
      <c r="B557" s="677" t="s">
        <v>1720</v>
      </c>
      <c r="C557" s="680"/>
      <c r="D557" s="677" t="s">
        <v>1721</v>
      </c>
      <c r="E557" s="677" t="s">
        <v>1130</v>
      </c>
      <c r="F557" s="680"/>
      <c r="G557" s="677"/>
      <c r="H557" s="533" t="s">
        <v>1151</v>
      </c>
      <c r="I557" s="680"/>
      <c r="J557" s="680"/>
      <c r="K557" s="680"/>
      <c r="L557" s="680"/>
      <c r="M557" s="680"/>
      <c r="N557" s="680"/>
      <c r="O557" s="680"/>
      <c r="P557" s="680"/>
      <c r="Q557" s="680"/>
      <c r="R557" s="680"/>
      <c r="S557" s="680"/>
      <c r="T557" s="533" t="s">
        <v>1669</v>
      </c>
    </row>
    <row r="558" spans="1:20">
      <c r="A558" s="678"/>
      <c r="B558" s="678"/>
      <c r="C558" s="681"/>
      <c r="D558" s="678"/>
      <c r="E558" s="678"/>
      <c r="F558" s="681"/>
      <c r="G558" s="678"/>
      <c r="H558" s="534" t="s">
        <v>970</v>
      </c>
      <c r="I558" s="681"/>
      <c r="J558" s="681"/>
      <c r="K558" s="681"/>
      <c r="L558" s="681"/>
      <c r="M558" s="681"/>
      <c r="N558" s="681"/>
      <c r="O558" s="681"/>
      <c r="P558" s="681"/>
      <c r="Q558" s="681"/>
      <c r="R558" s="681"/>
      <c r="S558" s="681"/>
      <c r="T558" s="534"/>
    </row>
    <row r="559" spans="1:20">
      <c r="A559" s="678"/>
      <c r="B559" s="678"/>
      <c r="C559" s="681"/>
      <c r="D559" s="678"/>
      <c r="E559" s="678"/>
      <c r="F559" s="681"/>
      <c r="G559" s="678"/>
      <c r="H559" s="534" t="s">
        <v>1698</v>
      </c>
      <c r="I559" s="681"/>
      <c r="J559" s="681"/>
      <c r="K559" s="681"/>
      <c r="L559" s="681"/>
      <c r="M559" s="681"/>
      <c r="N559" s="681"/>
      <c r="O559" s="681"/>
      <c r="P559" s="681"/>
      <c r="Q559" s="681"/>
      <c r="R559" s="681"/>
      <c r="S559" s="681"/>
      <c r="T559" s="534" t="s">
        <v>1454</v>
      </c>
    </row>
    <row r="560" spans="1:20">
      <c r="A560" s="678"/>
      <c r="B560" s="678"/>
      <c r="C560" s="681"/>
      <c r="D560" s="678"/>
      <c r="E560" s="678"/>
      <c r="F560" s="681"/>
      <c r="G560" s="678"/>
      <c r="H560" s="534" t="s">
        <v>974</v>
      </c>
      <c r="I560" s="681"/>
      <c r="J560" s="681"/>
      <c r="K560" s="681"/>
      <c r="L560" s="681"/>
      <c r="M560" s="681"/>
      <c r="N560" s="681"/>
      <c r="O560" s="681"/>
      <c r="P560" s="681"/>
      <c r="Q560" s="681"/>
      <c r="R560" s="681"/>
      <c r="S560" s="681"/>
      <c r="T560" s="534"/>
    </row>
    <row r="561" spans="1:20">
      <c r="A561" s="678"/>
      <c r="B561" s="678"/>
      <c r="C561" s="681"/>
      <c r="D561" s="678"/>
      <c r="E561" s="678"/>
      <c r="F561" s="681"/>
      <c r="G561" s="678"/>
      <c r="H561" s="534" t="s">
        <v>975</v>
      </c>
      <c r="I561" s="681"/>
      <c r="J561" s="681"/>
      <c r="K561" s="681"/>
      <c r="L561" s="681"/>
      <c r="M561" s="681"/>
      <c r="N561" s="681"/>
      <c r="O561" s="681"/>
      <c r="P561" s="681"/>
      <c r="Q561" s="681"/>
      <c r="R561" s="681"/>
      <c r="S561" s="681"/>
      <c r="T561" s="534"/>
    </row>
    <row r="562" spans="1:20">
      <c r="A562" s="678"/>
      <c r="B562" s="678"/>
      <c r="C562" s="681"/>
      <c r="D562" s="678"/>
      <c r="E562" s="678"/>
      <c r="F562" s="681"/>
      <c r="G562" s="678"/>
      <c r="H562" s="534" t="s">
        <v>980</v>
      </c>
      <c r="I562" s="681"/>
      <c r="J562" s="681"/>
      <c r="K562" s="681"/>
      <c r="L562" s="681"/>
      <c r="M562" s="681"/>
      <c r="N562" s="681"/>
      <c r="O562" s="681"/>
      <c r="P562" s="681"/>
      <c r="Q562" s="681"/>
      <c r="R562" s="681"/>
      <c r="S562" s="681"/>
      <c r="T562" s="534"/>
    </row>
    <row r="563" spans="1:20">
      <c r="A563" s="678"/>
      <c r="B563" s="678"/>
      <c r="C563" s="681"/>
      <c r="D563" s="678"/>
      <c r="E563" s="678"/>
      <c r="F563" s="681"/>
      <c r="G563" s="678"/>
      <c r="H563" s="534" t="s">
        <v>981</v>
      </c>
      <c r="I563" s="681"/>
      <c r="J563" s="681"/>
      <c r="K563" s="681"/>
      <c r="L563" s="681"/>
      <c r="M563" s="681"/>
      <c r="N563" s="681"/>
      <c r="O563" s="681"/>
      <c r="P563" s="681"/>
      <c r="Q563" s="681"/>
      <c r="R563" s="681"/>
      <c r="S563" s="681"/>
      <c r="T563" s="534"/>
    </row>
    <row r="564" spans="1:20">
      <c r="A564" s="678"/>
      <c r="B564" s="678"/>
      <c r="C564" s="681"/>
      <c r="D564" s="678"/>
      <c r="E564" s="678"/>
      <c r="F564" s="681"/>
      <c r="G564" s="678"/>
      <c r="H564" s="534" t="s">
        <v>984</v>
      </c>
      <c r="I564" s="681"/>
      <c r="J564" s="681"/>
      <c r="K564" s="681"/>
      <c r="L564" s="681"/>
      <c r="M564" s="681"/>
      <c r="N564" s="681"/>
      <c r="O564" s="681"/>
      <c r="P564" s="681"/>
      <c r="Q564" s="681"/>
      <c r="R564" s="681"/>
      <c r="S564" s="681"/>
      <c r="T564" s="534"/>
    </row>
    <row r="565" spans="1:20">
      <c r="A565" s="678"/>
      <c r="B565" s="678"/>
      <c r="C565" s="681"/>
      <c r="D565" s="678"/>
      <c r="E565" s="678"/>
      <c r="F565" s="681"/>
      <c r="G565" s="678"/>
      <c r="H565" s="534" t="s">
        <v>985</v>
      </c>
      <c r="I565" s="681"/>
      <c r="J565" s="681"/>
      <c r="K565" s="681"/>
      <c r="L565" s="681"/>
      <c r="M565" s="681"/>
      <c r="N565" s="681"/>
      <c r="O565" s="681"/>
      <c r="P565" s="681"/>
      <c r="Q565" s="681"/>
      <c r="R565" s="681"/>
      <c r="S565" s="681"/>
      <c r="T565" s="534"/>
    </row>
    <row r="566" spans="1:20">
      <c r="A566" s="678"/>
      <c r="B566" s="678"/>
      <c r="C566" s="681"/>
      <c r="D566" s="678"/>
      <c r="E566" s="678"/>
      <c r="F566" s="681"/>
      <c r="G566" s="678"/>
      <c r="H566" s="534" t="s">
        <v>1661</v>
      </c>
      <c r="I566" s="681"/>
      <c r="J566" s="681"/>
      <c r="K566" s="681"/>
      <c r="L566" s="681"/>
      <c r="M566" s="681"/>
      <c r="N566" s="681"/>
      <c r="O566" s="681"/>
      <c r="P566" s="681"/>
      <c r="Q566" s="681"/>
      <c r="R566" s="681"/>
      <c r="S566" s="681"/>
      <c r="T566" s="534"/>
    </row>
    <row r="567" spans="1:20">
      <c r="A567" s="678"/>
      <c r="B567" s="678"/>
      <c r="C567" s="681"/>
      <c r="D567" s="678"/>
      <c r="E567" s="678"/>
      <c r="F567" s="681"/>
      <c r="G567" s="678"/>
      <c r="H567" s="534" t="s">
        <v>1699</v>
      </c>
      <c r="I567" s="681"/>
      <c r="J567" s="681"/>
      <c r="K567" s="681"/>
      <c r="L567" s="681"/>
      <c r="M567" s="681"/>
      <c r="N567" s="681"/>
      <c r="O567" s="681"/>
      <c r="P567" s="681"/>
      <c r="Q567" s="681"/>
      <c r="R567" s="681"/>
      <c r="S567" s="681"/>
      <c r="T567" s="534"/>
    </row>
    <row r="568" spans="1:20">
      <c r="A568" s="678"/>
      <c r="B568" s="678"/>
      <c r="C568" s="681"/>
      <c r="D568" s="678"/>
      <c r="E568" s="678"/>
      <c r="F568" s="681"/>
      <c r="G568" s="678"/>
      <c r="H568" s="534"/>
      <c r="I568" s="681"/>
      <c r="J568" s="681"/>
      <c r="K568" s="681"/>
      <c r="L568" s="681"/>
      <c r="M568" s="681"/>
      <c r="N568" s="681"/>
      <c r="O568" s="681"/>
      <c r="P568" s="681"/>
      <c r="Q568" s="681"/>
      <c r="R568" s="681"/>
      <c r="S568" s="681"/>
      <c r="T568" s="534"/>
    </row>
    <row r="569" spans="1:20">
      <c r="A569" s="678"/>
      <c r="B569" s="678"/>
      <c r="C569" s="681"/>
      <c r="D569" s="678"/>
      <c r="E569" s="678"/>
      <c r="F569" s="681"/>
      <c r="G569" s="678"/>
      <c r="H569" s="534" t="s">
        <v>1155</v>
      </c>
      <c r="I569" s="681"/>
      <c r="J569" s="681"/>
      <c r="K569" s="681"/>
      <c r="L569" s="681"/>
      <c r="M569" s="681"/>
      <c r="N569" s="681"/>
      <c r="O569" s="681"/>
      <c r="P569" s="681"/>
      <c r="Q569" s="681"/>
      <c r="R569" s="681"/>
      <c r="S569" s="681"/>
      <c r="T569" s="534"/>
    </row>
    <row r="570" spans="1:20">
      <c r="A570" s="679"/>
      <c r="B570" s="679"/>
      <c r="C570" s="682"/>
      <c r="D570" s="679"/>
      <c r="E570" s="679"/>
      <c r="F570" s="682"/>
      <c r="G570" s="679"/>
      <c r="H570" s="535" t="s">
        <v>1722</v>
      </c>
      <c r="I570" s="682"/>
      <c r="J570" s="682"/>
      <c r="K570" s="682"/>
      <c r="L570" s="682"/>
      <c r="M570" s="682"/>
      <c r="N570" s="682"/>
      <c r="O570" s="682"/>
      <c r="P570" s="682"/>
      <c r="Q570" s="682"/>
      <c r="R570" s="682"/>
      <c r="S570" s="682"/>
      <c r="T570" s="535"/>
    </row>
    <row r="571" spans="1:20">
      <c r="A571" s="677" t="s">
        <v>1723</v>
      </c>
      <c r="B571" s="677" t="s">
        <v>1724</v>
      </c>
      <c r="C571" s="680"/>
      <c r="D571" s="677" t="s">
        <v>1725</v>
      </c>
      <c r="E571" s="677" t="s">
        <v>1130</v>
      </c>
      <c r="F571" s="680"/>
      <c r="G571" s="677"/>
      <c r="H571" s="533" t="s">
        <v>1151</v>
      </c>
      <c r="I571" s="680"/>
      <c r="J571" s="680"/>
      <c r="K571" s="680"/>
      <c r="L571" s="680"/>
      <c r="M571" s="680"/>
      <c r="N571" s="680"/>
      <c r="O571" s="680"/>
      <c r="P571" s="680"/>
      <c r="Q571" s="680"/>
      <c r="R571" s="680"/>
      <c r="S571" s="680"/>
      <c r="T571" s="533" t="s">
        <v>1669</v>
      </c>
    </row>
    <row r="572" spans="1:20">
      <c r="A572" s="678"/>
      <c r="B572" s="678"/>
      <c r="C572" s="681"/>
      <c r="D572" s="678"/>
      <c r="E572" s="678"/>
      <c r="F572" s="681"/>
      <c r="G572" s="678"/>
      <c r="H572" s="534" t="s">
        <v>1726</v>
      </c>
      <c r="I572" s="681"/>
      <c r="J572" s="681"/>
      <c r="K572" s="681"/>
      <c r="L572" s="681"/>
      <c r="M572" s="681"/>
      <c r="N572" s="681"/>
      <c r="O572" s="681"/>
      <c r="P572" s="681"/>
      <c r="Q572" s="681"/>
      <c r="R572" s="681"/>
      <c r="S572" s="681"/>
      <c r="T572" s="534"/>
    </row>
    <row r="573" spans="1:20" ht="28.8">
      <c r="A573" s="678"/>
      <c r="B573" s="678"/>
      <c r="C573" s="681"/>
      <c r="D573" s="678"/>
      <c r="E573" s="678"/>
      <c r="F573" s="681"/>
      <c r="G573" s="678"/>
      <c r="H573" s="534"/>
      <c r="I573" s="681"/>
      <c r="J573" s="681"/>
      <c r="K573" s="681"/>
      <c r="L573" s="681"/>
      <c r="M573" s="681"/>
      <c r="N573" s="681"/>
      <c r="O573" s="681"/>
      <c r="P573" s="681"/>
      <c r="Q573" s="681"/>
      <c r="R573" s="681"/>
      <c r="S573" s="681"/>
      <c r="T573" s="534" t="s">
        <v>1727</v>
      </c>
    </row>
    <row r="574" spans="1:20">
      <c r="A574" s="678"/>
      <c r="B574" s="678"/>
      <c r="C574" s="681"/>
      <c r="D574" s="678"/>
      <c r="E574" s="678"/>
      <c r="F574" s="681"/>
      <c r="G574" s="678"/>
      <c r="H574" s="534" t="s">
        <v>1155</v>
      </c>
      <c r="I574" s="681"/>
      <c r="J574" s="681"/>
      <c r="K574" s="681"/>
      <c r="L574" s="681"/>
      <c r="M574" s="681"/>
      <c r="N574" s="681"/>
      <c r="O574" s="681"/>
      <c r="P574" s="681"/>
      <c r="Q574" s="681"/>
      <c r="R574" s="681"/>
      <c r="S574" s="681"/>
      <c r="T574" s="534"/>
    </row>
    <row r="575" spans="1:20">
      <c r="A575" s="679"/>
      <c r="B575" s="679"/>
      <c r="C575" s="682"/>
      <c r="D575" s="679"/>
      <c r="E575" s="679"/>
      <c r="F575" s="682"/>
      <c r="G575" s="679"/>
      <c r="H575" s="535" t="s">
        <v>1722</v>
      </c>
      <c r="I575" s="682"/>
      <c r="J575" s="682"/>
      <c r="K575" s="682"/>
      <c r="L575" s="682"/>
      <c r="M575" s="682"/>
      <c r="N575" s="682"/>
      <c r="O575" s="682"/>
      <c r="P575" s="682"/>
      <c r="Q575" s="682"/>
      <c r="R575" s="682"/>
      <c r="S575" s="682"/>
      <c r="T575" s="535"/>
    </row>
    <row r="576" spans="1:20">
      <c r="A576" s="677" t="s">
        <v>1728</v>
      </c>
      <c r="B576" s="677" t="s">
        <v>1729</v>
      </c>
      <c r="C576" s="680"/>
      <c r="D576" s="677" t="s">
        <v>1730</v>
      </c>
      <c r="E576" s="677" t="s">
        <v>1130</v>
      </c>
      <c r="F576" s="680"/>
      <c r="G576" s="677"/>
      <c r="H576" s="533" t="s">
        <v>1151</v>
      </c>
      <c r="I576" s="680"/>
      <c r="J576" s="680"/>
      <c r="K576" s="680"/>
      <c r="L576" s="680"/>
      <c r="M576" s="680"/>
      <c r="N576" s="680"/>
      <c r="O576" s="680"/>
      <c r="P576" s="680"/>
      <c r="Q576" s="680"/>
      <c r="R576" s="680"/>
      <c r="S576" s="680"/>
      <c r="T576" s="533" t="s">
        <v>1669</v>
      </c>
    </row>
    <row r="577" spans="1:20">
      <c r="A577" s="678"/>
      <c r="B577" s="678"/>
      <c r="C577" s="681"/>
      <c r="D577" s="678"/>
      <c r="E577" s="678"/>
      <c r="F577" s="681"/>
      <c r="G577" s="678"/>
      <c r="H577" s="534" t="s">
        <v>970</v>
      </c>
      <c r="I577" s="681"/>
      <c r="J577" s="681"/>
      <c r="K577" s="681"/>
      <c r="L577" s="681"/>
      <c r="M577" s="681"/>
      <c r="N577" s="681"/>
      <c r="O577" s="681"/>
      <c r="P577" s="681"/>
      <c r="Q577" s="681"/>
      <c r="R577" s="681"/>
      <c r="S577" s="681"/>
      <c r="T577" s="534"/>
    </row>
    <row r="578" spans="1:20">
      <c r="A578" s="678"/>
      <c r="B578" s="678"/>
      <c r="C578" s="681"/>
      <c r="D578" s="678"/>
      <c r="E578" s="678"/>
      <c r="F578" s="681"/>
      <c r="G578" s="678"/>
      <c r="H578" s="534" t="s">
        <v>1713</v>
      </c>
      <c r="I578" s="681"/>
      <c r="J578" s="681"/>
      <c r="K578" s="681"/>
      <c r="L578" s="681"/>
      <c r="M578" s="681"/>
      <c r="N578" s="681"/>
      <c r="O578" s="681"/>
      <c r="P578" s="681"/>
      <c r="Q578" s="681"/>
      <c r="R578" s="681"/>
      <c r="S578" s="681"/>
      <c r="T578" s="534" t="s">
        <v>1454</v>
      </c>
    </row>
    <row r="579" spans="1:20">
      <c r="A579" s="678"/>
      <c r="B579" s="678"/>
      <c r="C579" s="681"/>
      <c r="D579" s="678"/>
      <c r="E579" s="678"/>
      <c r="F579" s="681"/>
      <c r="G579" s="678"/>
      <c r="H579" s="534"/>
      <c r="I579" s="681"/>
      <c r="J579" s="681"/>
      <c r="K579" s="681"/>
      <c r="L579" s="681"/>
      <c r="M579" s="681"/>
      <c r="N579" s="681"/>
      <c r="O579" s="681"/>
      <c r="P579" s="681"/>
      <c r="Q579" s="681"/>
      <c r="R579" s="681"/>
      <c r="S579" s="681"/>
      <c r="T579" s="534"/>
    </row>
    <row r="580" spans="1:20">
      <c r="A580" s="678"/>
      <c r="B580" s="678"/>
      <c r="C580" s="681"/>
      <c r="D580" s="678"/>
      <c r="E580" s="678"/>
      <c r="F580" s="681"/>
      <c r="G580" s="678"/>
      <c r="H580" s="534" t="s">
        <v>1157</v>
      </c>
      <c r="I580" s="681"/>
      <c r="J580" s="681"/>
      <c r="K580" s="681"/>
      <c r="L580" s="681"/>
      <c r="M580" s="681"/>
      <c r="N580" s="681"/>
      <c r="O580" s="681"/>
      <c r="P580" s="681"/>
      <c r="Q580" s="681"/>
      <c r="R580" s="681"/>
      <c r="S580" s="681"/>
      <c r="T580" s="534"/>
    </row>
    <row r="581" spans="1:20">
      <c r="A581" s="678"/>
      <c r="B581" s="678"/>
      <c r="C581" s="681"/>
      <c r="D581" s="678"/>
      <c r="E581" s="678"/>
      <c r="F581" s="681"/>
      <c r="G581" s="678"/>
      <c r="H581" s="534">
        <v>1084</v>
      </c>
      <c r="I581" s="681"/>
      <c r="J581" s="681"/>
      <c r="K581" s="681"/>
      <c r="L581" s="681"/>
      <c r="M581" s="681"/>
      <c r="N581" s="681"/>
      <c r="O581" s="681"/>
      <c r="P581" s="681"/>
      <c r="Q581" s="681"/>
      <c r="R581" s="681"/>
      <c r="S581" s="681"/>
      <c r="T581" s="534"/>
    </row>
    <row r="582" spans="1:20">
      <c r="A582" s="678"/>
      <c r="B582" s="678"/>
      <c r="C582" s="681"/>
      <c r="D582" s="678"/>
      <c r="E582" s="678"/>
      <c r="F582" s="681"/>
      <c r="G582" s="678"/>
      <c r="H582" s="534" t="s">
        <v>1700</v>
      </c>
      <c r="I582" s="681"/>
      <c r="J582" s="681"/>
      <c r="K582" s="681"/>
      <c r="L582" s="681"/>
      <c r="M582" s="681"/>
      <c r="N582" s="681"/>
      <c r="O582" s="681"/>
      <c r="P582" s="681"/>
      <c r="Q582" s="681"/>
      <c r="R582" s="681"/>
      <c r="S582" s="681"/>
      <c r="T582" s="534"/>
    </row>
    <row r="583" spans="1:20">
      <c r="A583" s="678"/>
      <c r="B583" s="678"/>
      <c r="C583" s="681"/>
      <c r="D583" s="678"/>
      <c r="E583" s="678"/>
      <c r="F583" s="681"/>
      <c r="G583" s="678"/>
      <c r="H583" s="534"/>
      <c r="I583" s="681"/>
      <c r="J583" s="681"/>
      <c r="K583" s="681"/>
      <c r="L583" s="681"/>
      <c r="M583" s="681"/>
      <c r="N583" s="681"/>
      <c r="O583" s="681"/>
      <c r="P583" s="681"/>
      <c r="Q583" s="681"/>
      <c r="R583" s="681"/>
      <c r="S583" s="681"/>
      <c r="T583" s="534"/>
    </row>
    <row r="584" spans="1:20">
      <c r="A584" s="678"/>
      <c r="B584" s="678"/>
      <c r="C584" s="681"/>
      <c r="D584" s="678"/>
      <c r="E584" s="678"/>
      <c r="F584" s="681"/>
      <c r="G584" s="678"/>
      <c r="H584" s="534" t="s">
        <v>1155</v>
      </c>
      <c r="I584" s="681"/>
      <c r="J584" s="681"/>
      <c r="K584" s="681"/>
      <c r="L584" s="681"/>
      <c r="M584" s="681"/>
      <c r="N584" s="681"/>
      <c r="O584" s="681"/>
      <c r="P584" s="681"/>
      <c r="Q584" s="681"/>
      <c r="R584" s="681"/>
      <c r="S584" s="681"/>
      <c r="T584" s="534"/>
    </row>
    <row r="585" spans="1:20">
      <c r="A585" s="678"/>
      <c r="B585" s="678"/>
      <c r="C585" s="681"/>
      <c r="D585" s="678"/>
      <c r="E585" s="678"/>
      <c r="F585" s="681"/>
      <c r="G585" s="678"/>
      <c r="H585" s="534" t="s">
        <v>1731</v>
      </c>
      <c r="I585" s="681"/>
      <c r="J585" s="681"/>
      <c r="K585" s="681"/>
      <c r="L585" s="681"/>
      <c r="M585" s="681"/>
      <c r="N585" s="681"/>
      <c r="O585" s="681"/>
      <c r="P585" s="681"/>
      <c r="Q585" s="681"/>
      <c r="R585" s="681"/>
      <c r="S585" s="681"/>
      <c r="T585" s="534"/>
    </row>
    <row r="586" spans="1:20">
      <c r="A586" s="679"/>
      <c r="B586" s="679"/>
      <c r="C586" s="682"/>
      <c r="D586" s="679"/>
      <c r="E586" s="679"/>
      <c r="F586" s="682"/>
      <c r="G586" s="679"/>
      <c r="H586" s="535" t="s">
        <v>1701</v>
      </c>
      <c r="I586" s="682"/>
      <c r="J586" s="682"/>
      <c r="K586" s="682"/>
      <c r="L586" s="682"/>
      <c r="M586" s="682"/>
      <c r="N586" s="682"/>
      <c r="O586" s="682"/>
      <c r="P586" s="682"/>
      <c r="Q586" s="682"/>
      <c r="R586" s="682"/>
      <c r="S586" s="682"/>
      <c r="T586" s="535"/>
    </row>
    <row r="587" spans="1:20">
      <c r="A587" s="677" t="s">
        <v>1732</v>
      </c>
      <c r="B587" s="677" t="s">
        <v>1733</v>
      </c>
      <c r="C587" s="680">
        <v>17100</v>
      </c>
      <c r="D587" s="677" t="s">
        <v>1734</v>
      </c>
      <c r="E587" s="677">
        <v>10025</v>
      </c>
      <c r="F587" s="680"/>
      <c r="G587" s="677"/>
      <c r="H587" s="680"/>
      <c r="I587" s="680"/>
      <c r="J587" s="680"/>
      <c r="K587" s="680"/>
      <c r="L587" s="680"/>
      <c r="M587" s="680"/>
      <c r="N587" s="680"/>
      <c r="O587" s="680"/>
      <c r="P587" s="680"/>
      <c r="Q587" s="680"/>
      <c r="R587" s="680"/>
      <c r="S587" s="680"/>
      <c r="T587" s="533" t="s">
        <v>1669</v>
      </c>
    </row>
    <row r="588" spans="1:20">
      <c r="A588" s="678"/>
      <c r="B588" s="678"/>
      <c r="C588" s="681"/>
      <c r="D588" s="678"/>
      <c r="E588" s="678"/>
      <c r="F588" s="681"/>
      <c r="G588" s="678"/>
      <c r="H588" s="681"/>
      <c r="I588" s="681"/>
      <c r="J588" s="681"/>
      <c r="K588" s="681"/>
      <c r="L588" s="681"/>
      <c r="M588" s="681"/>
      <c r="N588" s="681"/>
      <c r="O588" s="681"/>
      <c r="P588" s="681"/>
      <c r="Q588" s="681"/>
      <c r="R588" s="681"/>
      <c r="S588" s="681"/>
      <c r="T588" s="534"/>
    </row>
    <row r="589" spans="1:20">
      <c r="A589" s="679"/>
      <c r="B589" s="679"/>
      <c r="C589" s="682"/>
      <c r="D589" s="679"/>
      <c r="E589" s="679"/>
      <c r="F589" s="682"/>
      <c r="G589" s="679"/>
      <c r="H589" s="682"/>
      <c r="I589" s="682"/>
      <c r="J589" s="682"/>
      <c r="K589" s="682"/>
      <c r="L589" s="682"/>
      <c r="M589" s="682"/>
      <c r="N589" s="682"/>
      <c r="O589" s="682"/>
      <c r="P589" s="682"/>
      <c r="Q589" s="682"/>
      <c r="R589" s="682"/>
      <c r="S589" s="682"/>
      <c r="T589" s="535" t="s">
        <v>1735</v>
      </c>
    </row>
    <row r="590" spans="1:20" ht="28.8">
      <c r="A590" s="536" t="s">
        <v>1736</v>
      </c>
      <c r="B590" s="536" t="s">
        <v>1737</v>
      </c>
      <c r="C590" s="537"/>
      <c r="D590" s="536" t="s">
        <v>1738</v>
      </c>
      <c r="E590" s="536" t="s">
        <v>1739</v>
      </c>
      <c r="F590" s="537"/>
      <c r="G590" s="536"/>
      <c r="H590" s="537" t="s">
        <v>1740</v>
      </c>
      <c r="I590" s="537" t="s">
        <v>1306</v>
      </c>
      <c r="J590" s="537" t="s">
        <v>1597</v>
      </c>
      <c r="K590" s="537" t="s">
        <v>1316</v>
      </c>
      <c r="L590" s="537" t="s">
        <v>398</v>
      </c>
      <c r="M590" s="537" t="s">
        <v>1285</v>
      </c>
      <c r="N590" s="537"/>
      <c r="O590" s="537"/>
      <c r="P590" s="537"/>
      <c r="Q590" s="537"/>
      <c r="R590" s="537"/>
      <c r="S590" s="537"/>
      <c r="T590" s="537" t="s">
        <v>996</v>
      </c>
    </row>
    <row r="591" spans="1:20" ht="28.8">
      <c r="A591" s="677" t="s">
        <v>1741</v>
      </c>
      <c r="B591" s="677" t="s">
        <v>1742</v>
      </c>
      <c r="C591" s="680"/>
      <c r="D591" s="677" t="s">
        <v>1743</v>
      </c>
      <c r="E591" s="677" t="s">
        <v>1744</v>
      </c>
      <c r="F591" s="680"/>
      <c r="G591" s="677"/>
      <c r="H591" s="533" t="s">
        <v>1745</v>
      </c>
      <c r="I591" s="680" t="s">
        <v>1509</v>
      </c>
      <c r="J591" s="680" t="s">
        <v>1064</v>
      </c>
      <c r="K591" s="680" t="s">
        <v>1747</v>
      </c>
      <c r="L591" s="680" t="s">
        <v>398</v>
      </c>
      <c r="M591" s="680" t="s">
        <v>1386</v>
      </c>
      <c r="N591" s="680"/>
      <c r="O591" s="680"/>
      <c r="P591" s="680"/>
      <c r="Q591" s="680"/>
      <c r="R591" s="680"/>
      <c r="S591" s="680" t="s">
        <v>1625</v>
      </c>
      <c r="T591" s="533" t="s">
        <v>1748</v>
      </c>
    </row>
    <row r="592" spans="1:20">
      <c r="A592" s="679"/>
      <c r="B592" s="679"/>
      <c r="C592" s="682"/>
      <c r="D592" s="679"/>
      <c r="E592" s="679"/>
      <c r="F592" s="682"/>
      <c r="G592" s="679"/>
      <c r="H592" s="535" t="s">
        <v>1746</v>
      </c>
      <c r="I592" s="682"/>
      <c r="J592" s="682"/>
      <c r="K592" s="682"/>
      <c r="L592" s="682"/>
      <c r="M592" s="682"/>
      <c r="N592" s="682"/>
      <c r="O592" s="682"/>
      <c r="P592" s="682"/>
      <c r="Q592" s="682"/>
      <c r="R592" s="682"/>
      <c r="S592" s="682"/>
      <c r="T592" s="535" t="s">
        <v>996</v>
      </c>
    </row>
    <row r="593" spans="1:20" ht="28.8">
      <c r="A593" s="536" t="s">
        <v>1749</v>
      </c>
      <c r="B593" s="536" t="s">
        <v>1750</v>
      </c>
      <c r="C593" s="537"/>
      <c r="D593" s="536" t="s">
        <v>1751</v>
      </c>
      <c r="E593" s="536" t="s">
        <v>1739</v>
      </c>
      <c r="F593" s="537"/>
      <c r="G593" s="536"/>
      <c r="H593" s="537" t="s">
        <v>1752</v>
      </c>
      <c r="I593" s="537" t="s">
        <v>1306</v>
      </c>
      <c r="J593" s="537" t="s">
        <v>1064</v>
      </c>
      <c r="K593" s="537" t="s">
        <v>1753</v>
      </c>
      <c r="L593" s="537" t="s">
        <v>398</v>
      </c>
      <c r="M593" s="537" t="s">
        <v>1386</v>
      </c>
      <c r="N593" s="537"/>
      <c r="O593" s="537"/>
      <c r="P593" s="537"/>
      <c r="Q593" s="537"/>
      <c r="R593" s="537"/>
      <c r="S593" s="537" t="s">
        <v>1625</v>
      </c>
      <c r="T593" s="537" t="s">
        <v>996</v>
      </c>
    </row>
    <row r="594" spans="1:20" ht="43.2">
      <c r="A594" s="677" t="s">
        <v>1754</v>
      </c>
      <c r="B594" s="677" t="s">
        <v>1755</v>
      </c>
      <c r="C594" s="680"/>
      <c r="D594" s="677" t="s">
        <v>1756</v>
      </c>
      <c r="E594" s="677" t="s">
        <v>1744</v>
      </c>
      <c r="F594" s="680"/>
      <c r="G594" s="677"/>
      <c r="H594" s="680"/>
      <c r="I594" s="680"/>
      <c r="J594" s="680"/>
      <c r="K594" s="680"/>
      <c r="L594" s="680"/>
      <c r="M594" s="680"/>
      <c r="N594" s="680"/>
      <c r="O594" s="680"/>
      <c r="P594" s="680"/>
      <c r="Q594" s="680"/>
      <c r="R594" s="680"/>
      <c r="S594" s="680"/>
      <c r="T594" s="533" t="s">
        <v>1757</v>
      </c>
    </row>
    <row r="595" spans="1:20" ht="43.2">
      <c r="A595" s="679"/>
      <c r="B595" s="679"/>
      <c r="C595" s="682"/>
      <c r="D595" s="679"/>
      <c r="E595" s="679"/>
      <c r="F595" s="682"/>
      <c r="G595" s="679"/>
      <c r="H595" s="682"/>
      <c r="I595" s="682"/>
      <c r="J595" s="682"/>
      <c r="K595" s="682"/>
      <c r="L595" s="682"/>
      <c r="M595" s="682"/>
      <c r="N595" s="682"/>
      <c r="O595" s="682"/>
      <c r="P595" s="682"/>
      <c r="Q595" s="682"/>
      <c r="R595" s="682"/>
      <c r="S595" s="682"/>
      <c r="T595" s="535" t="s">
        <v>1758</v>
      </c>
    </row>
    <row r="596" spans="1:20">
      <c r="A596" s="677" t="s">
        <v>1759</v>
      </c>
      <c r="B596" s="677" t="s">
        <v>1760</v>
      </c>
      <c r="C596" s="680"/>
      <c r="D596" s="677" t="s">
        <v>1761</v>
      </c>
      <c r="E596" s="677" t="s">
        <v>1739</v>
      </c>
      <c r="F596" s="680"/>
      <c r="G596" s="677"/>
      <c r="H596" s="680" t="s">
        <v>1762</v>
      </c>
      <c r="I596" s="680" t="s">
        <v>1361</v>
      </c>
      <c r="J596" s="680" t="s">
        <v>1597</v>
      </c>
      <c r="K596" s="680" t="s">
        <v>991</v>
      </c>
      <c r="L596" s="680" t="s">
        <v>398</v>
      </c>
      <c r="M596" s="680" t="s">
        <v>1285</v>
      </c>
      <c r="N596" s="680"/>
      <c r="O596" s="680"/>
      <c r="P596" s="680"/>
      <c r="Q596" s="680"/>
      <c r="R596" s="680" t="s">
        <v>1763</v>
      </c>
      <c r="S596" s="680"/>
      <c r="T596" s="533" t="s">
        <v>1764</v>
      </c>
    </row>
    <row r="597" spans="1:20" ht="43.2">
      <c r="A597" s="678"/>
      <c r="B597" s="678"/>
      <c r="C597" s="681"/>
      <c r="D597" s="678"/>
      <c r="E597" s="678"/>
      <c r="F597" s="681"/>
      <c r="G597" s="678"/>
      <c r="H597" s="681"/>
      <c r="I597" s="681"/>
      <c r="J597" s="681"/>
      <c r="K597" s="681"/>
      <c r="L597" s="681"/>
      <c r="M597" s="681"/>
      <c r="N597" s="681"/>
      <c r="O597" s="681"/>
      <c r="P597" s="681"/>
      <c r="Q597" s="681"/>
      <c r="R597" s="681"/>
      <c r="S597" s="681"/>
      <c r="T597" s="534" t="s">
        <v>1757</v>
      </c>
    </row>
    <row r="598" spans="1:20" ht="43.2">
      <c r="A598" s="679"/>
      <c r="B598" s="679"/>
      <c r="C598" s="682"/>
      <c r="D598" s="679"/>
      <c r="E598" s="679"/>
      <c r="F598" s="682"/>
      <c r="G598" s="679"/>
      <c r="H598" s="682"/>
      <c r="I598" s="682"/>
      <c r="J598" s="682"/>
      <c r="K598" s="682"/>
      <c r="L598" s="682"/>
      <c r="M598" s="682"/>
      <c r="N598" s="682"/>
      <c r="O598" s="682"/>
      <c r="P598" s="682"/>
      <c r="Q598" s="682"/>
      <c r="R598" s="682"/>
      <c r="S598" s="682"/>
      <c r="T598" s="535" t="s">
        <v>1765</v>
      </c>
    </row>
    <row r="599" spans="1:20">
      <c r="A599" s="677" t="s">
        <v>1766</v>
      </c>
      <c r="B599" s="677" t="s">
        <v>1767</v>
      </c>
      <c r="C599" s="680"/>
      <c r="D599" s="677" t="s">
        <v>1768</v>
      </c>
      <c r="E599" s="677" t="s">
        <v>1744</v>
      </c>
      <c r="F599" s="680"/>
      <c r="G599" s="677"/>
      <c r="H599" s="533" t="s">
        <v>1769</v>
      </c>
      <c r="I599" s="680" t="s">
        <v>1509</v>
      </c>
      <c r="J599" s="680" t="s">
        <v>1064</v>
      </c>
      <c r="K599" s="680" t="s">
        <v>991</v>
      </c>
      <c r="L599" s="680" t="s">
        <v>398</v>
      </c>
      <c r="M599" s="680" t="s">
        <v>1625</v>
      </c>
      <c r="N599" s="680"/>
      <c r="O599" s="680"/>
      <c r="P599" s="680"/>
      <c r="Q599" s="680"/>
      <c r="R599" s="680" t="s">
        <v>1401</v>
      </c>
      <c r="S599" s="680"/>
      <c r="T599" s="533" t="s">
        <v>1771</v>
      </c>
    </row>
    <row r="600" spans="1:20" ht="28.8">
      <c r="A600" s="679"/>
      <c r="B600" s="679"/>
      <c r="C600" s="682"/>
      <c r="D600" s="679"/>
      <c r="E600" s="679"/>
      <c r="F600" s="682"/>
      <c r="G600" s="679"/>
      <c r="H600" s="535" t="s">
        <v>1770</v>
      </c>
      <c r="I600" s="682"/>
      <c r="J600" s="682"/>
      <c r="K600" s="682"/>
      <c r="L600" s="682"/>
      <c r="M600" s="682"/>
      <c r="N600" s="682"/>
      <c r="O600" s="682"/>
      <c r="P600" s="682"/>
      <c r="Q600" s="682"/>
      <c r="R600" s="682"/>
      <c r="S600" s="682"/>
      <c r="T600" s="535" t="s">
        <v>996</v>
      </c>
    </row>
    <row r="601" spans="1:20">
      <c r="A601" s="536" t="s">
        <v>1772</v>
      </c>
      <c r="B601" s="536" t="s">
        <v>1773</v>
      </c>
      <c r="C601" s="537"/>
      <c r="D601" s="536" t="s">
        <v>1774</v>
      </c>
      <c r="E601" s="536" t="s">
        <v>1739</v>
      </c>
      <c r="F601" s="537"/>
      <c r="G601" s="536"/>
      <c r="H601" s="537"/>
      <c r="I601" s="537"/>
      <c r="J601" s="537"/>
      <c r="K601" s="537"/>
      <c r="L601" s="537"/>
      <c r="M601" s="537"/>
      <c r="N601" s="537"/>
      <c r="O601" s="537"/>
      <c r="P601" s="537"/>
      <c r="Q601" s="537"/>
      <c r="R601" s="537"/>
      <c r="S601" s="537"/>
      <c r="T601" s="537" t="s">
        <v>996</v>
      </c>
    </row>
    <row r="602" spans="1:20">
      <c r="A602" s="677" t="s">
        <v>1775</v>
      </c>
      <c r="B602" s="677" t="s">
        <v>1776</v>
      </c>
      <c r="C602" s="680"/>
      <c r="D602" s="677" t="s">
        <v>1777</v>
      </c>
      <c r="E602" s="677" t="s">
        <v>1744</v>
      </c>
      <c r="F602" s="680"/>
      <c r="G602" s="677"/>
      <c r="H602" s="680"/>
      <c r="I602" s="680" t="s">
        <v>1509</v>
      </c>
      <c r="J602" s="680" t="s">
        <v>1064</v>
      </c>
      <c r="K602" s="680" t="s">
        <v>991</v>
      </c>
      <c r="L602" s="680" t="s">
        <v>398</v>
      </c>
      <c r="M602" s="680" t="s">
        <v>1625</v>
      </c>
      <c r="N602" s="680"/>
      <c r="O602" s="680"/>
      <c r="P602" s="680"/>
      <c r="Q602" s="680"/>
      <c r="R602" s="680" t="s">
        <v>1401</v>
      </c>
      <c r="S602" s="680" t="s">
        <v>1625</v>
      </c>
      <c r="T602" s="533" t="s">
        <v>1778</v>
      </c>
    </row>
    <row r="603" spans="1:20">
      <c r="A603" s="679"/>
      <c r="B603" s="679"/>
      <c r="C603" s="682"/>
      <c r="D603" s="679"/>
      <c r="E603" s="679"/>
      <c r="F603" s="682"/>
      <c r="G603" s="679"/>
      <c r="H603" s="682"/>
      <c r="I603" s="682"/>
      <c r="J603" s="682"/>
      <c r="K603" s="682"/>
      <c r="L603" s="682"/>
      <c r="M603" s="682"/>
      <c r="N603" s="682"/>
      <c r="O603" s="682"/>
      <c r="P603" s="682"/>
      <c r="Q603" s="682"/>
      <c r="R603" s="682"/>
      <c r="S603" s="682"/>
      <c r="T603" s="535" t="s">
        <v>996</v>
      </c>
    </row>
    <row r="604" spans="1:20">
      <c r="A604" s="677" t="s">
        <v>1779</v>
      </c>
      <c r="B604" s="677" t="s">
        <v>1780</v>
      </c>
      <c r="C604" s="680"/>
      <c r="D604" s="677" t="s">
        <v>1781</v>
      </c>
      <c r="E604" s="677" t="s">
        <v>1744</v>
      </c>
      <c r="F604" s="680"/>
      <c r="G604" s="677"/>
      <c r="H604" s="533" t="s">
        <v>1782</v>
      </c>
      <c r="I604" s="680" t="s">
        <v>1509</v>
      </c>
      <c r="J604" s="680" t="s">
        <v>1064</v>
      </c>
      <c r="K604" s="680" t="s">
        <v>1474</v>
      </c>
      <c r="L604" s="680" t="s">
        <v>398</v>
      </c>
      <c r="M604" s="680" t="s">
        <v>1625</v>
      </c>
      <c r="N604" s="680"/>
      <c r="O604" s="680"/>
      <c r="P604" s="680"/>
      <c r="Q604" s="680"/>
      <c r="R604" s="680" t="s">
        <v>1401</v>
      </c>
      <c r="S604" s="680" t="s">
        <v>1625</v>
      </c>
      <c r="T604" s="533" t="s">
        <v>1771</v>
      </c>
    </row>
    <row r="605" spans="1:20" ht="28.8">
      <c r="A605" s="678"/>
      <c r="B605" s="678"/>
      <c r="C605" s="681"/>
      <c r="D605" s="678"/>
      <c r="E605" s="678"/>
      <c r="F605" s="681"/>
      <c r="G605" s="678"/>
      <c r="H605" s="534" t="s">
        <v>1783</v>
      </c>
      <c r="I605" s="681"/>
      <c r="J605" s="681"/>
      <c r="K605" s="681"/>
      <c r="L605" s="681"/>
      <c r="M605" s="681"/>
      <c r="N605" s="681"/>
      <c r="O605" s="681"/>
      <c r="P605" s="681"/>
      <c r="Q605" s="681"/>
      <c r="R605" s="681"/>
      <c r="S605" s="681"/>
      <c r="T605" s="534" t="s">
        <v>1784</v>
      </c>
    </row>
    <row r="606" spans="1:20">
      <c r="A606" s="679"/>
      <c r="B606" s="679"/>
      <c r="C606" s="682"/>
      <c r="D606" s="679"/>
      <c r="E606" s="679"/>
      <c r="F606" s="682"/>
      <c r="G606" s="679"/>
      <c r="H606" s="535"/>
      <c r="I606" s="682"/>
      <c r="J606" s="682"/>
      <c r="K606" s="682"/>
      <c r="L606" s="682"/>
      <c r="M606" s="682"/>
      <c r="N606" s="682"/>
      <c r="O606" s="682"/>
      <c r="P606" s="682"/>
      <c r="Q606" s="682"/>
      <c r="R606" s="682"/>
      <c r="S606" s="682"/>
      <c r="T606" s="535" t="s">
        <v>996</v>
      </c>
    </row>
    <row r="607" spans="1:20" ht="28.8">
      <c r="A607" s="677" t="s">
        <v>1785</v>
      </c>
      <c r="B607" s="677" t="s">
        <v>1786</v>
      </c>
      <c r="C607" s="680"/>
      <c r="D607" s="677" t="s">
        <v>1787</v>
      </c>
      <c r="E607" s="677" t="s">
        <v>1744</v>
      </c>
      <c r="F607" s="680"/>
      <c r="G607" s="677"/>
      <c r="H607" s="533" t="s">
        <v>1788</v>
      </c>
      <c r="I607" s="680" t="s">
        <v>1509</v>
      </c>
      <c r="J607" s="680" t="s">
        <v>1064</v>
      </c>
      <c r="K607" s="680" t="s">
        <v>1790</v>
      </c>
      <c r="L607" s="680" t="s">
        <v>398</v>
      </c>
      <c r="M607" s="680" t="s">
        <v>1625</v>
      </c>
      <c r="N607" s="680"/>
      <c r="O607" s="680"/>
      <c r="P607" s="680"/>
      <c r="Q607" s="680"/>
      <c r="R607" s="680"/>
      <c r="S607" s="680" t="s">
        <v>1625</v>
      </c>
      <c r="T607" s="533" t="s">
        <v>1778</v>
      </c>
    </row>
    <row r="608" spans="1:20" ht="28.8">
      <c r="A608" s="679"/>
      <c r="B608" s="679"/>
      <c r="C608" s="682"/>
      <c r="D608" s="679"/>
      <c r="E608" s="679"/>
      <c r="F608" s="682"/>
      <c r="G608" s="679"/>
      <c r="H608" s="535" t="s">
        <v>1789</v>
      </c>
      <c r="I608" s="682"/>
      <c r="J608" s="682"/>
      <c r="K608" s="682"/>
      <c r="L608" s="682"/>
      <c r="M608" s="682"/>
      <c r="N608" s="682"/>
      <c r="O608" s="682"/>
      <c r="P608" s="682"/>
      <c r="Q608" s="682"/>
      <c r="R608" s="682"/>
      <c r="S608" s="682"/>
      <c r="T608" s="535" t="s">
        <v>996</v>
      </c>
    </row>
    <row r="609" spans="1:20">
      <c r="A609" s="536"/>
      <c r="T609" s="541"/>
    </row>
    <row r="610" spans="1:20">
      <c r="A610" s="536" t="s">
        <v>1791</v>
      </c>
      <c r="B610" s="536" t="s">
        <v>1792</v>
      </c>
      <c r="C610" s="537"/>
      <c r="D610" s="536" t="s">
        <v>1793</v>
      </c>
      <c r="E610" s="536" t="s">
        <v>1348</v>
      </c>
      <c r="F610" s="537"/>
      <c r="G610" s="536"/>
      <c r="H610" s="537"/>
      <c r="T610" s="541"/>
    </row>
    <row r="611" spans="1:20">
      <c r="A611" s="536" t="s">
        <v>1794</v>
      </c>
      <c r="B611" s="536" t="s">
        <v>1795</v>
      </c>
      <c r="C611" s="537"/>
      <c r="D611" s="536" t="s">
        <v>1796</v>
      </c>
      <c r="E611" s="536" t="s">
        <v>1348</v>
      </c>
      <c r="F611" s="537"/>
      <c r="G611" s="536"/>
      <c r="H611" s="537"/>
      <c r="T611" s="541"/>
    </row>
    <row r="612" spans="1:20">
      <c r="A612" s="536" t="s">
        <v>1797</v>
      </c>
      <c r="B612" s="536" t="s">
        <v>1798</v>
      </c>
      <c r="C612" s="537"/>
      <c r="D612" s="536" t="s">
        <v>1799</v>
      </c>
      <c r="E612" s="536" t="s">
        <v>1800</v>
      </c>
      <c r="F612" s="537"/>
      <c r="G612" s="536"/>
      <c r="H612" s="537"/>
      <c r="T612" s="541"/>
    </row>
    <row r="613" spans="1:20">
      <c r="A613" s="536" t="s">
        <v>1801</v>
      </c>
      <c r="B613" s="536" t="s">
        <v>1802</v>
      </c>
      <c r="C613" s="537">
        <v>5515</v>
      </c>
      <c r="D613" s="536" t="s">
        <v>1803</v>
      </c>
      <c r="E613" s="536" t="s">
        <v>1800</v>
      </c>
      <c r="F613" s="537"/>
      <c r="G613" s="536"/>
      <c r="H613" s="537" t="s">
        <v>1804</v>
      </c>
      <c r="I613" s="536" t="s">
        <v>1805</v>
      </c>
      <c r="J613" s="536" t="s">
        <v>1806</v>
      </c>
      <c r="K613" s="536" t="s">
        <v>1807</v>
      </c>
      <c r="L613" s="536" t="s">
        <v>398</v>
      </c>
      <c r="M613" s="536" t="s">
        <v>1625</v>
      </c>
      <c r="N613" s="536" t="s">
        <v>1402</v>
      </c>
      <c r="O613" s="536" t="s">
        <v>1064</v>
      </c>
      <c r="P613" s="536"/>
      <c r="Q613" s="536"/>
      <c r="R613" s="536"/>
      <c r="S613" s="536"/>
      <c r="T613" s="537" t="s">
        <v>1808</v>
      </c>
    </row>
    <row r="614" spans="1:20" ht="14.4" customHeight="1">
      <c r="A614" s="677" t="s">
        <v>1809</v>
      </c>
      <c r="B614" s="677" t="s">
        <v>1810</v>
      </c>
      <c r="C614" s="680">
        <v>17210</v>
      </c>
      <c r="D614" s="677" t="s">
        <v>1811</v>
      </c>
      <c r="E614" s="677" t="s">
        <v>1800</v>
      </c>
      <c r="F614" s="680">
        <v>15</v>
      </c>
      <c r="G614" s="677" t="s">
        <v>1658</v>
      </c>
      <c r="H614" s="533" t="s">
        <v>1812</v>
      </c>
      <c r="I614" s="677" t="s">
        <v>1063</v>
      </c>
      <c r="J614" s="677" t="s">
        <v>1499</v>
      </c>
      <c r="K614" s="677" t="s">
        <v>1807</v>
      </c>
      <c r="L614" s="677" t="s">
        <v>1055</v>
      </c>
      <c r="M614" s="677"/>
      <c r="N614" s="677"/>
      <c r="O614" s="677"/>
      <c r="P614" s="677"/>
      <c r="Q614" s="677"/>
      <c r="R614" s="677" t="s">
        <v>1308</v>
      </c>
      <c r="S614" s="677"/>
      <c r="T614" s="680" t="s">
        <v>1808</v>
      </c>
    </row>
    <row r="615" spans="1:20">
      <c r="A615" s="678"/>
      <c r="B615" s="678"/>
      <c r="C615" s="681"/>
      <c r="D615" s="678"/>
      <c r="E615" s="678"/>
      <c r="F615" s="681"/>
      <c r="G615" s="678"/>
      <c r="H615" s="534" t="s">
        <v>1813</v>
      </c>
      <c r="I615" s="678"/>
      <c r="J615" s="678"/>
      <c r="K615" s="678"/>
      <c r="L615" s="678"/>
      <c r="M615" s="678"/>
      <c r="N615" s="678"/>
      <c r="O615" s="678"/>
      <c r="P615" s="678"/>
      <c r="Q615" s="678"/>
      <c r="R615" s="678"/>
      <c r="S615" s="678"/>
      <c r="T615" s="681"/>
    </row>
    <row r="616" spans="1:20">
      <c r="A616" s="679"/>
      <c r="B616" s="679"/>
      <c r="C616" s="682"/>
      <c r="D616" s="679"/>
      <c r="E616" s="679"/>
      <c r="F616" s="682"/>
      <c r="G616" s="679"/>
      <c r="H616" s="535" t="s">
        <v>1814</v>
      </c>
      <c r="I616" s="679"/>
      <c r="J616" s="679"/>
      <c r="K616" s="679"/>
      <c r="L616" s="679"/>
      <c r="M616" s="679"/>
      <c r="N616" s="679"/>
      <c r="O616" s="679"/>
      <c r="P616" s="679"/>
      <c r="Q616" s="679"/>
      <c r="R616" s="679"/>
      <c r="S616" s="679"/>
      <c r="T616" s="682"/>
    </row>
    <row r="617" spans="1:20" ht="28.8">
      <c r="A617" s="536" t="s">
        <v>1815</v>
      </c>
      <c r="B617" s="536" t="s">
        <v>1816</v>
      </c>
      <c r="C617" s="537">
        <v>17200</v>
      </c>
      <c r="D617" s="536" t="s">
        <v>1817</v>
      </c>
      <c r="E617" s="536" t="s">
        <v>1800</v>
      </c>
      <c r="F617" s="537">
        <v>25</v>
      </c>
      <c r="G617" s="536" t="s">
        <v>1658</v>
      </c>
      <c r="H617" s="537"/>
      <c r="I617" s="536" t="s">
        <v>1818</v>
      </c>
      <c r="J617" s="536" t="s">
        <v>1281</v>
      </c>
      <c r="K617" s="536" t="s">
        <v>1807</v>
      </c>
      <c r="L617" s="536" t="s">
        <v>1145</v>
      </c>
      <c r="M617" s="536" t="s">
        <v>993</v>
      </c>
      <c r="N617" s="536"/>
      <c r="O617" s="536"/>
      <c r="P617" s="536"/>
      <c r="Q617" s="536"/>
      <c r="R617" s="536" t="s">
        <v>1819</v>
      </c>
      <c r="S617" s="536"/>
      <c r="T617" s="537" t="s">
        <v>1820</v>
      </c>
    </row>
    <row r="618" spans="1:20">
      <c r="A618" s="536" t="s">
        <v>1821</v>
      </c>
      <c r="B618" s="536" t="s">
        <v>1822</v>
      </c>
      <c r="C618" s="537"/>
      <c r="D618" s="536" t="s">
        <v>1823</v>
      </c>
      <c r="E618" s="536" t="s">
        <v>1800</v>
      </c>
      <c r="F618" s="537"/>
      <c r="G618" s="536"/>
      <c r="H618" s="537"/>
      <c r="T618" s="541"/>
    </row>
    <row r="619" spans="1:20">
      <c r="A619" s="536" t="s">
        <v>1824</v>
      </c>
      <c r="B619" s="536" t="s">
        <v>1825</v>
      </c>
      <c r="C619" s="537"/>
      <c r="D619" s="536" t="s">
        <v>1826</v>
      </c>
      <c r="E619" s="536" t="s">
        <v>1800</v>
      </c>
      <c r="F619" s="537"/>
      <c r="G619" s="536"/>
      <c r="H619" s="537"/>
      <c r="T619" s="541"/>
    </row>
    <row r="620" spans="1:20">
      <c r="A620" s="677" t="s">
        <v>1827</v>
      </c>
      <c r="B620" s="677" t="s">
        <v>1828</v>
      </c>
      <c r="C620" s="680"/>
      <c r="D620" s="677" t="s">
        <v>1829</v>
      </c>
      <c r="E620" s="677">
        <v>10293</v>
      </c>
      <c r="F620" s="680" t="s">
        <v>1830</v>
      </c>
      <c r="G620" s="677" t="s">
        <v>1831</v>
      </c>
      <c r="H620" s="533" t="s">
        <v>1832</v>
      </c>
      <c r="I620" s="677" t="s">
        <v>1836</v>
      </c>
      <c r="J620" s="677" t="s">
        <v>1806</v>
      </c>
      <c r="K620" s="677" t="s">
        <v>1837</v>
      </c>
      <c r="L620" s="677" t="s">
        <v>1055</v>
      </c>
      <c r="M620" s="677" t="s">
        <v>1145</v>
      </c>
      <c r="N620" s="677" t="s">
        <v>993</v>
      </c>
      <c r="O620" s="677"/>
      <c r="P620" s="677"/>
      <c r="Q620" s="677"/>
      <c r="R620" s="677"/>
      <c r="S620" s="677"/>
      <c r="T620" s="680" t="s">
        <v>1838</v>
      </c>
    </row>
    <row r="621" spans="1:20">
      <c r="A621" s="678"/>
      <c r="B621" s="678"/>
      <c r="C621" s="681"/>
      <c r="D621" s="678"/>
      <c r="E621" s="678"/>
      <c r="F621" s="681"/>
      <c r="G621" s="678"/>
      <c r="H621" s="534"/>
      <c r="I621" s="678"/>
      <c r="J621" s="678"/>
      <c r="K621" s="678"/>
      <c r="L621" s="678"/>
      <c r="M621" s="678"/>
      <c r="N621" s="678"/>
      <c r="O621" s="678"/>
      <c r="P621" s="678"/>
      <c r="Q621" s="678"/>
      <c r="R621" s="678"/>
      <c r="S621" s="678"/>
      <c r="T621" s="681"/>
    </row>
    <row r="622" spans="1:20">
      <c r="A622" s="678"/>
      <c r="B622" s="678"/>
      <c r="C622" s="681"/>
      <c r="D622" s="678"/>
      <c r="E622" s="678"/>
      <c r="F622" s="681"/>
      <c r="G622" s="678"/>
      <c r="H622" s="534" t="s">
        <v>1151</v>
      </c>
      <c r="I622" s="678"/>
      <c r="J622" s="678"/>
      <c r="K622" s="678"/>
      <c r="L622" s="678"/>
      <c r="M622" s="678"/>
      <c r="N622" s="678"/>
      <c r="O622" s="678"/>
      <c r="P622" s="678"/>
      <c r="Q622" s="678"/>
      <c r="R622" s="678"/>
      <c r="S622" s="678"/>
      <c r="T622" s="681"/>
    </row>
    <row r="623" spans="1:20">
      <c r="A623" s="678"/>
      <c r="B623" s="678"/>
      <c r="C623" s="681"/>
      <c r="D623" s="678"/>
      <c r="E623" s="678"/>
      <c r="F623" s="681"/>
      <c r="G623" s="678"/>
      <c r="H623" s="534" t="s">
        <v>1833</v>
      </c>
      <c r="I623" s="678"/>
      <c r="J623" s="678"/>
      <c r="K623" s="678"/>
      <c r="L623" s="678"/>
      <c r="M623" s="678"/>
      <c r="N623" s="678"/>
      <c r="O623" s="678"/>
      <c r="P623" s="678"/>
      <c r="Q623" s="678"/>
      <c r="R623" s="678"/>
      <c r="S623" s="678"/>
      <c r="T623" s="681"/>
    </row>
    <row r="624" spans="1:20">
      <c r="A624" s="678"/>
      <c r="B624" s="678"/>
      <c r="C624" s="681"/>
      <c r="D624" s="678"/>
      <c r="E624" s="678"/>
      <c r="F624" s="681"/>
      <c r="G624" s="678"/>
      <c r="H624" s="534" t="s">
        <v>1834</v>
      </c>
      <c r="I624" s="678"/>
      <c r="J624" s="678"/>
      <c r="K624" s="678"/>
      <c r="L624" s="678"/>
      <c r="M624" s="678"/>
      <c r="N624" s="678"/>
      <c r="O624" s="678"/>
      <c r="P624" s="678"/>
      <c r="Q624" s="678"/>
      <c r="R624" s="678"/>
      <c r="S624" s="678"/>
      <c r="T624" s="681"/>
    </row>
    <row r="625" spans="1:20">
      <c r="A625" s="678"/>
      <c r="B625" s="678"/>
      <c r="C625" s="681"/>
      <c r="D625" s="678"/>
      <c r="E625" s="678"/>
      <c r="F625" s="681"/>
      <c r="G625" s="678"/>
      <c r="H625" s="534"/>
      <c r="I625" s="678"/>
      <c r="J625" s="678"/>
      <c r="K625" s="678"/>
      <c r="L625" s="678"/>
      <c r="M625" s="678"/>
      <c r="N625" s="678"/>
      <c r="O625" s="678"/>
      <c r="P625" s="678"/>
      <c r="Q625" s="678"/>
      <c r="R625" s="678"/>
      <c r="S625" s="678"/>
      <c r="T625" s="681"/>
    </row>
    <row r="626" spans="1:20">
      <c r="A626" s="679"/>
      <c r="B626" s="679"/>
      <c r="C626" s="682"/>
      <c r="D626" s="679"/>
      <c r="E626" s="679"/>
      <c r="F626" s="682"/>
      <c r="G626" s="679"/>
      <c r="H626" s="535" t="s">
        <v>1835</v>
      </c>
      <c r="I626" s="679"/>
      <c r="J626" s="679"/>
      <c r="K626" s="679"/>
      <c r="L626" s="679"/>
      <c r="M626" s="679"/>
      <c r="N626" s="679"/>
      <c r="O626" s="679"/>
      <c r="P626" s="679"/>
      <c r="Q626" s="679"/>
      <c r="R626" s="679"/>
      <c r="S626" s="679"/>
      <c r="T626" s="682"/>
    </row>
    <row r="627" spans="1:20">
      <c r="A627" s="536" t="s">
        <v>1839</v>
      </c>
      <c r="B627" s="536" t="s">
        <v>1840</v>
      </c>
      <c r="C627" s="537"/>
      <c r="D627" s="536" t="s">
        <v>1841</v>
      </c>
      <c r="E627" s="536" t="s">
        <v>1800</v>
      </c>
      <c r="F627" s="537"/>
      <c r="G627" s="536"/>
      <c r="H627" s="537"/>
      <c r="T627" s="541"/>
    </row>
    <row r="628" spans="1:20">
      <c r="A628" s="536" t="s">
        <v>1842</v>
      </c>
      <c r="B628" s="536" t="s">
        <v>1843</v>
      </c>
      <c r="C628" s="537"/>
      <c r="D628" s="536" t="s">
        <v>1844</v>
      </c>
      <c r="E628" s="536" t="s">
        <v>1800</v>
      </c>
      <c r="F628" s="537"/>
      <c r="G628" s="536"/>
      <c r="H628" s="537"/>
      <c r="T628" s="541"/>
    </row>
    <row r="629" spans="1:20">
      <c r="A629" s="536" t="s">
        <v>1845</v>
      </c>
      <c r="B629" s="536" t="s">
        <v>1846</v>
      </c>
      <c r="C629" s="537"/>
      <c r="D629" s="536" t="s">
        <v>1847</v>
      </c>
      <c r="E629" s="536" t="s">
        <v>1800</v>
      </c>
      <c r="F629" s="537"/>
      <c r="G629" s="536"/>
      <c r="H629" s="537"/>
      <c r="T629" s="541"/>
    </row>
    <row r="630" spans="1:20">
      <c r="A630" s="536" t="s">
        <v>1848</v>
      </c>
      <c r="B630" s="536" t="s">
        <v>1849</v>
      </c>
      <c r="C630" s="537"/>
      <c r="D630" s="536" t="s">
        <v>1850</v>
      </c>
      <c r="E630" s="536" t="s">
        <v>1800</v>
      </c>
      <c r="F630" s="537"/>
      <c r="G630" s="536"/>
      <c r="H630" s="537"/>
      <c r="T630" s="541"/>
    </row>
    <row r="631" spans="1:20" ht="43.2">
      <c r="A631" s="536" t="s">
        <v>1851</v>
      </c>
      <c r="B631" s="536" t="s">
        <v>1852</v>
      </c>
      <c r="C631" s="537">
        <v>17204</v>
      </c>
      <c r="D631" s="536" t="s">
        <v>1853</v>
      </c>
      <c r="E631" s="536" t="s">
        <v>1800</v>
      </c>
      <c r="F631" s="537"/>
      <c r="G631" s="536"/>
      <c r="H631" s="537" t="s">
        <v>1854</v>
      </c>
      <c r="I631" s="536" t="s">
        <v>1855</v>
      </c>
      <c r="J631" s="536" t="s">
        <v>1499</v>
      </c>
      <c r="K631" s="536" t="s">
        <v>1422</v>
      </c>
      <c r="L631" s="536" t="s">
        <v>398</v>
      </c>
      <c r="M631" s="536" t="s">
        <v>1145</v>
      </c>
      <c r="N631" s="536" t="s">
        <v>1143</v>
      </c>
      <c r="O631" s="536" t="s">
        <v>1143</v>
      </c>
      <c r="P631" s="536" t="s">
        <v>1856</v>
      </c>
      <c r="Q631" s="536"/>
      <c r="R631" s="536"/>
      <c r="S631" s="536"/>
      <c r="T631" s="537" t="s">
        <v>1857</v>
      </c>
    </row>
    <row r="632" spans="1:20">
      <c r="A632" s="536" t="s">
        <v>1858</v>
      </c>
      <c r="B632" s="536" t="s">
        <v>1859</v>
      </c>
      <c r="C632" s="537"/>
      <c r="D632" s="536" t="s">
        <v>1860</v>
      </c>
      <c r="E632" s="536" t="s">
        <v>1800</v>
      </c>
      <c r="F632" s="537"/>
      <c r="G632" s="536"/>
      <c r="H632" s="537"/>
      <c r="T632" s="541"/>
    </row>
    <row r="633" spans="1:20">
      <c r="A633" s="536" t="s">
        <v>1861</v>
      </c>
      <c r="B633" s="536" t="s">
        <v>1862</v>
      </c>
      <c r="C633" s="537"/>
      <c r="D633" s="536" t="s">
        <v>1863</v>
      </c>
      <c r="E633" s="536" t="s">
        <v>1800</v>
      </c>
      <c r="F633" s="537"/>
      <c r="G633" s="536"/>
      <c r="H633" s="537"/>
      <c r="T633" s="541"/>
    </row>
    <row r="634" spans="1:20" ht="43.2">
      <c r="A634" s="536" t="s">
        <v>1864</v>
      </c>
      <c r="B634" s="536" t="s">
        <v>1865</v>
      </c>
      <c r="C634" s="537">
        <v>17200</v>
      </c>
      <c r="D634" s="536" t="s">
        <v>1866</v>
      </c>
      <c r="E634" s="536" t="s">
        <v>1800</v>
      </c>
      <c r="F634" s="537">
        <v>45</v>
      </c>
      <c r="G634" s="536" t="s">
        <v>1658</v>
      </c>
      <c r="H634" s="537" t="s">
        <v>1867</v>
      </c>
      <c r="I634" s="536" t="s">
        <v>1868</v>
      </c>
      <c r="J634" s="536" t="s">
        <v>1499</v>
      </c>
      <c r="K634" s="536" t="s">
        <v>1422</v>
      </c>
      <c r="L634" s="536" t="s">
        <v>1308</v>
      </c>
      <c r="M634" s="536" t="s">
        <v>398</v>
      </c>
      <c r="N634" s="536"/>
      <c r="O634" s="536"/>
      <c r="P634" s="536"/>
      <c r="Q634" s="536"/>
      <c r="R634" s="536"/>
      <c r="S634" s="536"/>
      <c r="T634" s="537" t="s">
        <v>1869</v>
      </c>
    </row>
    <row r="635" spans="1:20">
      <c r="A635" s="536" t="s">
        <v>1870</v>
      </c>
      <c r="B635" s="536" t="s">
        <v>1871</v>
      </c>
      <c r="C635" s="537"/>
      <c r="D635" s="536" t="s">
        <v>1872</v>
      </c>
      <c r="E635" s="536" t="s">
        <v>1800</v>
      </c>
      <c r="F635" s="537"/>
      <c r="G635" s="536"/>
      <c r="H635" s="537"/>
      <c r="T635" s="541"/>
    </row>
    <row r="636" spans="1:20">
      <c r="A636" s="536" t="s">
        <v>1873</v>
      </c>
      <c r="B636" s="536" t="s">
        <v>1874</v>
      </c>
      <c r="C636" s="537"/>
      <c r="D636" s="536" t="s">
        <v>1875</v>
      </c>
      <c r="E636" s="536" t="s">
        <v>1876</v>
      </c>
      <c r="F636" s="537"/>
      <c r="G636" s="536"/>
      <c r="H636" s="537"/>
      <c r="T636" s="541"/>
    </row>
    <row r="637" spans="1:20">
      <c r="A637" s="536" t="s">
        <v>1877</v>
      </c>
      <c r="B637" s="536" t="s">
        <v>1878</v>
      </c>
      <c r="C637" s="537"/>
      <c r="D637" s="536" t="s">
        <v>1879</v>
      </c>
      <c r="E637" s="536" t="s">
        <v>1800</v>
      </c>
      <c r="F637" s="537"/>
      <c r="G637" s="536"/>
      <c r="H637" s="537"/>
      <c r="T637" s="541"/>
    </row>
    <row r="638" spans="1:20">
      <c r="A638" s="536" t="s">
        <v>1880</v>
      </c>
      <c r="B638" s="536" t="s">
        <v>1881</v>
      </c>
      <c r="C638" s="537"/>
      <c r="D638" s="536" t="s">
        <v>1882</v>
      </c>
      <c r="E638" s="536" t="s">
        <v>1800</v>
      </c>
      <c r="F638" s="537"/>
      <c r="G638" s="536"/>
      <c r="H638" s="537"/>
      <c r="T638" s="541"/>
    </row>
    <row r="639" spans="1:20">
      <c r="A639" s="536" t="s">
        <v>1883</v>
      </c>
      <c r="B639" s="536" t="s">
        <v>1884</v>
      </c>
      <c r="C639" s="537"/>
      <c r="D639" s="536" t="s">
        <v>1885</v>
      </c>
      <c r="E639" s="536" t="s">
        <v>1800</v>
      </c>
      <c r="F639" s="537"/>
      <c r="G639" s="536"/>
      <c r="H639" s="537"/>
      <c r="T639" s="541"/>
    </row>
    <row r="640" spans="1:20">
      <c r="A640" s="536" t="s">
        <v>1886</v>
      </c>
      <c r="B640" s="536" t="s">
        <v>1887</v>
      </c>
      <c r="C640" s="537"/>
      <c r="D640" s="536" t="s">
        <v>1888</v>
      </c>
      <c r="E640" s="536" t="s">
        <v>1876</v>
      </c>
      <c r="F640" s="537"/>
      <c r="G640" s="536"/>
      <c r="H640" s="537"/>
      <c r="T640" s="541"/>
    </row>
    <row r="641" spans="1:20">
      <c r="A641" s="536" t="s">
        <v>1889</v>
      </c>
      <c r="B641" s="536" t="s">
        <v>1890</v>
      </c>
      <c r="C641" s="537"/>
      <c r="D641" s="536" t="s">
        <v>1891</v>
      </c>
      <c r="E641" s="536" t="s">
        <v>1876</v>
      </c>
      <c r="F641" s="537"/>
      <c r="G641" s="536"/>
      <c r="H641" s="537"/>
      <c r="T641" s="541"/>
    </row>
    <row r="642" spans="1:20" ht="28.8" customHeight="1">
      <c r="A642" s="677" t="s">
        <v>1892</v>
      </c>
      <c r="B642" s="677" t="s">
        <v>1893</v>
      </c>
      <c r="C642" s="680">
        <v>17200</v>
      </c>
      <c r="D642" s="677" t="s">
        <v>1894</v>
      </c>
      <c r="E642" s="677" t="s">
        <v>1800</v>
      </c>
      <c r="F642" s="680">
        <v>60</v>
      </c>
      <c r="G642" s="677" t="s">
        <v>1658</v>
      </c>
      <c r="H642" s="533" t="s">
        <v>1895</v>
      </c>
      <c r="I642" s="677" t="s">
        <v>1897</v>
      </c>
      <c r="J642" s="677" t="s">
        <v>1499</v>
      </c>
      <c r="K642" s="677" t="s">
        <v>1500</v>
      </c>
      <c r="L642" s="677" t="s">
        <v>1055</v>
      </c>
      <c r="M642" s="677" t="s">
        <v>1145</v>
      </c>
      <c r="N642" s="677"/>
      <c r="O642" s="677"/>
      <c r="P642" s="677"/>
      <c r="Q642" s="677"/>
      <c r="R642" s="677"/>
      <c r="S642" s="677"/>
      <c r="T642" s="680" t="s">
        <v>1898</v>
      </c>
    </row>
    <row r="643" spans="1:20">
      <c r="A643" s="678"/>
      <c r="B643" s="678"/>
      <c r="C643" s="681"/>
      <c r="D643" s="678"/>
      <c r="E643" s="678"/>
      <c r="F643" s="681"/>
      <c r="G643" s="678"/>
      <c r="H643" s="534"/>
      <c r="I643" s="678"/>
      <c r="J643" s="678"/>
      <c r="K643" s="678"/>
      <c r="L643" s="678"/>
      <c r="M643" s="678"/>
      <c r="N643" s="678"/>
      <c r="O643" s="678"/>
      <c r="P643" s="678"/>
      <c r="Q643" s="678"/>
      <c r="R643" s="678"/>
      <c r="S643" s="678"/>
      <c r="T643" s="681"/>
    </row>
    <row r="644" spans="1:20">
      <c r="A644" s="679"/>
      <c r="B644" s="679"/>
      <c r="C644" s="682"/>
      <c r="D644" s="679"/>
      <c r="E644" s="679"/>
      <c r="F644" s="682"/>
      <c r="G644" s="679"/>
      <c r="H644" s="535" t="s">
        <v>1896</v>
      </c>
      <c r="I644" s="679"/>
      <c r="J644" s="679"/>
      <c r="K644" s="679"/>
      <c r="L644" s="679"/>
      <c r="M644" s="679"/>
      <c r="N644" s="679"/>
      <c r="O644" s="679"/>
      <c r="P644" s="679"/>
      <c r="Q644" s="679"/>
      <c r="R644" s="679"/>
      <c r="S644" s="679"/>
      <c r="T644" s="682"/>
    </row>
    <row r="645" spans="1:20">
      <c r="A645" s="536" t="s">
        <v>1899</v>
      </c>
      <c r="B645" s="536" t="s">
        <v>1900</v>
      </c>
      <c r="C645" s="537"/>
      <c r="D645" s="536" t="s">
        <v>1901</v>
      </c>
      <c r="E645" s="536" t="s">
        <v>1876</v>
      </c>
      <c r="F645" s="537"/>
      <c r="G645" s="536"/>
      <c r="H645" s="537"/>
      <c r="T645" s="541"/>
    </row>
    <row r="646" spans="1:20">
      <c r="A646" s="536" t="s">
        <v>1902</v>
      </c>
      <c r="B646" s="536" t="s">
        <v>1903</v>
      </c>
      <c r="C646" s="537"/>
      <c r="D646" s="536" t="s">
        <v>1904</v>
      </c>
      <c r="E646" s="536" t="s">
        <v>1800</v>
      </c>
      <c r="F646" s="537"/>
      <c r="G646" s="536"/>
      <c r="H646" s="537"/>
      <c r="T646" s="541"/>
    </row>
    <row r="647" spans="1:20">
      <c r="A647" s="536" t="s">
        <v>1905</v>
      </c>
      <c r="B647" s="536" t="s">
        <v>1906</v>
      </c>
      <c r="C647" s="537"/>
      <c r="D647" s="536" t="s">
        <v>1907</v>
      </c>
      <c r="E647" s="536" t="s">
        <v>1876</v>
      </c>
      <c r="F647" s="537"/>
      <c r="G647" s="536"/>
      <c r="H647" s="537"/>
      <c r="T647" s="541"/>
    </row>
    <row r="648" spans="1:20">
      <c r="A648" s="536" t="s">
        <v>1908</v>
      </c>
      <c r="B648" s="536" t="s">
        <v>1909</v>
      </c>
      <c r="C648" s="537">
        <v>17222</v>
      </c>
      <c r="D648" s="536" t="s">
        <v>1910</v>
      </c>
      <c r="E648" s="536"/>
      <c r="F648" s="537">
        <v>65</v>
      </c>
      <c r="G648" s="536" t="s">
        <v>1658</v>
      </c>
      <c r="H648" s="537" t="s">
        <v>1911</v>
      </c>
      <c r="I648" s="536" t="s">
        <v>1912</v>
      </c>
      <c r="J648" s="536" t="s">
        <v>1499</v>
      </c>
      <c r="K648" s="536" t="s">
        <v>1500</v>
      </c>
      <c r="L648" s="536" t="s">
        <v>1055</v>
      </c>
      <c r="M648" s="536" t="s">
        <v>1055</v>
      </c>
      <c r="N648" s="536"/>
      <c r="O648" s="536"/>
      <c r="P648" s="536"/>
      <c r="Q648" s="536"/>
      <c r="R648" s="536"/>
      <c r="S648" s="536"/>
      <c r="T648" s="537" t="s">
        <v>1913</v>
      </c>
    </row>
    <row r="649" spans="1:20">
      <c r="A649" s="536" t="s">
        <v>1914</v>
      </c>
      <c r="B649" s="536" t="s">
        <v>1915</v>
      </c>
      <c r="C649" s="537"/>
      <c r="D649" s="536" t="s">
        <v>1916</v>
      </c>
      <c r="E649" s="536" t="s">
        <v>1876</v>
      </c>
      <c r="F649" s="537"/>
      <c r="G649" s="536"/>
      <c r="H649" s="537"/>
      <c r="T649" s="541"/>
    </row>
    <row r="650" spans="1:20">
      <c r="A650" s="536" t="s">
        <v>1917</v>
      </c>
      <c r="B650" s="536" t="s">
        <v>1918</v>
      </c>
      <c r="C650" s="537"/>
      <c r="D650" s="536" t="s">
        <v>1919</v>
      </c>
      <c r="E650" s="536" t="s">
        <v>1876</v>
      </c>
      <c r="F650" s="537"/>
      <c r="G650" s="536"/>
      <c r="H650" s="537"/>
      <c r="T650" s="541"/>
    </row>
    <row r="651" spans="1:20">
      <c r="A651" s="536" t="s">
        <v>1920</v>
      </c>
      <c r="B651" s="536" t="s">
        <v>1921</v>
      </c>
      <c r="C651" s="537"/>
      <c r="D651" s="536" t="s">
        <v>1922</v>
      </c>
      <c r="E651" s="536" t="s">
        <v>1800</v>
      </c>
      <c r="F651" s="537"/>
      <c r="G651" s="536"/>
      <c r="H651" s="537"/>
      <c r="T651" s="541"/>
    </row>
    <row r="652" spans="1:20">
      <c r="A652" s="536" t="s">
        <v>1923</v>
      </c>
      <c r="B652" s="536" t="s">
        <v>1924</v>
      </c>
      <c r="C652" s="537"/>
      <c r="D652" s="536" t="s">
        <v>1925</v>
      </c>
      <c r="E652" s="536" t="s">
        <v>1876</v>
      </c>
      <c r="F652" s="537"/>
      <c r="G652" s="536"/>
      <c r="H652" s="537"/>
      <c r="T652" s="541"/>
    </row>
    <row r="653" spans="1:20">
      <c r="A653" s="536" t="s">
        <v>1926</v>
      </c>
      <c r="B653" s="536" t="s">
        <v>1927</v>
      </c>
      <c r="C653" s="537"/>
      <c r="D653" s="536" t="s">
        <v>1928</v>
      </c>
      <c r="E653" s="536" t="s">
        <v>1876</v>
      </c>
      <c r="F653" s="537"/>
      <c r="G653" s="536"/>
      <c r="H653" s="537"/>
      <c r="T653" s="541"/>
    </row>
    <row r="654" spans="1:20">
      <c r="A654" s="536" t="s">
        <v>1929</v>
      </c>
      <c r="B654" s="536" t="s">
        <v>1930</v>
      </c>
      <c r="C654" s="537"/>
      <c r="D654" s="536" t="s">
        <v>1931</v>
      </c>
      <c r="E654" s="536" t="s">
        <v>1876</v>
      </c>
      <c r="F654" s="537"/>
      <c r="G654" s="536"/>
      <c r="H654" s="537"/>
      <c r="T654" s="541"/>
    </row>
    <row r="655" spans="1:20">
      <c r="A655" s="536" t="s">
        <v>1932</v>
      </c>
      <c r="B655" s="536" t="s">
        <v>1933</v>
      </c>
      <c r="C655" s="537"/>
      <c r="D655" s="536" t="s">
        <v>1934</v>
      </c>
      <c r="E655" s="536" t="s">
        <v>1876</v>
      </c>
      <c r="F655" s="537"/>
      <c r="G655" s="536"/>
      <c r="H655" s="537"/>
      <c r="T655" s="541"/>
    </row>
    <row r="656" spans="1:20">
      <c r="A656" s="536" t="s">
        <v>1935</v>
      </c>
      <c r="B656" s="536" t="s">
        <v>1936</v>
      </c>
      <c r="C656" s="537"/>
      <c r="D656" s="536" t="s">
        <v>1937</v>
      </c>
      <c r="E656" s="536" t="s">
        <v>1876</v>
      </c>
      <c r="F656" s="537"/>
      <c r="G656" s="536"/>
      <c r="H656" s="537"/>
      <c r="T656" s="541"/>
    </row>
    <row r="657" spans="1:20">
      <c r="A657" s="536" t="s">
        <v>1938</v>
      </c>
      <c r="B657" s="536" t="s">
        <v>1939</v>
      </c>
      <c r="C657" s="537"/>
      <c r="D657" s="536" t="s">
        <v>1940</v>
      </c>
      <c r="E657" s="536" t="s">
        <v>1876</v>
      </c>
      <c r="F657" s="537"/>
      <c r="G657" s="536"/>
      <c r="H657" s="537"/>
      <c r="T657" s="541"/>
    </row>
    <row r="658" spans="1:20">
      <c r="A658" s="536" t="s">
        <v>1941</v>
      </c>
      <c r="B658" s="536" t="s">
        <v>1942</v>
      </c>
      <c r="C658" s="537"/>
      <c r="D658" s="536" t="s">
        <v>1943</v>
      </c>
      <c r="E658" s="536" t="s">
        <v>1876</v>
      </c>
      <c r="F658" s="537"/>
      <c r="G658" s="536"/>
      <c r="H658" s="537"/>
      <c r="T658" s="541"/>
    </row>
    <row r="659" spans="1:20">
      <c r="A659" s="536" t="s">
        <v>1944</v>
      </c>
      <c r="B659" s="536" t="s">
        <v>1945</v>
      </c>
      <c r="C659" s="537"/>
      <c r="D659" s="536" t="s">
        <v>1946</v>
      </c>
      <c r="E659" s="536" t="s">
        <v>1876</v>
      </c>
      <c r="F659" s="537"/>
      <c r="G659" s="536"/>
      <c r="H659" s="537"/>
      <c r="T659" s="541"/>
    </row>
    <row r="660" spans="1:20">
      <c r="A660" s="680" t="s">
        <v>1947</v>
      </c>
      <c r="B660" s="680" t="s">
        <v>1948</v>
      </c>
      <c r="C660" s="680" t="s">
        <v>1949</v>
      </c>
      <c r="D660" s="680" t="s">
        <v>1950</v>
      </c>
      <c r="E660" s="680" t="s">
        <v>1951</v>
      </c>
      <c r="F660" s="680" t="s">
        <v>1952</v>
      </c>
      <c r="G660" s="680" t="s">
        <v>1953</v>
      </c>
      <c r="H660" s="533" t="s">
        <v>1155</v>
      </c>
      <c r="I660" s="680" t="s">
        <v>1992</v>
      </c>
      <c r="J660" s="680" t="s">
        <v>1993</v>
      </c>
      <c r="K660" s="680" t="s">
        <v>1994</v>
      </c>
      <c r="L660" s="680" t="s">
        <v>1436</v>
      </c>
      <c r="M660" s="680" t="s">
        <v>1145</v>
      </c>
      <c r="N660" s="680" t="s">
        <v>1995</v>
      </c>
      <c r="O660" s="680" t="s">
        <v>1996</v>
      </c>
      <c r="P660" s="680" t="s">
        <v>1997</v>
      </c>
      <c r="Q660" s="680"/>
      <c r="R660" s="680"/>
      <c r="S660" s="680"/>
      <c r="T660" s="533" t="s">
        <v>1998</v>
      </c>
    </row>
    <row r="661" spans="1:20">
      <c r="A661" s="681"/>
      <c r="B661" s="681"/>
      <c r="C661" s="681"/>
      <c r="D661" s="681"/>
      <c r="E661" s="681"/>
      <c r="F661" s="681"/>
      <c r="G661" s="681"/>
      <c r="H661" s="534" t="s">
        <v>1954</v>
      </c>
      <c r="I661" s="681"/>
      <c r="J661" s="681"/>
      <c r="K661" s="681"/>
      <c r="L661" s="681"/>
      <c r="M661" s="681"/>
      <c r="N661" s="681"/>
      <c r="O661" s="681"/>
      <c r="P661" s="681"/>
      <c r="Q661" s="681"/>
      <c r="R661" s="681"/>
      <c r="S661" s="681"/>
      <c r="T661" s="534" t="s">
        <v>1999</v>
      </c>
    </row>
    <row r="662" spans="1:20" ht="57.6">
      <c r="A662" s="681"/>
      <c r="B662" s="681"/>
      <c r="C662" s="681"/>
      <c r="D662" s="681"/>
      <c r="E662" s="681"/>
      <c r="F662" s="681"/>
      <c r="G662" s="681"/>
      <c r="H662" s="534"/>
      <c r="I662" s="681"/>
      <c r="J662" s="681"/>
      <c r="K662" s="681"/>
      <c r="L662" s="681"/>
      <c r="M662" s="681"/>
      <c r="N662" s="681"/>
      <c r="O662" s="681"/>
      <c r="P662" s="681"/>
      <c r="Q662" s="681"/>
      <c r="R662" s="681"/>
      <c r="S662" s="681"/>
      <c r="T662" s="534" t="s">
        <v>2000</v>
      </c>
    </row>
    <row r="663" spans="1:20">
      <c r="A663" s="681"/>
      <c r="B663" s="681"/>
      <c r="C663" s="681"/>
      <c r="D663" s="681"/>
      <c r="E663" s="681"/>
      <c r="F663" s="681"/>
      <c r="G663" s="681"/>
      <c r="H663" s="534" t="s">
        <v>1157</v>
      </c>
      <c r="I663" s="681"/>
      <c r="J663" s="681"/>
      <c r="K663" s="681"/>
      <c r="L663" s="681"/>
      <c r="M663" s="681"/>
      <c r="N663" s="681"/>
      <c r="O663" s="681"/>
      <c r="P663" s="681"/>
      <c r="Q663" s="681"/>
      <c r="R663" s="681"/>
      <c r="S663" s="681"/>
      <c r="T663" s="534"/>
    </row>
    <row r="664" spans="1:20">
      <c r="A664" s="681"/>
      <c r="B664" s="681"/>
      <c r="C664" s="681"/>
      <c r="D664" s="681"/>
      <c r="E664" s="681"/>
      <c r="F664" s="681"/>
      <c r="G664" s="681"/>
      <c r="H664" s="534">
        <v>304</v>
      </c>
      <c r="I664" s="681"/>
      <c r="J664" s="681"/>
      <c r="K664" s="681"/>
      <c r="L664" s="681"/>
      <c r="M664" s="681"/>
      <c r="N664" s="681"/>
      <c r="O664" s="681"/>
      <c r="P664" s="681"/>
      <c r="Q664" s="681"/>
      <c r="R664" s="681"/>
      <c r="S664" s="681"/>
      <c r="T664" s="534"/>
    </row>
    <row r="665" spans="1:20">
      <c r="A665" s="681"/>
      <c r="B665" s="681"/>
      <c r="C665" s="681"/>
      <c r="D665" s="681"/>
      <c r="E665" s="681"/>
      <c r="F665" s="681"/>
      <c r="G665" s="681"/>
      <c r="H665" s="534"/>
      <c r="I665" s="681"/>
      <c r="J665" s="681"/>
      <c r="K665" s="681"/>
      <c r="L665" s="681"/>
      <c r="M665" s="681"/>
      <c r="N665" s="681"/>
      <c r="O665" s="681"/>
      <c r="P665" s="681"/>
      <c r="Q665" s="681"/>
      <c r="R665" s="681"/>
      <c r="S665" s="681"/>
      <c r="T665" s="534"/>
    </row>
    <row r="666" spans="1:20">
      <c r="A666" s="681"/>
      <c r="B666" s="681"/>
      <c r="C666" s="681"/>
      <c r="D666" s="681"/>
      <c r="E666" s="681"/>
      <c r="F666" s="681"/>
      <c r="G666" s="681"/>
      <c r="H666" s="534" t="s">
        <v>1151</v>
      </c>
      <c r="I666" s="681"/>
      <c r="J666" s="681"/>
      <c r="K666" s="681"/>
      <c r="L666" s="681"/>
      <c r="M666" s="681"/>
      <c r="N666" s="681"/>
      <c r="O666" s="681"/>
      <c r="P666" s="681"/>
      <c r="Q666" s="681"/>
      <c r="R666" s="681"/>
      <c r="S666" s="681"/>
      <c r="T666" s="534"/>
    </row>
    <row r="667" spans="1:20">
      <c r="A667" s="681"/>
      <c r="B667" s="681"/>
      <c r="C667" s="681"/>
      <c r="D667" s="681"/>
      <c r="E667" s="681"/>
      <c r="F667" s="681"/>
      <c r="G667" s="681"/>
      <c r="H667" s="534" t="s">
        <v>1955</v>
      </c>
      <c r="I667" s="681"/>
      <c r="J667" s="681"/>
      <c r="K667" s="681"/>
      <c r="L667" s="681"/>
      <c r="M667" s="681"/>
      <c r="N667" s="681"/>
      <c r="O667" s="681"/>
      <c r="P667" s="681"/>
      <c r="Q667" s="681"/>
      <c r="R667" s="681"/>
      <c r="S667" s="681"/>
      <c r="T667" s="534"/>
    </row>
    <row r="668" spans="1:20">
      <c r="A668" s="681"/>
      <c r="B668" s="681"/>
      <c r="C668" s="681"/>
      <c r="D668" s="681"/>
      <c r="E668" s="681"/>
      <c r="F668" s="681"/>
      <c r="G668" s="681"/>
      <c r="H668" s="534" t="s">
        <v>1956</v>
      </c>
      <c r="I668" s="681"/>
      <c r="J668" s="681"/>
      <c r="K668" s="681"/>
      <c r="L668" s="681"/>
      <c r="M668" s="681"/>
      <c r="N668" s="681"/>
      <c r="O668" s="681"/>
      <c r="P668" s="681"/>
      <c r="Q668" s="681"/>
      <c r="R668" s="681"/>
      <c r="S668" s="681"/>
      <c r="T668" s="534"/>
    </row>
    <row r="669" spans="1:20">
      <c r="A669" s="681"/>
      <c r="B669" s="681"/>
      <c r="C669" s="681"/>
      <c r="D669" s="681"/>
      <c r="E669" s="681"/>
      <c r="F669" s="681"/>
      <c r="G669" s="681"/>
      <c r="H669" s="534" t="s">
        <v>1957</v>
      </c>
      <c r="I669" s="681"/>
      <c r="J669" s="681"/>
      <c r="K669" s="681"/>
      <c r="L669" s="681"/>
      <c r="M669" s="681"/>
      <c r="N669" s="681"/>
      <c r="O669" s="681"/>
      <c r="P669" s="681"/>
      <c r="Q669" s="681"/>
      <c r="R669" s="681"/>
      <c r="S669" s="681"/>
      <c r="T669" s="534"/>
    </row>
    <row r="670" spans="1:20">
      <c r="A670" s="681"/>
      <c r="B670" s="681"/>
      <c r="C670" s="681"/>
      <c r="D670" s="681"/>
      <c r="E670" s="681"/>
      <c r="F670" s="681"/>
      <c r="G670" s="681"/>
      <c r="H670" s="534" t="s">
        <v>1958</v>
      </c>
      <c r="I670" s="681"/>
      <c r="J670" s="681"/>
      <c r="K670" s="681"/>
      <c r="L670" s="681"/>
      <c r="M670" s="681"/>
      <c r="N670" s="681"/>
      <c r="O670" s="681"/>
      <c r="P670" s="681"/>
      <c r="Q670" s="681"/>
      <c r="R670" s="681"/>
      <c r="S670" s="681"/>
      <c r="T670" s="534"/>
    </row>
    <row r="671" spans="1:20">
      <c r="A671" s="681"/>
      <c r="B671" s="681"/>
      <c r="C671" s="681"/>
      <c r="D671" s="681"/>
      <c r="E671" s="681"/>
      <c r="F671" s="681"/>
      <c r="G671" s="681"/>
      <c r="H671" s="534" t="s">
        <v>1959</v>
      </c>
      <c r="I671" s="681"/>
      <c r="J671" s="681"/>
      <c r="K671" s="681"/>
      <c r="L671" s="681"/>
      <c r="M671" s="681"/>
      <c r="N671" s="681"/>
      <c r="O671" s="681"/>
      <c r="P671" s="681"/>
      <c r="Q671" s="681"/>
      <c r="R671" s="681"/>
      <c r="S671" s="681"/>
      <c r="T671" s="534"/>
    </row>
    <row r="672" spans="1:20">
      <c r="A672" s="681"/>
      <c r="B672" s="681"/>
      <c r="C672" s="681"/>
      <c r="D672" s="681"/>
      <c r="E672" s="681"/>
      <c r="F672" s="681"/>
      <c r="G672" s="681"/>
      <c r="H672" s="534" t="s">
        <v>1960</v>
      </c>
      <c r="I672" s="681"/>
      <c r="J672" s="681"/>
      <c r="K672" s="681"/>
      <c r="L672" s="681"/>
      <c r="M672" s="681"/>
      <c r="N672" s="681"/>
      <c r="O672" s="681"/>
      <c r="P672" s="681"/>
      <c r="Q672" s="681"/>
      <c r="R672" s="681"/>
      <c r="S672" s="681"/>
      <c r="T672" s="534"/>
    </row>
    <row r="673" spans="1:20">
      <c r="A673" s="681"/>
      <c r="B673" s="681"/>
      <c r="C673" s="681"/>
      <c r="D673" s="681"/>
      <c r="E673" s="681"/>
      <c r="F673" s="681"/>
      <c r="G673" s="681"/>
      <c r="H673" s="534" t="s">
        <v>1961</v>
      </c>
      <c r="I673" s="681"/>
      <c r="J673" s="681"/>
      <c r="K673" s="681"/>
      <c r="L673" s="681"/>
      <c r="M673" s="681"/>
      <c r="N673" s="681"/>
      <c r="O673" s="681"/>
      <c r="P673" s="681"/>
      <c r="Q673" s="681"/>
      <c r="R673" s="681"/>
      <c r="S673" s="681"/>
      <c r="T673" s="534"/>
    </row>
    <row r="674" spans="1:20">
      <c r="A674" s="681"/>
      <c r="B674" s="681"/>
      <c r="C674" s="681"/>
      <c r="D674" s="681"/>
      <c r="E674" s="681"/>
      <c r="F674" s="681"/>
      <c r="G674" s="681"/>
      <c r="H674" s="534" t="s">
        <v>1962</v>
      </c>
      <c r="I674" s="681"/>
      <c r="J674" s="681"/>
      <c r="K674" s="681"/>
      <c r="L674" s="681"/>
      <c r="M674" s="681"/>
      <c r="N674" s="681"/>
      <c r="O674" s="681"/>
      <c r="P674" s="681"/>
      <c r="Q674" s="681"/>
      <c r="R674" s="681"/>
      <c r="S674" s="681"/>
      <c r="T674" s="534"/>
    </row>
    <row r="675" spans="1:20">
      <c r="A675" s="681"/>
      <c r="B675" s="681"/>
      <c r="C675" s="681"/>
      <c r="D675" s="681"/>
      <c r="E675" s="681"/>
      <c r="F675" s="681"/>
      <c r="G675" s="681"/>
      <c r="H675" s="534" t="s">
        <v>1963</v>
      </c>
      <c r="I675" s="681"/>
      <c r="J675" s="681"/>
      <c r="K675" s="681"/>
      <c r="L675" s="681"/>
      <c r="M675" s="681"/>
      <c r="N675" s="681"/>
      <c r="O675" s="681"/>
      <c r="P675" s="681"/>
      <c r="Q675" s="681"/>
      <c r="R675" s="681"/>
      <c r="S675" s="681"/>
      <c r="T675" s="534"/>
    </row>
    <row r="676" spans="1:20">
      <c r="A676" s="681"/>
      <c r="B676" s="681"/>
      <c r="C676" s="681"/>
      <c r="D676" s="681"/>
      <c r="E676" s="681"/>
      <c r="F676" s="681"/>
      <c r="G676" s="681"/>
      <c r="H676" s="534" t="s">
        <v>1964</v>
      </c>
      <c r="I676" s="681"/>
      <c r="J676" s="681"/>
      <c r="K676" s="681"/>
      <c r="L676" s="681"/>
      <c r="M676" s="681"/>
      <c r="N676" s="681"/>
      <c r="O676" s="681"/>
      <c r="P676" s="681"/>
      <c r="Q676" s="681"/>
      <c r="R676" s="681"/>
      <c r="S676" s="681"/>
      <c r="T676" s="534"/>
    </row>
    <row r="677" spans="1:20">
      <c r="A677" s="681"/>
      <c r="B677" s="681"/>
      <c r="C677" s="681"/>
      <c r="D677" s="681"/>
      <c r="E677" s="681"/>
      <c r="F677" s="681"/>
      <c r="G677" s="681"/>
      <c r="H677" s="534" t="s">
        <v>1965</v>
      </c>
      <c r="I677" s="681"/>
      <c r="J677" s="681"/>
      <c r="K677" s="681"/>
      <c r="L677" s="681"/>
      <c r="M677" s="681"/>
      <c r="N677" s="681"/>
      <c r="O677" s="681"/>
      <c r="P677" s="681"/>
      <c r="Q677" s="681"/>
      <c r="R677" s="681"/>
      <c r="S677" s="681"/>
      <c r="T677" s="534"/>
    </row>
    <row r="678" spans="1:20">
      <c r="A678" s="681"/>
      <c r="B678" s="681"/>
      <c r="C678" s="681"/>
      <c r="D678" s="681"/>
      <c r="E678" s="681"/>
      <c r="F678" s="681"/>
      <c r="G678" s="681"/>
      <c r="H678" s="534" t="s">
        <v>1966</v>
      </c>
      <c r="I678" s="681"/>
      <c r="J678" s="681"/>
      <c r="K678" s="681"/>
      <c r="L678" s="681"/>
      <c r="M678" s="681"/>
      <c r="N678" s="681"/>
      <c r="O678" s="681"/>
      <c r="P678" s="681"/>
      <c r="Q678" s="681"/>
      <c r="R678" s="681"/>
      <c r="S678" s="681"/>
      <c r="T678" s="534"/>
    </row>
    <row r="679" spans="1:20">
      <c r="A679" s="681"/>
      <c r="B679" s="681"/>
      <c r="C679" s="681"/>
      <c r="D679" s="681"/>
      <c r="E679" s="681"/>
      <c r="F679" s="681"/>
      <c r="G679" s="681"/>
      <c r="H679" s="534" t="s">
        <v>1967</v>
      </c>
      <c r="I679" s="681"/>
      <c r="J679" s="681"/>
      <c r="K679" s="681"/>
      <c r="L679" s="681"/>
      <c r="M679" s="681"/>
      <c r="N679" s="681"/>
      <c r="O679" s="681"/>
      <c r="P679" s="681"/>
      <c r="Q679" s="681"/>
      <c r="R679" s="681"/>
      <c r="S679" s="681"/>
      <c r="T679" s="534"/>
    </row>
    <row r="680" spans="1:20">
      <c r="A680" s="681"/>
      <c r="B680" s="681"/>
      <c r="C680" s="681"/>
      <c r="D680" s="681"/>
      <c r="E680" s="681"/>
      <c r="F680" s="681"/>
      <c r="G680" s="681"/>
      <c r="H680" s="534" t="s">
        <v>1968</v>
      </c>
      <c r="I680" s="681"/>
      <c r="J680" s="681"/>
      <c r="K680" s="681"/>
      <c r="L680" s="681"/>
      <c r="M680" s="681"/>
      <c r="N680" s="681"/>
      <c r="O680" s="681"/>
      <c r="P680" s="681"/>
      <c r="Q680" s="681"/>
      <c r="R680" s="681"/>
      <c r="S680" s="681"/>
      <c r="T680" s="534"/>
    </row>
    <row r="681" spans="1:20">
      <c r="A681" s="681"/>
      <c r="B681" s="681"/>
      <c r="C681" s="681"/>
      <c r="D681" s="681"/>
      <c r="E681" s="681"/>
      <c r="F681" s="681"/>
      <c r="G681" s="681"/>
      <c r="H681" s="534" t="s">
        <v>1969</v>
      </c>
      <c r="I681" s="681"/>
      <c r="J681" s="681"/>
      <c r="K681" s="681"/>
      <c r="L681" s="681"/>
      <c r="M681" s="681"/>
      <c r="N681" s="681"/>
      <c r="O681" s="681"/>
      <c r="P681" s="681"/>
      <c r="Q681" s="681"/>
      <c r="R681" s="681"/>
      <c r="S681" s="681"/>
      <c r="T681" s="534"/>
    </row>
    <row r="682" spans="1:20">
      <c r="A682" s="681"/>
      <c r="B682" s="681"/>
      <c r="C682" s="681"/>
      <c r="D682" s="681"/>
      <c r="E682" s="681"/>
      <c r="F682" s="681"/>
      <c r="G682" s="681"/>
      <c r="H682" s="534" t="s">
        <v>1970</v>
      </c>
      <c r="I682" s="681"/>
      <c r="J682" s="681"/>
      <c r="K682" s="681"/>
      <c r="L682" s="681"/>
      <c r="M682" s="681"/>
      <c r="N682" s="681"/>
      <c r="O682" s="681"/>
      <c r="P682" s="681"/>
      <c r="Q682" s="681"/>
      <c r="R682" s="681"/>
      <c r="S682" s="681"/>
      <c r="T682" s="534"/>
    </row>
    <row r="683" spans="1:20">
      <c r="A683" s="681"/>
      <c r="B683" s="681"/>
      <c r="C683" s="681"/>
      <c r="D683" s="681"/>
      <c r="E683" s="681"/>
      <c r="F683" s="681"/>
      <c r="G683" s="681"/>
      <c r="H683" s="534" t="s">
        <v>1971</v>
      </c>
      <c r="I683" s="681"/>
      <c r="J683" s="681"/>
      <c r="K683" s="681"/>
      <c r="L683" s="681"/>
      <c r="M683" s="681"/>
      <c r="N683" s="681"/>
      <c r="O683" s="681"/>
      <c r="P683" s="681"/>
      <c r="Q683" s="681"/>
      <c r="R683" s="681"/>
      <c r="S683" s="681"/>
      <c r="T683" s="534"/>
    </row>
    <row r="684" spans="1:20">
      <c r="A684" s="681"/>
      <c r="B684" s="681"/>
      <c r="C684" s="681"/>
      <c r="D684" s="681"/>
      <c r="E684" s="681"/>
      <c r="F684" s="681"/>
      <c r="G684" s="681"/>
      <c r="H684" s="534" t="s">
        <v>1972</v>
      </c>
      <c r="I684" s="681"/>
      <c r="J684" s="681"/>
      <c r="K684" s="681"/>
      <c r="L684" s="681"/>
      <c r="M684" s="681"/>
      <c r="N684" s="681"/>
      <c r="O684" s="681"/>
      <c r="P684" s="681"/>
      <c r="Q684" s="681"/>
      <c r="R684" s="681"/>
      <c r="S684" s="681"/>
      <c r="T684" s="534"/>
    </row>
    <row r="685" spans="1:20">
      <c r="A685" s="681"/>
      <c r="B685" s="681"/>
      <c r="C685" s="681"/>
      <c r="D685" s="681"/>
      <c r="E685" s="681"/>
      <c r="F685" s="681"/>
      <c r="G685" s="681"/>
      <c r="H685" s="534" t="s">
        <v>1973</v>
      </c>
      <c r="I685" s="681"/>
      <c r="J685" s="681"/>
      <c r="K685" s="681"/>
      <c r="L685" s="681"/>
      <c r="M685" s="681"/>
      <c r="N685" s="681"/>
      <c r="O685" s="681"/>
      <c r="P685" s="681"/>
      <c r="Q685" s="681"/>
      <c r="R685" s="681"/>
      <c r="S685" s="681"/>
      <c r="T685" s="534"/>
    </row>
    <row r="686" spans="1:20">
      <c r="A686" s="681"/>
      <c r="B686" s="681"/>
      <c r="C686" s="681"/>
      <c r="D686" s="681"/>
      <c r="E686" s="681"/>
      <c r="F686" s="681"/>
      <c r="G686" s="681"/>
      <c r="H686" s="534" t="s">
        <v>1974</v>
      </c>
      <c r="I686" s="681"/>
      <c r="J686" s="681"/>
      <c r="K686" s="681"/>
      <c r="L686" s="681"/>
      <c r="M686" s="681"/>
      <c r="N686" s="681"/>
      <c r="O686" s="681"/>
      <c r="P686" s="681"/>
      <c r="Q686" s="681"/>
      <c r="R686" s="681"/>
      <c r="S686" s="681"/>
      <c r="T686" s="534"/>
    </row>
    <row r="687" spans="1:20">
      <c r="A687" s="681"/>
      <c r="B687" s="681"/>
      <c r="C687" s="681"/>
      <c r="D687" s="681"/>
      <c r="E687" s="681"/>
      <c r="F687" s="681"/>
      <c r="G687" s="681"/>
      <c r="H687" s="534" t="s">
        <v>1975</v>
      </c>
      <c r="I687" s="681"/>
      <c r="J687" s="681"/>
      <c r="K687" s="681"/>
      <c r="L687" s="681"/>
      <c r="M687" s="681"/>
      <c r="N687" s="681"/>
      <c r="O687" s="681"/>
      <c r="P687" s="681"/>
      <c r="Q687" s="681"/>
      <c r="R687" s="681"/>
      <c r="S687" s="681"/>
      <c r="T687" s="534"/>
    </row>
    <row r="688" spans="1:20">
      <c r="A688" s="681"/>
      <c r="B688" s="681"/>
      <c r="C688" s="681"/>
      <c r="D688" s="681"/>
      <c r="E688" s="681"/>
      <c r="F688" s="681"/>
      <c r="G688" s="681"/>
      <c r="H688" s="534" t="s">
        <v>1976</v>
      </c>
      <c r="I688" s="681"/>
      <c r="J688" s="681"/>
      <c r="K688" s="681"/>
      <c r="L688" s="681"/>
      <c r="M688" s="681"/>
      <c r="N688" s="681"/>
      <c r="O688" s="681"/>
      <c r="P688" s="681"/>
      <c r="Q688" s="681"/>
      <c r="R688" s="681"/>
      <c r="S688" s="681"/>
      <c r="T688" s="534"/>
    </row>
    <row r="689" spans="1:20">
      <c r="A689" s="681"/>
      <c r="B689" s="681"/>
      <c r="C689" s="681"/>
      <c r="D689" s="681"/>
      <c r="E689" s="681"/>
      <c r="F689" s="681"/>
      <c r="G689" s="681"/>
      <c r="H689" s="534" t="s">
        <v>1977</v>
      </c>
      <c r="I689" s="681"/>
      <c r="J689" s="681"/>
      <c r="K689" s="681"/>
      <c r="L689" s="681"/>
      <c r="M689" s="681"/>
      <c r="N689" s="681"/>
      <c r="O689" s="681"/>
      <c r="P689" s="681"/>
      <c r="Q689" s="681"/>
      <c r="R689" s="681"/>
      <c r="S689" s="681"/>
      <c r="T689" s="534"/>
    </row>
    <row r="690" spans="1:20">
      <c r="A690" s="681"/>
      <c r="B690" s="681"/>
      <c r="C690" s="681"/>
      <c r="D690" s="681"/>
      <c r="E690" s="681"/>
      <c r="F690" s="681"/>
      <c r="G690" s="681"/>
      <c r="H690" s="534" t="s">
        <v>1978</v>
      </c>
      <c r="I690" s="681"/>
      <c r="J690" s="681"/>
      <c r="K690" s="681"/>
      <c r="L690" s="681"/>
      <c r="M690" s="681"/>
      <c r="N690" s="681"/>
      <c r="O690" s="681"/>
      <c r="P690" s="681"/>
      <c r="Q690" s="681"/>
      <c r="R690" s="681"/>
      <c r="S690" s="681"/>
      <c r="T690" s="534"/>
    </row>
    <row r="691" spans="1:20">
      <c r="A691" s="681"/>
      <c r="B691" s="681"/>
      <c r="C691" s="681"/>
      <c r="D691" s="681"/>
      <c r="E691" s="681"/>
      <c r="F691" s="681"/>
      <c r="G691" s="681"/>
      <c r="H691" s="534" t="s">
        <v>1979</v>
      </c>
      <c r="I691" s="681"/>
      <c r="J691" s="681"/>
      <c r="K691" s="681"/>
      <c r="L691" s="681"/>
      <c r="M691" s="681"/>
      <c r="N691" s="681"/>
      <c r="O691" s="681"/>
      <c r="P691" s="681"/>
      <c r="Q691" s="681"/>
      <c r="R691" s="681"/>
      <c r="S691" s="681"/>
      <c r="T691" s="534"/>
    </row>
    <row r="692" spans="1:20">
      <c r="A692" s="681"/>
      <c r="B692" s="681"/>
      <c r="C692" s="681"/>
      <c r="D692" s="681"/>
      <c r="E692" s="681"/>
      <c r="F692" s="681"/>
      <c r="G692" s="681"/>
      <c r="H692" s="534" t="s">
        <v>1980</v>
      </c>
      <c r="I692" s="681"/>
      <c r="J692" s="681"/>
      <c r="K692" s="681"/>
      <c r="L692" s="681"/>
      <c r="M692" s="681"/>
      <c r="N692" s="681"/>
      <c r="O692" s="681"/>
      <c r="P692" s="681"/>
      <c r="Q692" s="681"/>
      <c r="R692" s="681"/>
      <c r="S692" s="681"/>
      <c r="T692" s="534"/>
    </row>
    <row r="693" spans="1:20">
      <c r="A693" s="681"/>
      <c r="B693" s="681"/>
      <c r="C693" s="681"/>
      <c r="D693" s="681"/>
      <c r="E693" s="681"/>
      <c r="F693" s="681"/>
      <c r="G693" s="681"/>
      <c r="H693" s="534" t="s">
        <v>1981</v>
      </c>
      <c r="I693" s="681"/>
      <c r="J693" s="681"/>
      <c r="K693" s="681"/>
      <c r="L693" s="681"/>
      <c r="M693" s="681"/>
      <c r="N693" s="681"/>
      <c r="O693" s="681"/>
      <c r="P693" s="681"/>
      <c r="Q693" s="681"/>
      <c r="R693" s="681"/>
      <c r="S693" s="681"/>
      <c r="T693" s="534"/>
    </row>
    <row r="694" spans="1:20">
      <c r="A694" s="681"/>
      <c r="B694" s="681"/>
      <c r="C694" s="681"/>
      <c r="D694" s="681"/>
      <c r="E694" s="681"/>
      <c r="F694" s="681"/>
      <c r="G694" s="681"/>
      <c r="H694" s="534" t="s">
        <v>1982</v>
      </c>
      <c r="I694" s="681"/>
      <c r="J694" s="681"/>
      <c r="K694" s="681"/>
      <c r="L694" s="681"/>
      <c r="M694" s="681"/>
      <c r="N694" s="681"/>
      <c r="O694" s="681"/>
      <c r="P694" s="681"/>
      <c r="Q694" s="681"/>
      <c r="R694" s="681"/>
      <c r="S694" s="681"/>
      <c r="T694" s="534"/>
    </row>
    <row r="695" spans="1:20">
      <c r="A695" s="681"/>
      <c r="B695" s="681"/>
      <c r="C695" s="681"/>
      <c r="D695" s="681"/>
      <c r="E695" s="681"/>
      <c r="F695" s="681"/>
      <c r="G695" s="681"/>
      <c r="H695" s="534" t="s">
        <v>1983</v>
      </c>
      <c r="I695" s="681"/>
      <c r="J695" s="681"/>
      <c r="K695" s="681"/>
      <c r="L695" s="681"/>
      <c r="M695" s="681"/>
      <c r="N695" s="681"/>
      <c r="O695" s="681"/>
      <c r="P695" s="681"/>
      <c r="Q695" s="681"/>
      <c r="R695" s="681"/>
      <c r="S695" s="681"/>
      <c r="T695" s="534"/>
    </row>
    <row r="696" spans="1:20">
      <c r="A696" s="681"/>
      <c r="B696" s="681"/>
      <c r="C696" s="681"/>
      <c r="D696" s="681"/>
      <c r="E696" s="681"/>
      <c r="F696" s="681"/>
      <c r="G696" s="681"/>
      <c r="H696" s="534" t="s">
        <v>1984</v>
      </c>
      <c r="I696" s="681"/>
      <c r="J696" s="681"/>
      <c r="K696" s="681"/>
      <c r="L696" s="681"/>
      <c r="M696" s="681"/>
      <c r="N696" s="681"/>
      <c r="O696" s="681"/>
      <c r="P696" s="681"/>
      <c r="Q696" s="681"/>
      <c r="R696" s="681"/>
      <c r="S696" s="681"/>
      <c r="T696" s="534"/>
    </row>
    <row r="697" spans="1:20">
      <c r="A697" s="681"/>
      <c r="B697" s="681"/>
      <c r="C697" s="681"/>
      <c r="D697" s="681"/>
      <c r="E697" s="681"/>
      <c r="F697" s="681"/>
      <c r="G697" s="681"/>
      <c r="H697" s="534" t="s">
        <v>1985</v>
      </c>
      <c r="I697" s="681"/>
      <c r="J697" s="681"/>
      <c r="K697" s="681"/>
      <c r="L697" s="681"/>
      <c r="M697" s="681"/>
      <c r="N697" s="681"/>
      <c r="O697" s="681"/>
      <c r="P697" s="681"/>
      <c r="Q697" s="681"/>
      <c r="R697" s="681"/>
      <c r="S697" s="681"/>
      <c r="T697" s="534"/>
    </row>
    <row r="698" spans="1:20">
      <c r="A698" s="681"/>
      <c r="B698" s="681"/>
      <c r="C698" s="681"/>
      <c r="D698" s="681"/>
      <c r="E698" s="681"/>
      <c r="F698" s="681"/>
      <c r="G698" s="681"/>
      <c r="H698" s="534" t="s">
        <v>1986</v>
      </c>
      <c r="I698" s="681"/>
      <c r="J698" s="681"/>
      <c r="K698" s="681"/>
      <c r="L698" s="681"/>
      <c r="M698" s="681"/>
      <c r="N698" s="681"/>
      <c r="O698" s="681"/>
      <c r="P698" s="681"/>
      <c r="Q698" s="681"/>
      <c r="R698" s="681"/>
      <c r="S698" s="681"/>
      <c r="T698" s="534"/>
    </row>
    <row r="699" spans="1:20">
      <c r="A699" s="681"/>
      <c r="B699" s="681"/>
      <c r="C699" s="681"/>
      <c r="D699" s="681"/>
      <c r="E699" s="681"/>
      <c r="F699" s="681"/>
      <c r="G699" s="681"/>
      <c r="H699" s="534" t="s">
        <v>1987</v>
      </c>
      <c r="I699" s="681"/>
      <c r="J699" s="681"/>
      <c r="K699" s="681"/>
      <c r="L699" s="681"/>
      <c r="M699" s="681"/>
      <c r="N699" s="681"/>
      <c r="O699" s="681"/>
      <c r="P699" s="681"/>
      <c r="Q699" s="681"/>
      <c r="R699" s="681"/>
      <c r="S699" s="681"/>
      <c r="T699" s="534"/>
    </row>
    <row r="700" spans="1:20">
      <c r="A700" s="681"/>
      <c r="B700" s="681"/>
      <c r="C700" s="681"/>
      <c r="D700" s="681"/>
      <c r="E700" s="681"/>
      <c r="F700" s="681"/>
      <c r="G700" s="681"/>
      <c r="H700" s="534" t="s">
        <v>1988</v>
      </c>
      <c r="I700" s="681"/>
      <c r="J700" s="681"/>
      <c r="K700" s="681"/>
      <c r="L700" s="681"/>
      <c r="M700" s="681"/>
      <c r="N700" s="681"/>
      <c r="O700" s="681"/>
      <c r="P700" s="681"/>
      <c r="Q700" s="681"/>
      <c r="R700" s="681"/>
      <c r="S700" s="681"/>
      <c r="T700" s="534"/>
    </row>
    <row r="701" spans="1:20">
      <c r="A701" s="681"/>
      <c r="B701" s="681"/>
      <c r="C701" s="681"/>
      <c r="D701" s="681"/>
      <c r="E701" s="681"/>
      <c r="F701" s="681"/>
      <c r="G701" s="681"/>
      <c r="H701" s="534" t="s">
        <v>1989</v>
      </c>
      <c r="I701" s="681"/>
      <c r="J701" s="681"/>
      <c r="K701" s="681"/>
      <c r="L701" s="681"/>
      <c r="M701" s="681"/>
      <c r="N701" s="681"/>
      <c r="O701" s="681"/>
      <c r="P701" s="681"/>
      <c r="Q701" s="681"/>
      <c r="R701" s="681"/>
      <c r="S701" s="681"/>
      <c r="T701" s="534"/>
    </row>
    <row r="702" spans="1:20">
      <c r="A702" s="681"/>
      <c r="B702" s="681"/>
      <c r="C702" s="681"/>
      <c r="D702" s="681"/>
      <c r="E702" s="681"/>
      <c r="F702" s="681"/>
      <c r="G702" s="681"/>
      <c r="H702" s="534" t="s">
        <v>1990</v>
      </c>
      <c r="I702" s="681"/>
      <c r="J702" s="681"/>
      <c r="K702" s="681"/>
      <c r="L702" s="681"/>
      <c r="M702" s="681"/>
      <c r="N702" s="681"/>
      <c r="O702" s="681"/>
      <c r="P702" s="681"/>
      <c r="Q702" s="681"/>
      <c r="R702" s="681"/>
      <c r="S702" s="681"/>
      <c r="T702" s="534"/>
    </row>
    <row r="703" spans="1:20">
      <c r="A703" s="682"/>
      <c r="B703" s="682"/>
      <c r="C703" s="682"/>
      <c r="D703" s="682"/>
      <c r="E703" s="682"/>
      <c r="F703" s="682"/>
      <c r="G703" s="682"/>
      <c r="H703" s="535" t="s">
        <v>1991</v>
      </c>
      <c r="I703" s="682"/>
      <c r="J703" s="682"/>
      <c r="K703" s="682"/>
      <c r="L703" s="682"/>
      <c r="M703" s="682"/>
      <c r="N703" s="682"/>
      <c r="O703" s="682"/>
      <c r="P703" s="682"/>
      <c r="Q703" s="682"/>
      <c r="R703" s="682"/>
      <c r="S703" s="682"/>
      <c r="T703" s="535"/>
    </row>
    <row r="704" spans="1:20">
      <c r="A704" s="680" t="s">
        <v>2001</v>
      </c>
      <c r="B704" s="680" t="s">
        <v>2002</v>
      </c>
      <c r="C704" s="680">
        <v>17440</v>
      </c>
      <c r="D704" s="680" t="s">
        <v>2003</v>
      </c>
      <c r="E704" s="680" t="s">
        <v>1951</v>
      </c>
      <c r="F704" s="680"/>
      <c r="G704" s="680"/>
      <c r="H704" s="533" t="s">
        <v>2004</v>
      </c>
      <c r="I704" s="680" t="s">
        <v>1172</v>
      </c>
      <c r="J704" s="680" t="s">
        <v>1993</v>
      </c>
      <c r="K704" s="680" t="s">
        <v>1994</v>
      </c>
      <c r="L704" s="680" t="s">
        <v>1436</v>
      </c>
      <c r="M704" s="680" t="s">
        <v>398</v>
      </c>
      <c r="N704" s="680" t="s">
        <v>1995</v>
      </c>
      <c r="O704" s="680" t="s">
        <v>2007</v>
      </c>
      <c r="P704" s="680" t="s">
        <v>1997</v>
      </c>
      <c r="Q704" s="680"/>
      <c r="R704" s="680"/>
      <c r="S704" s="680" t="s">
        <v>2008</v>
      </c>
      <c r="T704" s="533" t="s">
        <v>2009</v>
      </c>
    </row>
    <row r="705" spans="1:20">
      <c r="A705" s="681"/>
      <c r="B705" s="681"/>
      <c r="C705" s="681"/>
      <c r="D705" s="681"/>
      <c r="E705" s="681"/>
      <c r="F705" s="681"/>
      <c r="G705" s="681"/>
      <c r="H705" s="534"/>
      <c r="I705" s="681"/>
      <c r="J705" s="681"/>
      <c r="K705" s="681"/>
      <c r="L705" s="681"/>
      <c r="M705" s="681"/>
      <c r="N705" s="681"/>
      <c r="O705" s="681"/>
      <c r="P705" s="681"/>
      <c r="Q705" s="681"/>
      <c r="R705" s="681"/>
      <c r="S705" s="681"/>
      <c r="T705" s="534" t="s">
        <v>2010</v>
      </c>
    </row>
    <row r="706" spans="1:20" ht="86.4">
      <c r="A706" s="681"/>
      <c r="B706" s="681"/>
      <c r="C706" s="681"/>
      <c r="D706" s="681"/>
      <c r="E706" s="681"/>
      <c r="F706" s="681"/>
      <c r="G706" s="681"/>
      <c r="H706" s="534" t="s">
        <v>1155</v>
      </c>
      <c r="I706" s="681"/>
      <c r="J706" s="681"/>
      <c r="K706" s="681"/>
      <c r="L706" s="681"/>
      <c r="M706" s="681"/>
      <c r="N706" s="681"/>
      <c r="O706" s="681"/>
      <c r="P706" s="681"/>
      <c r="Q706" s="681"/>
      <c r="R706" s="681"/>
      <c r="S706" s="681"/>
      <c r="T706" s="534" t="s">
        <v>2011</v>
      </c>
    </row>
    <row r="707" spans="1:20">
      <c r="A707" s="681"/>
      <c r="B707" s="681"/>
      <c r="C707" s="681"/>
      <c r="D707" s="681"/>
      <c r="E707" s="681"/>
      <c r="F707" s="681"/>
      <c r="G707" s="681"/>
      <c r="H707" s="534" t="s">
        <v>2005</v>
      </c>
      <c r="I707" s="681"/>
      <c r="J707" s="681"/>
      <c r="K707" s="681"/>
      <c r="L707" s="681"/>
      <c r="M707" s="681"/>
      <c r="N707" s="681"/>
      <c r="O707" s="681"/>
      <c r="P707" s="681"/>
      <c r="Q707" s="681"/>
      <c r="R707" s="681"/>
      <c r="S707" s="681"/>
      <c r="T707" s="534"/>
    </row>
    <row r="708" spans="1:20">
      <c r="A708" s="682"/>
      <c r="B708" s="682"/>
      <c r="C708" s="682"/>
      <c r="D708" s="682"/>
      <c r="E708" s="682"/>
      <c r="F708" s="682"/>
      <c r="G708" s="682"/>
      <c r="H708" s="535" t="s">
        <v>2006</v>
      </c>
      <c r="I708" s="682"/>
      <c r="J708" s="682"/>
      <c r="K708" s="682"/>
      <c r="L708" s="682"/>
      <c r="M708" s="682"/>
      <c r="N708" s="682"/>
      <c r="O708" s="682"/>
      <c r="P708" s="682"/>
      <c r="Q708" s="682"/>
      <c r="R708" s="682"/>
      <c r="S708" s="682"/>
      <c r="T708" s="535"/>
    </row>
    <row r="709" spans="1:20" ht="28.8">
      <c r="A709" s="680" t="s">
        <v>2012</v>
      </c>
      <c r="B709" s="680" t="s">
        <v>2013</v>
      </c>
      <c r="C709" s="680">
        <v>17440</v>
      </c>
      <c r="D709" s="680" t="s">
        <v>2014</v>
      </c>
      <c r="E709" s="680" t="s">
        <v>1951</v>
      </c>
      <c r="F709" s="680"/>
      <c r="G709" s="680"/>
      <c r="H709" s="533" t="s">
        <v>1151</v>
      </c>
      <c r="I709" s="680" t="s">
        <v>2018</v>
      </c>
      <c r="J709" s="680" t="s">
        <v>2019</v>
      </c>
      <c r="K709" s="680" t="s">
        <v>2020</v>
      </c>
      <c r="L709" s="680" t="s">
        <v>398</v>
      </c>
      <c r="M709" s="680" t="s">
        <v>1625</v>
      </c>
      <c r="N709" s="680" t="s">
        <v>2021</v>
      </c>
      <c r="O709" s="680" t="s">
        <v>2022</v>
      </c>
      <c r="P709" s="680" t="s">
        <v>2023</v>
      </c>
      <c r="Q709" s="680" t="s">
        <v>1335</v>
      </c>
      <c r="R709" s="680" t="s">
        <v>2024</v>
      </c>
      <c r="S709" s="680" t="s">
        <v>2025</v>
      </c>
      <c r="T709" s="533" t="s">
        <v>2026</v>
      </c>
    </row>
    <row r="710" spans="1:20">
      <c r="A710" s="681"/>
      <c r="B710" s="681"/>
      <c r="C710" s="681"/>
      <c r="D710" s="681"/>
      <c r="E710" s="681"/>
      <c r="F710" s="681"/>
      <c r="G710" s="681"/>
      <c r="H710" s="534" t="s">
        <v>2015</v>
      </c>
      <c r="I710" s="681"/>
      <c r="J710" s="681"/>
      <c r="K710" s="681"/>
      <c r="L710" s="681"/>
      <c r="M710" s="681"/>
      <c r="N710" s="681"/>
      <c r="O710" s="681"/>
      <c r="P710" s="681"/>
      <c r="Q710" s="681"/>
      <c r="R710" s="681"/>
      <c r="S710" s="681"/>
      <c r="T710" s="534" t="s">
        <v>2010</v>
      </c>
    </row>
    <row r="711" spans="1:20" ht="57.6">
      <c r="A711" s="681"/>
      <c r="B711" s="681"/>
      <c r="C711" s="681"/>
      <c r="D711" s="681"/>
      <c r="E711" s="681"/>
      <c r="F711" s="681"/>
      <c r="G711" s="681"/>
      <c r="H711" s="534"/>
      <c r="I711" s="681"/>
      <c r="J711" s="681"/>
      <c r="K711" s="681"/>
      <c r="L711" s="681"/>
      <c r="M711" s="681"/>
      <c r="N711" s="681"/>
      <c r="O711" s="681"/>
      <c r="P711" s="681"/>
      <c r="Q711" s="681"/>
      <c r="R711" s="681"/>
      <c r="S711" s="681"/>
      <c r="T711" s="534" t="s">
        <v>2027</v>
      </c>
    </row>
    <row r="712" spans="1:20">
      <c r="A712" s="681"/>
      <c r="B712" s="681"/>
      <c r="C712" s="681"/>
      <c r="D712" s="681"/>
      <c r="E712" s="681"/>
      <c r="F712" s="681"/>
      <c r="G712" s="681"/>
      <c r="H712" s="534" t="s">
        <v>1155</v>
      </c>
      <c r="I712" s="681"/>
      <c r="J712" s="681"/>
      <c r="K712" s="681"/>
      <c r="L712" s="681"/>
      <c r="M712" s="681"/>
      <c r="N712" s="681"/>
      <c r="O712" s="681"/>
      <c r="P712" s="681"/>
      <c r="Q712" s="681"/>
      <c r="R712" s="681"/>
      <c r="S712" s="681"/>
      <c r="T712" s="534"/>
    </row>
    <row r="713" spans="1:20">
      <c r="A713" s="681"/>
      <c r="B713" s="681"/>
      <c r="C713" s="681"/>
      <c r="D713" s="681"/>
      <c r="E713" s="681"/>
      <c r="F713" s="681"/>
      <c r="G713" s="681"/>
      <c r="H713" s="534" t="s">
        <v>2016</v>
      </c>
      <c r="I713" s="681"/>
      <c r="J713" s="681"/>
      <c r="K713" s="681"/>
      <c r="L713" s="681"/>
      <c r="M713" s="681"/>
      <c r="N713" s="681"/>
      <c r="O713" s="681"/>
      <c r="P713" s="681"/>
      <c r="Q713" s="681"/>
      <c r="R713" s="681"/>
      <c r="S713" s="681"/>
      <c r="T713" s="534"/>
    </row>
    <row r="714" spans="1:20">
      <c r="A714" s="682"/>
      <c r="B714" s="682"/>
      <c r="C714" s="682"/>
      <c r="D714" s="682"/>
      <c r="E714" s="682"/>
      <c r="F714" s="682"/>
      <c r="G714" s="682"/>
      <c r="H714" s="535" t="s">
        <v>2017</v>
      </c>
      <c r="I714" s="682"/>
      <c r="J714" s="682"/>
      <c r="K714" s="682"/>
      <c r="L714" s="682"/>
      <c r="M714" s="682"/>
      <c r="N714" s="682"/>
      <c r="O714" s="682"/>
      <c r="P714" s="682"/>
      <c r="Q714" s="682"/>
      <c r="R714" s="682"/>
      <c r="S714" s="682"/>
      <c r="T714" s="535"/>
    </row>
    <row r="715" spans="1:20">
      <c r="A715" s="680" t="s">
        <v>2028</v>
      </c>
      <c r="B715" s="680" t="s">
        <v>2029</v>
      </c>
      <c r="C715" s="680">
        <v>17440</v>
      </c>
      <c r="D715" s="680" t="s">
        <v>2030</v>
      </c>
      <c r="E715" s="680" t="s">
        <v>1951</v>
      </c>
      <c r="F715" s="680"/>
      <c r="G715" s="680"/>
      <c r="H715" s="533" t="s">
        <v>1157</v>
      </c>
      <c r="I715" s="680" t="s">
        <v>2032</v>
      </c>
      <c r="J715" s="680" t="s">
        <v>1993</v>
      </c>
      <c r="K715" s="680" t="s">
        <v>1994</v>
      </c>
      <c r="L715" s="680" t="s">
        <v>1436</v>
      </c>
      <c r="M715" s="680" t="s">
        <v>1145</v>
      </c>
      <c r="N715" s="680" t="s">
        <v>2033</v>
      </c>
      <c r="O715" s="680" t="s">
        <v>2034</v>
      </c>
      <c r="P715" s="680" t="s">
        <v>2035</v>
      </c>
      <c r="Q715" s="680"/>
      <c r="R715" s="680"/>
      <c r="S715" s="680"/>
      <c r="T715" s="533" t="s">
        <v>2036</v>
      </c>
    </row>
    <row r="716" spans="1:20">
      <c r="A716" s="681"/>
      <c r="B716" s="681"/>
      <c r="C716" s="681"/>
      <c r="D716" s="681"/>
      <c r="E716" s="681"/>
      <c r="F716" s="681"/>
      <c r="G716" s="681"/>
      <c r="H716" s="534">
        <v>316</v>
      </c>
      <c r="I716" s="681"/>
      <c r="J716" s="681"/>
      <c r="K716" s="681"/>
      <c r="L716" s="681"/>
      <c r="M716" s="681"/>
      <c r="N716" s="681"/>
      <c r="O716" s="681"/>
      <c r="P716" s="681"/>
      <c r="Q716" s="681"/>
      <c r="R716" s="681"/>
      <c r="S716" s="681"/>
      <c r="T716" s="534" t="s">
        <v>2010</v>
      </c>
    </row>
    <row r="717" spans="1:20" ht="28.8">
      <c r="A717" s="682"/>
      <c r="B717" s="682"/>
      <c r="C717" s="682"/>
      <c r="D717" s="682"/>
      <c r="E717" s="682"/>
      <c r="F717" s="682"/>
      <c r="G717" s="682"/>
      <c r="H717" s="535" t="s">
        <v>2031</v>
      </c>
      <c r="I717" s="682"/>
      <c r="J717" s="682"/>
      <c r="K717" s="682"/>
      <c r="L717" s="682"/>
      <c r="M717" s="682"/>
      <c r="N717" s="682"/>
      <c r="O717" s="682"/>
      <c r="P717" s="682"/>
      <c r="Q717" s="682"/>
      <c r="R717" s="682"/>
      <c r="S717" s="682"/>
      <c r="T717" s="535" t="s">
        <v>2037</v>
      </c>
    </row>
    <row r="718" spans="1:20">
      <c r="A718" s="680" t="s">
        <v>2038</v>
      </c>
      <c r="B718" s="680" t="s">
        <v>2039</v>
      </c>
      <c r="C718" s="680">
        <v>17440</v>
      </c>
      <c r="D718" s="680" t="s">
        <v>2040</v>
      </c>
      <c r="E718" s="680" t="s">
        <v>1951</v>
      </c>
      <c r="F718" s="680"/>
      <c r="G718" s="680"/>
      <c r="H718" s="533" t="s">
        <v>1151</v>
      </c>
      <c r="I718" s="680" t="s">
        <v>1172</v>
      </c>
      <c r="J718" s="680" t="s">
        <v>413</v>
      </c>
      <c r="K718" s="680" t="s">
        <v>1994</v>
      </c>
      <c r="L718" s="680" t="s">
        <v>1436</v>
      </c>
      <c r="M718" s="680" t="s">
        <v>1145</v>
      </c>
      <c r="N718" s="680" t="s">
        <v>2033</v>
      </c>
      <c r="O718" s="680" t="s">
        <v>2043</v>
      </c>
      <c r="P718" s="680" t="s">
        <v>2035</v>
      </c>
      <c r="Q718" s="680"/>
      <c r="R718" s="680"/>
      <c r="S718" s="680"/>
      <c r="T718" s="533" t="s">
        <v>2036</v>
      </c>
    </row>
    <row r="719" spans="1:20" ht="28.8">
      <c r="A719" s="681"/>
      <c r="B719" s="681"/>
      <c r="C719" s="681"/>
      <c r="D719" s="681"/>
      <c r="E719" s="681"/>
      <c r="F719" s="681"/>
      <c r="G719" s="681"/>
      <c r="H719" s="534" t="s">
        <v>2041</v>
      </c>
      <c r="I719" s="681"/>
      <c r="J719" s="681"/>
      <c r="K719" s="681"/>
      <c r="L719" s="681"/>
      <c r="M719" s="681"/>
      <c r="N719" s="681"/>
      <c r="O719" s="681"/>
      <c r="P719" s="681"/>
      <c r="Q719" s="681"/>
      <c r="R719" s="681"/>
      <c r="S719" s="681"/>
      <c r="T719" s="534" t="s">
        <v>2044</v>
      </c>
    </row>
    <row r="720" spans="1:20" ht="43.2">
      <c r="A720" s="681"/>
      <c r="B720" s="681"/>
      <c r="C720" s="681"/>
      <c r="D720" s="681"/>
      <c r="E720" s="681"/>
      <c r="F720" s="681"/>
      <c r="G720" s="681"/>
      <c r="H720" s="534"/>
      <c r="I720" s="681"/>
      <c r="J720" s="681"/>
      <c r="K720" s="681"/>
      <c r="L720" s="681"/>
      <c r="M720" s="681"/>
      <c r="N720" s="681"/>
      <c r="O720" s="681"/>
      <c r="P720" s="681"/>
      <c r="Q720" s="681"/>
      <c r="R720" s="681"/>
      <c r="S720" s="681"/>
      <c r="T720" s="534" t="s">
        <v>2045</v>
      </c>
    </row>
    <row r="721" spans="1:20">
      <c r="A721" s="681"/>
      <c r="B721" s="681"/>
      <c r="C721" s="681"/>
      <c r="D721" s="681"/>
      <c r="E721" s="681"/>
      <c r="F721" s="681"/>
      <c r="G721" s="681"/>
      <c r="H721" s="534" t="s">
        <v>1155</v>
      </c>
      <c r="I721" s="681"/>
      <c r="J721" s="681"/>
      <c r="K721" s="681"/>
      <c r="L721" s="681"/>
      <c r="M721" s="681"/>
      <c r="N721" s="681"/>
      <c r="O721" s="681"/>
      <c r="P721" s="681"/>
      <c r="Q721" s="681"/>
      <c r="R721" s="681"/>
      <c r="S721" s="681"/>
      <c r="T721" s="534"/>
    </row>
    <row r="722" spans="1:20">
      <c r="A722" s="682"/>
      <c r="B722" s="682"/>
      <c r="C722" s="682"/>
      <c r="D722" s="682"/>
      <c r="E722" s="682"/>
      <c r="F722" s="682"/>
      <c r="G722" s="682"/>
      <c r="H722" s="535" t="s">
        <v>2042</v>
      </c>
      <c r="I722" s="682"/>
      <c r="J722" s="682"/>
      <c r="K722" s="682"/>
      <c r="L722" s="682"/>
      <c r="M722" s="682"/>
      <c r="N722" s="682"/>
      <c r="O722" s="682"/>
      <c r="P722" s="682"/>
      <c r="Q722" s="682"/>
      <c r="R722" s="682"/>
      <c r="S722" s="682"/>
      <c r="T722" s="535"/>
    </row>
    <row r="723" spans="1:20">
      <c r="A723" s="680" t="s">
        <v>2046</v>
      </c>
      <c r="B723" s="680" t="s">
        <v>2047</v>
      </c>
      <c r="C723" s="680">
        <v>17440</v>
      </c>
      <c r="D723" s="680" t="s">
        <v>2048</v>
      </c>
      <c r="E723" s="680" t="s">
        <v>1951</v>
      </c>
      <c r="F723" s="680"/>
      <c r="G723" s="680"/>
      <c r="H723" s="533" t="s">
        <v>2049</v>
      </c>
      <c r="I723" s="680" t="s">
        <v>1172</v>
      </c>
      <c r="J723" s="680" t="s">
        <v>413</v>
      </c>
      <c r="K723" s="680" t="s">
        <v>1994</v>
      </c>
      <c r="L723" s="680" t="s">
        <v>1145</v>
      </c>
      <c r="M723" s="680" t="s">
        <v>1145</v>
      </c>
      <c r="N723" s="680" t="s">
        <v>1995</v>
      </c>
      <c r="O723" s="680" t="s">
        <v>2052</v>
      </c>
      <c r="P723" s="680" t="s">
        <v>2035</v>
      </c>
      <c r="Q723" s="680"/>
      <c r="R723" s="680"/>
      <c r="S723" s="680"/>
      <c r="T723" s="533" t="s">
        <v>2053</v>
      </c>
    </row>
    <row r="724" spans="1:20" ht="28.8">
      <c r="A724" s="681"/>
      <c r="B724" s="681"/>
      <c r="C724" s="681"/>
      <c r="D724" s="681"/>
      <c r="E724" s="681"/>
      <c r="F724" s="681"/>
      <c r="G724" s="681"/>
      <c r="H724" s="534"/>
      <c r="I724" s="681"/>
      <c r="J724" s="681"/>
      <c r="K724" s="681"/>
      <c r="L724" s="681"/>
      <c r="M724" s="681"/>
      <c r="N724" s="681"/>
      <c r="O724" s="681"/>
      <c r="P724" s="681"/>
      <c r="Q724" s="681"/>
      <c r="R724" s="681"/>
      <c r="S724" s="681"/>
      <c r="T724" s="534" t="s">
        <v>2044</v>
      </c>
    </row>
    <row r="725" spans="1:20">
      <c r="A725" s="681"/>
      <c r="B725" s="681"/>
      <c r="C725" s="681"/>
      <c r="D725" s="681"/>
      <c r="E725" s="681"/>
      <c r="F725" s="681"/>
      <c r="G725" s="681"/>
      <c r="H725" s="534" t="s">
        <v>2050</v>
      </c>
      <c r="I725" s="681"/>
      <c r="J725" s="681"/>
      <c r="K725" s="681"/>
      <c r="L725" s="681"/>
      <c r="M725" s="681"/>
      <c r="N725" s="681"/>
      <c r="O725" s="681"/>
      <c r="P725" s="681"/>
      <c r="Q725" s="681"/>
      <c r="R725" s="681"/>
      <c r="S725" s="681"/>
      <c r="T725" s="534" t="s">
        <v>2054</v>
      </c>
    </row>
    <row r="726" spans="1:20">
      <c r="A726" s="681"/>
      <c r="B726" s="681"/>
      <c r="C726" s="681"/>
      <c r="D726" s="681"/>
      <c r="E726" s="681"/>
      <c r="F726" s="681"/>
      <c r="G726" s="681"/>
      <c r="H726" s="534"/>
      <c r="I726" s="681"/>
      <c r="J726" s="681"/>
      <c r="K726" s="681"/>
      <c r="L726" s="681"/>
      <c r="M726" s="681"/>
      <c r="N726" s="681"/>
      <c r="O726" s="681"/>
      <c r="P726" s="681"/>
      <c r="Q726" s="681"/>
      <c r="R726" s="681"/>
      <c r="S726" s="681"/>
      <c r="T726" s="534"/>
    </row>
    <row r="727" spans="1:20">
      <c r="A727" s="682"/>
      <c r="B727" s="682"/>
      <c r="C727" s="682"/>
      <c r="D727" s="682"/>
      <c r="E727" s="682"/>
      <c r="F727" s="682"/>
      <c r="G727" s="682"/>
      <c r="H727" s="535" t="s">
        <v>2051</v>
      </c>
      <c r="I727" s="682"/>
      <c r="J727" s="682"/>
      <c r="K727" s="682"/>
      <c r="L727" s="682"/>
      <c r="M727" s="682"/>
      <c r="N727" s="682"/>
      <c r="O727" s="682"/>
      <c r="P727" s="682"/>
      <c r="Q727" s="682"/>
      <c r="R727" s="682"/>
      <c r="S727" s="682"/>
      <c r="T727" s="535"/>
    </row>
    <row r="728" spans="1:20">
      <c r="A728" s="680" t="s">
        <v>2055</v>
      </c>
      <c r="B728" s="680" t="s">
        <v>2056</v>
      </c>
      <c r="C728" s="680"/>
      <c r="D728" s="680" t="s">
        <v>2057</v>
      </c>
      <c r="E728" s="680"/>
      <c r="F728" s="680"/>
      <c r="G728" s="680"/>
      <c r="H728" s="533" t="s">
        <v>1151</v>
      </c>
      <c r="I728" s="680" t="s">
        <v>1172</v>
      </c>
      <c r="J728" s="680" t="s">
        <v>2065</v>
      </c>
      <c r="K728" s="680" t="s">
        <v>1316</v>
      </c>
      <c r="L728" s="680" t="s">
        <v>1055</v>
      </c>
      <c r="M728" s="680" t="s">
        <v>1308</v>
      </c>
      <c r="N728" s="680" t="s">
        <v>2066</v>
      </c>
      <c r="O728" s="680" t="s">
        <v>2067</v>
      </c>
      <c r="P728" s="680" t="s">
        <v>2068</v>
      </c>
      <c r="Q728" s="680"/>
      <c r="R728" s="680"/>
      <c r="S728" s="680" t="s">
        <v>2008</v>
      </c>
      <c r="T728" s="680" t="s">
        <v>2069</v>
      </c>
    </row>
    <row r="729" spans="1:20">
      <c r="A729" s="681"/>
      <c r="B729" s="681"/>
      <c r="C729" s="681"/>
      <c r="D729" s="681"/>
      <c r="E729" s="681"/>
      <c r="F729" s="681"/>
      <c r="G729" s="681"/>
      <c r="H729" s="534" t="s">
        <v>1955</v>
      </c>
      <c r="I729" s="681"/>
      <c r="J729" s="681"/>
      <c r="K729" s="681"/>
      <c r="L729" s="681"/>
      <c r="M729" s="681"/>
      <c r="N729" s="681"/>
      <c r="O729" s="681"/>
      <c r="P729" s="681"/>
      <c r="Q729" s="681"/>
      <c r="R729" s="681"/>
      <c r="S729" s="681"/>
      <c r="T729" s="681"/>
    </row>
    <row r="730" spans="1:20">
      <c r="A730" s="681"/>
      <c r="B730" s="681"/>
      <c r="C730" s="681"/>
      <c r="D730" s="681"/>
      <c r="E730" s="681"/>
      <c r="F730" s="681"/>
      <c r="G730" s="681"/>
      <c r="H730" s="534" t="s">
        <v>1959</v>
      </c>
      <c r="I730" s="681"/>
      <c r="J730" s="681"/>
      <c r="K730" s="681"/>
      <c r="L730" s="681"/>
      <c r="M730" s="681"/>
      <c r="N730" s="681"/>
      <c r="O730" s="681"/>
      <c r="P730" s="681"/>
      <c r="Q730" s="681"/>
      <c r="R730" s="681"/>
      <c r="S730" s="681"/>
      <c r="T730" s="681"/>
    </row>
    <row r="731" spans="1:20">
      <c r="A731" s="681"/>
      <c r="B731" s="681"/>
      <c r="C731" s="681"/>
      <c r="D731" s="681"/>
      <c r="E731" s="681"/>
      <c r="F731" s="681"/>
      <c r="G731" s="681"/>
      <c r="H731" s="534" t="s">
        <v>1962</v>
      </c>
      <c r="I731" s="681"/>
      <c r="J731" s="681"/>
      <c r="K731" s="681"/>
      <c r="L731" s="681"/>
      <c r="M731" s="681"/>
      <c r="N731" s="681"/>
      <c r="O731" s="681"/>
      <c r="P731" s="681"/>
      <c r="Q731" s="681"/>
      <c r="R731" s="681"/>
      <c r="S731" s="681"/>
      <c r="T731" s="681"/>
    </row>
    <row r="732" spans="1:20">
      <c r="A732" s="681"/>
      <c r="B732" s="681"/>
      <c r="C732" s="681"/>
      <c r="D732" s="681"/>
      <c r="E732" s="681"/>
      <c r="F732" s="681"/>
      <c r="G732" s="681"/>
      <c r="H732" s="534" t="s">
        <v>1963</v>
      </c>
      <c r="I732" s="681"/>
      <c r="J732" s="681"/>
      <c r="K732" s="681"/>
      <c r="L732" s="681"/>
      <c r="M732" s="681"/>
      <c r="N732" s="681"/>
      <c r="O732" s="681"/>
      <c r="P732" s="681"/>
      <c r="Q732" s="681"/>
      <c r="R732" s="681"/>
      <c r="S732" s="681"/>
      <c r="T732" s="681"/>
    </row>
    <row r="733" spans="1:20">
      <c r="A733" s="681"/>
      <c r="B733" s="681"/>
      <c r="C733" s="681"/>
      <c r="D733" s="681"/>
      <c r="E733" s="681"/>
      <c r="F733" s="681"/>
      <c r="G733" s="681"/>
      <c r="H733" s="534" t="s">
        <v>1975</v>
      </c>
      <c r="I733" s="681"/>
      <c r="J733" s="681"/>
      <c r="K733" s="681"/>
      <c r="L733" s="681"/>
      <c r="M733" s="681"/>
      <c r="N733" s="681"/>
      <c r="O733" s="681"/>
      <c r="P733" s="681"/>
      <c r="Q733" s="681"/>
      <c r="R733" s="681"/>
      <c r="S733" s="681"/>
      <c r="T733" s="681"/>
    </row>
    <row r="734" spans="1:20">
      <c r="A734" s="681"/>
      <c r="B734" s="681"/>
      <c r="C734" s="681"/>
      <c r="D734" s="681"/>
      <c r="E734" s="681"/>
      <c r="F734" s="681"/>
      <c r="G734" s="681"/>
      <c r="H734" s="534" t="s">
        <v>2058</v>
      </c>
      <c r="I734" s="681"/>
      <c r="J734" s="681"/>
      <c r="K734" s="681"/>
      <c r="L734" s="681"/>
      <c r="M734" s="681"/>
      <c r="N734" s="681"/>
      <c r="O734" s="681"/>
      <c r="P734" s="681"/>
      <c r="Q734" s="681"/>
      <c r="R734" s="681"/>
      <c r="S734" s="681"/>
      <c r="T734" s="681"/>
    </row>
    <row r="735" spans="1:20">
      <c r="A735" s="681"/>
      <c r="B735" s="681"/>
      <c r="C735" s="681"/>
      <c r="D735" s="681"/>
      <c r="E735" s="681"/>
      <c r="F735" s="681"/>
      <c r="G735" s="681"/>
      <c r="H735" s="534" t="s">
        <v>2059</v>
      </c>
      <c r="I735" s="681"/>
      <c r="J735" s="681"/>
      <c r="K735" s="681"/>
      <c r="L735" s="681"/>
      <c r="M735" s="681"/>
      <c r="N735" s="681"/>
      <c r="O735" s="681"/>
      <c r="P735" s="681"/>
      <c r="Q735" s="681"/>
      <c r="R735" s="681"/>
      <c r="S735" s="681"/>
      <c r="T735" s="681"/>
    </row>
    <row r="736" spans="1:20">
      <c r="A736" s="681"/>
      <c r="B736" s="681"/>
      <c r="C736" s="681"/>
      <c r="D736" s="681"/>
      <c r="E736" s="681"/>
      <c r="F736" s="681"/>
      <c r="G736" s="681"/>
      <c r="H736" s="534" t="s">
        <v>2060</v>
      </c>
      <c r="I736" s="681"/>
      <c r="J736" s="681"/>
      <c r="K736" s="681"/>
      <c r="L736" s="681"/>
      <c r="M736" s="681"/>
      <c r="N736" s="681"/>
      <c r="O736" s="681"/>
      <c r="P736" s="681"/>
      <c r="Q736" s="681"/>
      <c r="R736" s="681"/>
      <c r="S736" s="681"/>
      <c r="T736" s="681"/>
    </row>
    <row r="737" spans="1:20">
      <c r="A737" s="681"/>
      <c r="B737" s="681"/>
      <c r="C737" s="681"/>
      <c r="D737" s="681"/>
      <c r="E737" s="681"/>
      <c r="F737" s="681"/>
      <c r="G737" s="681"/>
      <c r="H737" s="534" t="s">
        <v>2061</v>
      </c>
      <c r="I737" s="681"/>
      <c r="J737" s="681"/>
      <c r="K737" s="681"/>
      <c r="L737" s="681"/>
      <c r="M737" s="681"/>
      <c r="N737" s="681"/>
      <c r="O737" s="681"/>
      <c r="P737" s="681"/>
      <c r="Q737" s="681"/>
      <c r="R737" s="681"/>
      <c r="S737" s="681"/>
      <c r="T737" s="681"/>
    </row>
    <row r="738" spans="1:20">
      <c r="A738" s="681"/>
      <c r="B738" s="681"/>
      <c r="C738" s="681"/>
      <c r="D738" s="681"/>
      <c r="E738" s="681"/>
      <c r="F738" s="681"/>
      <c r="G738" s="681"/>
      <c r="H738" s="534" t="s">
        <v>2062</v>
      </c>
      <c r="I738" s="681"/>
      <c r="J738" s="681"/>
      <c r="K738" s="681"/>
      <c r="L738" s="681"/>
      <c r="M738" s="681"/>
      <c r="N738" s="681"/>
      <c r="O738" s="681"/>
      <c r="P738" s="681"/>
      <c r="Q738" s="681"/>
      <c r="R738" s="681"/>
      <c r="S738" s="681"/>
      <c r="T738" s="681"/>
    </row>
    <row r="739" spans="1:20">
      <c r="A739" s="681"/>
      <c r="B739" s="681"/>
      <c r="C739" s="681"/>
      <c r="D739" s="681"/>
      <c r="E739" s="681"/>
      <c r="F739" s="681"/>
      <c r="G739" s="681"/>
      <c r="H739" s="534" t="s">
        <v>2063</v>
      </c>
      <c r="I739" s="681"/>
      <c r="J739" s="681"/>
      <c r="K739" s="681"/>
      <c r="L739" s="681"/>
      <c r="M739" s="681"/>
      <c r="N739" s="681"/>
      <c r="O739" s="681"/>
      <c r="P739" s="681"/>
      <c r="Q739" s="681"/>
      <c r="R739" s="681"/>
      <c r="S739" s="681"/>
      <c r="T739" s="681"/>
    </row>
    <row r="740" spans="1:20">
      <c r="A740" s="681"/>
      <c r="B740" s="681"/>
      <c r="C740" s="681"/>
      <c r="D740" s="681"/>
      <c r="E740" s="681"/>
      <c r="F740" s="681"/>
      <c r="G740" s="681"/>
      <c r="H740" s="534"/>
      <c r="I740" s="681"/>
      <c r="J740" s="681"/>
      <c r="K740" s="681"/>
      <c r="L740" s="681"/>
      <c r="M740" s="681"/>
      <c r="N740" s="681"/>
      <c r="O740" s="681"/>
      <c r="P740" s="681"/>
      <c r="Q740" s="681"/>
      <c r="R740" s="681"/>
      <c r="S740" s="681"/>
      <c r="T740" s="681"/>
    </row>
    <row r="741" spans="1:20">
      <c r="A741" s="681"/>
      <c r="B741" s="681"/>
      <c r="C741" s="681"/>
      <c r="D741" s="681"/>
      <c r="E741" s="681"/>
      <c r="F741" s="681"/>
      <c r="G741" s="681"/>
      <c r="H741" s="534" t="s">
        <v>1155</v>
      </c>
      <c r="I741" s="681"/>
      <c r="J741" s="681"/>
      <c r="K741" s="681"/>
      <c r="L741" s="681"/>
      <c r="M741" s="681"/>
      <c r="N741" s="681"/>
      <c r="O741" s="681"/>
      <c r="P741" s="681"/>
      <c r="Q741" s="681"/>
      <c r="R741" s="681"/>
      <c r="S741" s="681"/>
      <c r="T741" s="681"/>
    </row>
    <row r="742" spans="1:20">
      <c r="A742" s="682"/>
      <c r="B742" s="682"/>
      <c r="C742" s="682"/>
      <c r="D742" s="682"/>
      <c r="E742" s="682"/>
      <c r="F742" s="682"/>
      <c r="G742" s="682"/>
      <c r="H742" s="535" t="s">
        <v>2064</v>
      </c>
      <c r="I742" s="682"/>
      <c r="J742" s="682"/>
      <c r="K742" s="682"/>
      <c r="L742" s="682"/>
      <c r="M742" s="682"/>
      <c r="N742" s="682"/>
      <c r="O742" s="682"/>
      <c r="P742" s="682"/>
      <c r="Q742" s="682"/>
      <c r="R742" s="682"/>
      <c r="S742" s="682"/>
      <c r="T742" s="682"/>
    </row>
    <row r="743" spans="1:20" ht="28.8">
      <c r="A743" s="680" t="s">
        <v>2070</v>
      </c>
      <c r="B743" s="680" t="s">
        <v>2071</v>
      </c>
      <c r="C743" s="680"/>
      <c r="D743" s="680" t="s">
        <v>2072</v>
      </c>
      <c r="E743" s="680" t="s">
        <v>1951</v>
      </c>
      <c r="F743" s="680"/>
      <c r="G743" s="680"/>
      <c r="H743" s="533" t="s">
        <v>1151</v>
      </c>
      <c r="I743" s="680" t="s">
        <v>1172</v>
      </c>
      <c r="J743" s="680" t="s">
        <v>1993</v>
      </c>
      <c r="K743" s="680" t="s">
        <v>1994</v>
      </c>
      <c r="L743" s="680" t="s">
        <v>1145</v>
      </c>
      <c r="M743" s="680" t="s">
        <v>1308</v>
      </c>
      <c r="N743" s="680" t="s">
        <v>2075</v>
      </c>
      <c r="O743" s="680" t="s">
        <v>2076</v>
      </c>
      <c r="P743" s="680" t="s">
        <v>2077</v>
      </c>
      <c r="Q743" s="680" t="s">
        <v>1992</v>
      </c>
      <c r="R743" s="680" t="s">
        <v>1386</v>
      </c>
      <c r="S743" s="680"/>
      <c r="T743" s="533" t="s">
        <v>2078</v>
      </c>
    </row>
    <row r="744" spans="1:20" ht="43.2">
      <c r="A744" s="681"/>
      <c r="B744" s="681"/>
      <c r="C744" s="681"/>
      <c r="D744" s="681"/>
      <c r="E744" s="681"/>
      <c r="F744" s="681"/>
      <c r="G744" s="681"/>
      <c r="H744" s="534" t="s">
        <v>2073</v>
      </c>
      <c r="I744" s="681"/>
      <c r="J744" s="681"/>
      <c r="K744" s="681"/>
      <c r="L744" s="681"/>
      <c r="M744" s="681"/>
      <c r="N744" s="681"/>
      <c r="O744" s="681"/>
      <c r="P744" s="681"/>
      <c r="Q744" s="681"/>
      <c r="R744" s="681"/>
      <c r="S744" s="681"/>
      <c r="T744" s="534" t="s">
        <v>2079</v>
      </c>
    </row>
    <row r="745" spans="1:20">
      <c r="A745" s="681"/>
      <c r="B745" s="681"/>
      <c r="C745" s="681"/>
      <c r="D745" s="681"/>
      <c r="E745" s="681"/>
      <c r="F745" s="681"/>
      <c r="G745" s="681"/>
      <c r="H745" s="534"/>
      <c r="I745" s="681"/>
      <c r="J745" s="681"/>
      <c r="K745" s="681"/>
      <c r="L745" s="681"/>
      <c r="M745" s="681"/>
      <c r="N745" s="681"/>
      <c r="O745" s="681"/>
      <c r="P745" s="681"/>
      <c r="Q745" s="681"/>
      <c r="R745" s="681"/>
      <c r="S745" s="681"/>
      <c r="T745" s="534"/>
    </row>
    <row r="746" spans="1:20">
      <c r="A746" s="681"/>
      <c r="B746" s="681"/>
      <c r="C746" s="681"/>
      <c r="D746" s="681"/>
      <c r="E746" s="681"/>
      <c r="F746" s="681"/>
      <c r="G746" s="681"/>
      <c r="H746" s="534" t="s">
        <v>1155</v>
      </c>
      <c r="I746" s="681"/>
      <c r="J746" s="681"/>
      <c r="K746" s="681"/>
      <c r="L746" s="681"/>
      <c r="M746" s="681"/>
      <c r="N746" s="681"/>
      <c r="O746" s="681"/>
      <c r="P746" s="681"/>
      <c r="Q746" s="681"/>
      <c r="R746" s="681"/>
      <c r="S746" s="681"/>
      <c r="T746" s="534"/>
    </row>
    <row r="747" spans="1:20">
      <c r="A747" s="682"/>
      <c r="B747" s="682"/>
      <c r="C747" s="682"/>
      <c r="D747" s="682"/>
      <c r="E747" s="682"/>
      <c r="F747" s="682"/>
      <c r="G747" s="682"/>
      <c r="H747" s="535" t="s">
        <v>2074</v>
      </c>
      <c r="I747" s="682"/>
      <c r="J747" s="682"/>
      <c r="K747" s="682"/>
      <c r="L747" s="682"/>
      <c r="M747" s="682"/>
      <c r="N747" s="682"/>
      <c r="O747" s="682"/>
      <c r="P747" s="682"/>
      <c r="Q747" s="682"/>
      <c r="R747" s="682"/>
      <c r="S747" s="682"/>
      <c r="T747" s="535"/>
    </row>
    <row r="748" spans="1:20" ht="28.8">
      <c r="A748" s="680" t="s">
        <v>2080</v>
      </c>
      <c r="B748" s="680" t="s">
        <v>2081</v>
      </c>
      <c r="C748" s="680">
        <v>17440</v>
      </c>
      <c r="D748" s="680" t="s">
        <v>2082</v>
      </c>
      <c r="E748" s="680" t="s">
        <v>1951</v>
      </c>
      <c r="F748" s="680"/>
      <c r="G748" s="680"/>
      <c r="H748" s="533" t="s">
        <v>2083</v>
      </c>
      <c r="I748" s="680" t="s">
        <v>1172</v>
      </c>
      <c r="J748" s="680" t="s">
        <v>413</v>
      </c>
      <c r="K748" s="680" t="s">
        <v>1994</v>
      </c>
      <c r="L748" s="680" t="s">
        <v>1436</v>
      </c>
      <c r="M748" s="680" t="s">
        <v>398</v>
      </c>
      <c r="N748" s="680" t="s">
        <v>2033</v>
      </c>
      <c r="O748" s="680" t="s">
        <v>2085</v>
      </c>
      <c r="P748" s="680" t="s">
        <v>2086</v>
      </c>
      <c r="Q748" s="680"/>
      <c r="R748" s="680"/>
      <c r="S748" s="680"/>
      <c r="T748" s="533" t="s">
        <v>2087</v>
      </c>
    </row>
    <row r="749" spans="1:20" ht="28.8">
      <c r="A749" s="681"/>
      <c r="B749" s="681"/>
      <c r="C749" s="681"/>
      <c r="D749" s="681"/>
      <c r="E749" s="681"/>
      <c r="F749" s="681"/>
      <c r="G749" s="681"/>
      <c r="H749" s="534"/>
      <c r="I749" s="681"/>
      <c r="J749" s="681"/>
      <c r="K749" s="681"/>
      <c r="L749" s="681"/>
      <c r="M749" s="681"/>
      <c r="N749" s="681"/>
      <c r="O749" s="681"/>
      <c r="P749" s="681"/>
      <c r="Q749" s="681"/>
      <c r="R749" s="681"/>
      <c r="S749" s="681"/>
      <c r="T749" s="534" t="s">
        <v>2037</v>
      </c>
    </row>
    <row r="750" spans="1:20">
      <c r="A750" s="681"/>
      <c r="B750" s="681"/>
      <c r="C750" s="681"/>
      <c r="D750" s="681"/>
      <c r="E750" s="681"/>
      <c r="F750" s="681"/>
      <c r="G750" s="681"/>
      <c r="H750" s="534" t="s">
        <v>2084</v>
      </c>
      <c r="I750" s="681"/>
      <c r="J750" s="681"/>
      <c r="K750" s="681"/>
      <c r="L750" s="681"/>
      <c r="M750" s="681"/>
      <c r="N750" s="681"/>
      <c r="O750" s="681"/>
      <c r="P750" s="681"/>
      <c r="Q750" s="681"/>
      <c r="R750" s="681"/>
      <c r="S750" s="681"/>
      <c r="T750" s="534"/>
    </row>
    <row r="751" spans="1:20">
      <c r="A751" s="681"/>
      <c r="B751" s="681"/>
      <c r="C751" s="681"/>
      <c r="D751" s="681"/>
      <c r="E751" s="681"/>
      <c r="F751" s="681"/>
      <c r="G751" s="681"/>
      <c r="H751" s="534"/>
      <c r="I751" s="681"/>
      <c r="J751" s="681"/>
      <c r="K751" s="681"/>
      <c r="L751" s="681"/>
      <c r="M751" s="681"/>
      <c r="N751" s="681"/>
      <c r="O751" s="681"/>
      <c r="P751" s="681"/>
      <c r="Q751" s="681"/>
      <c r="R751" s="681"/>
      <c r="S751" s="681"/>
      <c r="T751" s="534"/>
    </row>
    <row r="752" spans="1:20">
      <c r="A752" s="681"/>
      <c r="B752" s="681"/>
      <c r="C752" s="681"/>
      <c r="D752" s="681"/>
      <c r="E752" s="681"/>
      <c r="F752" s="681"/>
      <c r="G752" s="681"/>
      <c r="H752" s="534" t="s">
        <v>1151</v>
      </c>
      <c r="I752" s="681"/>
      <c r="J752" s="681"/>
      <c r="K752" s="681"/>
      <c r="L752" s="681"/>
      <c r="M752" s="681"/>
      <c r="N752" s="681"/>
      <c r="O752" s="681"/>
      <c r="P752" s="681"/>
      <c r="Q752" s="681"/>
      <c r="R752" s="681"/>
      <c r="S752" s="681"/>
      <c r="T752" s="534"/>
    </row>
    <row r="753" spans="1:20">
      <c r="A753" s="681"/>
      <c r="B753" s="681"/>
      <c r="C753" s="681"/>
      <c r="D753" s="681"/>
      <c r="E753" s="681"/>
      <c r="F753" s="681"/>
      <c r="G753" s="681"/>
      <c r="H753" s="534" t="s">
        <v>1955</v>
      </c>
      <c r="I753" s="681"/>
      <c r="J753" s="681"/>
      <c r="K753" s="681"/>
      <c r="L753" s="681"/>
      <c r="M753" s="681"/>
      <c r="N753" s="681"/>
      <c r="O753" s="681"/>
      <c r="P753" s="681"/>
      <c r="Q753" s="681"/>
      <c r="R753" s="681"/>
      <c r="S753" s="681"/>
      <c r="T753" s="534"/>
    </row>
    <row r="754" spans="1:20">
      <c r="A754" s="681"/>
      <c r="B754" s="681"/>
      <c r="C754" s="681"/>
      <c r="D754" s="681"/>
      <c r="E754" s="681"/>
      <c r="F754" s="681"/>
      <c r="G754" s="681"/>
      <c r="H754" s="534" t="s">
        <v>1956</v>
      </c>
      <c r="I754" s="681"/>
      <c r="J754" s="681"/>
      <c r="K754" s="681"/>
      <c r="L754" s="681"/>
      <c r="M754" s="681"/>
      <c r="N754" s="681"/>
      <c r="O754" s="681"/>
      <c r="P754" s="681"/>
      <c r="Q754" s="681"/>
      <c r="R754" s="681"/>
      <c r="S754" s="681"/>
      <c r="T754" s="534"/>
    </row>
    <row r="755" spans="1:20">
      <c r="A755" s="681"/>
      <c r="B755" s="681"/>
      <c r="C755" s="681"/>
      <c r="D755" s="681"/>
      <c r="E755" s="681"/>
      <c r="F755" s="681"/>
      <c r="G755" s="681"/>
      <c r="H755" s="534" t="s">
        <v>1957</v>
      </c>
      <c r="I755" s="681"/>
      <c r="J755" s="681"/>
      <c r="K755" s="681"/>
      <c r="L755" s="681"/>
      <c r="M755" s="681"/>
      <c r="N755" s="681"/>
      <c r="O755" s="681"/>
      <c r="P755" s="681"/>
      <c r="Q755" s="681"/>
      <c r="R755" s="681"/>
      <c r="S755" s="681"/>
      <c r="T755" s="534"/>
    </row>
    <row r="756" spans="1:20">
      <c r="A756" s="681"/>
      <c r="B756" s="681"/>
      <c r="C756" s="681"/>
      <c r="D756" s="681"/>
      <c r="E756" s="681"/>
      <c r="F756" s="681"/>
      <c r="G756" s="681"/>
      <c r="H756" s="534" t="s">
        <v>1958</v>
      </c>
      <c r="I756" s="681"/>
      <c r="J756" s="681"/>
      <c r="K756" s="681"/>
      <c r="L756" s="681"/>
      <c r="M756" s="681"/>
      <c r="N756" s="681"/>
      <c r="O756" s="681"/>
      <c r="P756" s="681"/>
      <c r="Q756" s="681"/>
      <c r="R756" s="681"/>
      <c r="S756" s="681"/>
      <c r="T756" s="534"/>
    </row>
    <row r="757" spans="1:20">
      <c r="A757" s="681"/>
      <c r="B757" s="681"/>
      <c r="C757" s="681"/>
      <c r="D757" s="681"/>
      <c r="E757" s="681"/>
      <c r="F757" s="681"/>
      <c r="G757" s="681"/>
      <c r="H757" s="534" t="s">
        <v>1959</v>
      </c>
      <c r="I757" s="681"/>
      <c r="J757" s="681"/>
      <c r="K757" s="681"/>
      <c r="L757" s="681"/>
      <c r="M757" s="681"/>
      <c r="N757" s="681"/>
      <c r="O757" s="681"/>
      <c r="P757" s="681"/>
      <c r="Q757" s="681"/>
      <c r="R757" s="681"/>
      <c r="S757" s="681"/>
      <c r="T757" s="534"/>
    </row>
    <row r="758" spans="1:20">
      <c r="A758" s="681"/>
      <c r="B758" s="681"/>
      <c r="C758" s="681"/>
      <c r="D758" s="681"/>
      <c r="E758" s="681"/>
      <c r="F758" s="681"/>
      <c r="G758" s="681"/>
      <c r="H758" s="534" t="s">
        <v>1960</v>
      </c>
      <c r="I758" s="681"/>
      <c r="J758" s="681"/>
      <c r="K758" s="681"/>
      <c r="L758" s="681"/>
      <c r="M758" s="681"/>
      <c r="N758" s="681"/>
      <c r="O758" s="681"/>
      <c r="P758" s="681"/>
      <c r="Q758" s="681"/>
      <c r="R758" s="681"/>
      <c r="S758" s="681"/>
      <c r="T758" s="534"/>
    </row>
    <row r="759" spans="1:20">
      <c r="A759" s="681"/>
      <c r="B759" s="681"/>
      <c r="C759" s="681"/>
      <c r="D759" s="681"/>
      <c r="E759" s="681"/>
      <c r="F759" s="681"/>
      <c r="G759" s="681"/>
      <c r="H759" s="534" t="s">
        <v>1961</v>
      </c>
      <c r="I759" s="681"/>
      <c r="J759" s="681"/>
      <c r="K759" s="681"/>
      <c r="L759" s="681"/>
      <c r="M759" s="681"/>
      <c r="N759" s="681"/>
      <c r="O759" s="681"/>
      <c r="P759" s="681"/>
      <c r="Q759" s="681"/>
      <c r="R759" s="681"/>
      <c r="S759" s="681"/>
      <c r="T759" s="534"/>
    </row>
    <row r="760" spans="1:20">
      <c r="A760" s="681"/>
      <c r="B760" s="681"/>
      <c r="C760" s="681"/>
      <c r="D760" s="681"/>
      <c r="E760" s="681"/>
      <c r="F760" s="681"/>
      <c r="G760" s="681"/>
      <c r="H760" s="534" t="s">
        <v>1963</v>
      </c>
      <c r="I760" s="681"/>
      <c r="J760" s="681"/>
      <c r="K760" s="681"/>
      <c r="L760" s="681"/>
      <c r="M760" s="681"/>
      <c r="N760" s="681"/>
      <c r="O760" s="681"/>
      <c r="P760" s="681"/>
      <c r="Q760" s="681"/>
      <c r="R760" s="681"/>
      <c r="S760" s="681"/>
      <c r="T760" s="534"/>
    </row>
    <row r="761" spans="1:20">
      <c r="A761" s="681"/>
      <c r="B761" s="681"/>
      <c r="C761" s="681"/>
      <c r="D761" s="681"/>
      <c r="E761" s="681"/>
      <c r="F761" s="681"/>
      <c r="G761" s="681"/>
      <c r="H761" s="534" t="s">
        <v>1964</v>
      </c>
      <c r="I761" s="681"/>
      <c r="J761" s="681"/>
      <c r="K761" s="681"/>
      <c r="L761" s="681"/>
      <c r="M761" s="681"/>
      <c r="N761" s="681"/>
      <c r="O761" s="681"/>
      <c r="P761" s="681"/>
      <c r="Q761" s="681"/>
      <c r="R761" s="681"/>
      <c r="S761" s="681"/>
      <c r="T761" s="534"/>
    </row>
    <row r="762" spans="1:20">
      <c r="A762" s="681"/>
      <c r="B762" s="681"/>
      <c r="C762" s="681"/>
      <c r="D762" s="681"/>
      <c r="E762" s="681"/>
      <c r="F762" s="681"/>
      <c r="G762" s="681"/>
      <c r="H762" s="534" t="s">
        <v>1967</v>
      </c>
      <c r="I762" s="681"/>
      <c r="J762" s="681"/>
      <c r="K762" s="681"/>
      <c r="L762" s="681"/>
      <c r="M762" s="681"/>
      <c r="N762" s="681"/>
      <c r="O762" s="681"/>
      <c r="P762" s="681"/>
      <c r="Q762" s="681"/>
      <c r="R762" s="681"/>
      <c r="S762" s="681"/>
      <c r="T762" s="534"/>
    </row>
    <row r="763" spans="1:20">
      <c r="A763" s="681"/>
      <c r="B763" s="681"/>
      <c r="C763" s="681"/>
      <c r="D763" s="681"/>
      <c r="E763" s="681"/>
      <c r="F763" s="681"/>
      <c r="G763" s="681"/>
      <c r="H763" s="534" t="s">
        <v>1968</v>
      </c>
      <c r="I763" s="681"/>
      <c r="J763" s="681"/>
      <c r="K763" s="681"/>
      <c r="L763" s="681"/>
      <c r="M763" s="681"/>
      <c r="N763" s="681"/>
      <c r="O763" s="681"/>
      <c r="P763" s="681"/>
      <c r="Q763" s="681"/>
      <c r="R763" s="681"/>
      <c r="S763" s="681"/>
      <c r="T763" s="534"/>
    </row>
    <row r="764" spans="1:20">
      <c r="A764" s="681"/>
      <c r="B764" s="681"/>
      <c r="C764" s="681"/>
      <c r="D764" s="681"/>
      <c r="E764" s="681"/>
      <c r="F764" s="681"/>
      <c r="G764" s="681"/>
      <c r="H764" s="534" t="s">
        <v>1970</v>
      </c>
      <c r="I764" s="681"/>
      <c r="J764" s="681"/>
      <c r="K764" s="681"/>
      <c r="L764" s="681"/>
      <c r="M764" s="681"/>
      <c r="N764" s="681"/>
      <c r="O764" s="681"/>
      <c r="P764" s="681"/>
      <c r="Q764" s="681"/>
      <c r="R764" s="681"/>
      <c r="S764" s="681"/>
      <c r="T764" s="534"/>
    </row>
    <row r="765" spans="1:20">
      <c r="A765" s="681"/>
      <c r="B765" s="681"/>
      <c r="C765" s="681"/>
      <c r="D765" s="681"/>
      <c r="E765" s="681"/>
      <c r="F765" s="681"/>
      <c r="G765" s="681"/>
      <c r="H765" s="534" t="s">
        <v>1971</v>
      </c>
      <c r="I765" s="681"/>
      <c r="J765" s="681"/>
      <c r="K765" s="681"/>
      <c r="L765" s="681"/>
      <c r="M765" s="681"/>
      <c r="N765" s="681"/>
      <c r="O765" s="681"/>
      <c r="P765" s="681"/>
      <c r="Q765" s="681"/>
      <c r="R765" s="681"/>
      <c r="S765" s="681"/>
      <c r="T765" s="534"/>
    </row>
    <row r="766" spans="1:20">
      <c r="A766" s="681"/>
      <c r="B766" s="681"/>
      <c r="C766" s="681"/>
      <c r="D766" s="681"/>
      <c r="E766" s="681"/>
      <c r="F766" s="681"/>
      <c r="G766" s="681"/>
      <c r="H766" s="534" t="s">
        <v>1975</v>
      </c>
      <c r="I766" s="681"/>
      <c r="J766" s="681"/>
      <c r="K766" s="681"/>
      <c r="L766" s="681"/>
      <c r="M766" s="681"/>
      <c r="N766" s="681"/>
      <c r="O766" s="681"/>
      <c r="P766" s="681"/>
      <c r="Q766" s="681"/>
      <c r="R766" s="681"/>
      <c r="S766" s="681"/>
      <c r="T766" s="534"/>
    </row>
    <row r="767" spans="1:20">
      <c r="A767" s="681"/>
      <c r="B767" s="681"/>
      <c r="C767" s="681"/>
      <c r="D767" s="681"/>
      <c r="E767" s="681"/>
      <c r="F767" s="681"/>
      <c r="G767" s="681"/>
      <c r="H767" s="534" t="s">
        <v>1983</v>
      </c>
      <c r="I767" s="681"/>
      <c r="J767" s="681"/>
      <c r="K767" s="681"/>
      <c r="L767" s="681"/>
      <c r="M767" s="681"/>
      <c r="N767" s="681"/>
      <c r="O767" s="681"/>
      <c r="P767" s="681"/>
      <c r="Q767" s="681"/>
      <c r="R767" s="681"/>
      <c r="S767" s="681"/>
      <c r="T767" s="534"/>
    </row>
    <row r="768" spans="1:20">
      <c r="A768" s="681"/>
      <c r="B768" s="681"/>
      <c r="C768" s="681"/>
      <c r="D768" s="681"/>
      <c r="E768" s="681"/>
      <c r="F768" s="681"/>
      <c r="G768" s="681"/>
      <c r="H768" s="534" t="s">
        <v>1985</v>
      </c>
      <c r="I768" s="681"/>
      <c r="J768" s="681"/>
      <c r="K768" s="681"/>
      <c r="L768" s="681"/>
      <c r="M768" s="681"/>
      <c r="N768" s="681"/>
      <c r="O768" s="681"/>
      <c r="P768" s="681"/>
      <c r="Q768" s="681"/>
      <c r="R768" s="681"/>
      <c r="S768" s="681"/>
      <c r="T768" s="534"/>
    </row>
    <row r="769" spans="1:20">
      <c r="A769" s="681"/>
      <c r="B769" s="681"/>
      <c r="C769" s="681"/>
      <c r="D769" s="681"/>
      <c r="E769" s="681"/>
      <c r="F769" s="681"/>
      <c r="G769" s="681"/>
      <c r="H769" s="534" t="s">
        <v>1986</v>
      </c>
      <c r="I769" s="681"/>
      <c r="J769" s="681"/>
      <c r="K769" s="681"/>
      <c r="L769" s="681"/>
      <c r="M769" s="681"/>
      <c r="N769" s="681"/>
      <c r="O769" s="681"/>
      <c r="P769" s="681"/>
      <c r="Q769" s="681"/>
      <c r="R769" s="681"/>
      <c r="S769" s="681"/>
      <c r="T769" s="534"/>
    </row>
    <row r="770" spans="1:20">
      <c r="A770" s="681"/>
      <c r="B770" s="681"/>
      <c r="C770" s="681"/>
      <c r="D770" s="681"/>
      <c r="E770" s="681"/>
      <c r="F770" s="681"/>
      <c r="G770" s="681"/>
      <c r="H770" s="534" t="s">
        <v>1988</v>
      </c>
      <c r="I770" s="681"/>
      <c r="J770" s="681"/>
      <c r="K770" s="681"/>
      <c r="L770" s="681"/>
      <c r="M770" s="681"/>
      <c r="N770" s="681"/>
      <c r="O770" s="681"/>
      <c r="P770" s="681"/>
      <c r="Q770" s="681"/>
      <c r="R770" s="681"/>
      <c r="S770" s="681"/>
      <c r="T770" s="534"/>
    </row>
    <row r="771" spans="1:20">
      <c r="A771" s="681"/>
      <c r="B771" s="681"/>
      <c r="C771" s="681"/>
      <c r="D771" s="681"/>
      <c r="E771" s="681"/>
      <c r="F771" s="681"/>
      <c r="G771" s="681"/>
      <c r="H771" s="534" t="s">
        <v>1989</v>
      </c>
      <c r="I771" s="681"/>
      <c r="J771" s="681"/>
      <c r="K771" s="681"/>
      <c r="L771" s="681"/>
      <c r="M771" s="681"/>
      <c r="N771" s="681"/>
      <c r="O771" s="681"/>
      <c r="P771" s="681"/>
      <c r="Q771" s="681"/>
      <c r="R771" s="681"/>
      <c r="S771" s="681"/>
      <c r="T771" s="534"/>
    </row>
    <row r="772" spans="1:20">
      <c r="A772" s="681"/>
      <c r="B772" s="681"/>
      <c r="C772" s="681"/>
      <c r="D772" s="681"/>
      <c r="E772" s="681"/>
      <c r="F772" s="681"/>
      <c r="G772" s="681"/>
      <c r="H772" s="534" t="s">
        <v>1990</v>
      </c>
      <c r="I772" s="681"/>
      <c r="J772" s="681"/>
      <c r="K772" s="681"/>
      <c r="L772" s="681"/>
      <c r="M772" s="681"/>
      <c r="N772" s="681"/>
      <c r="O772" s="681"/>
      <c r="P772" s="681"/>
      <c r="Q772" s="681"/>
      <c r="R772" s="681"/>
      <c r="S772" s="681"/>
      <c r="T772" s="534"/>
    </row>
    <row r="773" spans="1:20">
      <c r="A773" s="682"/>
      <c r="B773" s="682"/>
      <c r="C773" s="682"/>
      <c r="D773" s="682"/>
      <c r="E773" s="682"/>
      <c r="F773" s="682"/>
      <c r="G773" s="682"/>
      <c r="H773" s="535" t="s">
        <v>1991</v>
      </c>
      <c r="I773" s="682"/>
      <c r="J773" s="682"/>
      <c r="K773" s="682"/>
      <c r="L773" s="682"/>
      <c r="M773" s="682"/>
      <c r="N773" s="682"/>
      <c r="O773" s="682"/>
      <c r="P773" s="682"/>
      <c r="Q773" s="682"/>
      <c r="R773" s="682"/>
      <c r="S773" s="682"/>
      <c r="T773" s="535"/>
    </row>
    <row r="774" spans="1:20">
      <c r="A774" s="680" t="s">
        <v>2088</v>
      </c>
      <c r="B774" s="680" t="s">
        <v>2089</v>
      </c>
      <c r="C774" s="680">
        <v>17440</v>
      </c>
      <c r="D774" s="680" t="s">
        <v>2090</v>
      </c>
      <c r="E774" s="680" t="s">
        <v>1951</v>
      </c>
      <c r="F774" s="680"/>
      <c r="G774" s="680"/>
      <c r="H774" s="533" t="s">
        <v>2091</v>
      </c>
      <c r="I774" s="680" t="s">
        <v>1172</v>
      </c>
      <c r="J774" s="680" t="s">
        <v>1993</v>
      </c>
      <c r="K774" s="680" t="s">
        <v>1994</v>
      </c>
      <c r="L774" s="680" t="s">
        <v>1436</v>
      </c>
      <c r="M774" s="680" t="s">
        <v>398</v>
      </c>
      <c r="N774" s="680" t="s">
        <v>2093</v>
      </c>
      <c r="O774" s="680" t="s">
        <v>2094</v>
      </c>
      <c r="P774" s="680" t="s">
        <v>2077</v>
      </c>
      <c r="Q774" s="680"/>
      <c r="R774" s="680"/>
      <c r="S774" s="680"/>
      <c r="T774" s="533" t="s">
        <v>2036</v>
      </c>
    </row>
    <row r="775" spans="1:20">
      <c r="A775" s="681"/>
      <c r="B775" s="681"/>
      <c r="C775" s="681"/>
      <c r="D775" s="681"/>
      <c r="E775" s="681"/>
      <c r="F775" s="681"/>
      <c r="G775" s="681"/>
      <c r="H775" s="534"/>
      <c r="I775" s="681"/>
      <c r="J775" s="681"/>
      <c r="K775" s="681"/>
      <c r="L775" s="681"/>
      <c r="M775" s="681"/>
      <c r="N775" s="681"/>
      <c r="O775" s="681"/>
      <c r="P775" s="681"/>
      <c r="Q775" s="681"/>
      <c r="R775" s="681"/>
      <c r="S775" s="681"/>
      <c r="T775" s="534" t="s">
        <v>2010</v>
      </c>
    </row>
    <row r="776" spans="1:20" ht="28.8">
      <c r="A776" s="682"/>
      <c r="B776" s="682"/>
      <c r="C776" s="682"/>
      <c r="D776" s="682"/>
      <c r="E776" s="682"/>
      <c r="F776" s="682"/>
      <c r="G776" s="682"/>
      <c r="H776" s="535" t="s">
        <v>2092</v>
      </c>
      <c r="I776" s="682"/>
      <c r="J776" s="682"/>
      <c r="K776" s="682"/>
      <c r="L776" s="682"/>
      <c r="M776" s="682"/>
      <c r="N776" s="682"/>
      <c r="O776" s="682"/>
      <c r="P776" s="682"/>
      <c r="Q776" s="682"/>
      <c r="R776" s="682"/>
      <c r="S776" s="682"/>
      <c r="T776" s="535" t="s">
        <v>2095</v>
      </c>
    </row>
    <row r="777" spans="1:20">
      <c r="A777" s="680" t="s">
        <v>2096</v>
      </c>
      <c r="B777" s="680" t="s">
        <v>2097</v>
      </c>
      <c r="C777" s="680" t="s">
        <v>2098</v>
      </c>
      <c r="D777" s="680" t="s">
        <v>2099</v>
      </c>
      <c r="E777" s="680" t="s">
        <v>1951</v>
      </c>
      <c r="F777" s="680"/>
      <c r="G777" s="680"/>
      <c r="H777" s="533" t="s">
        <v>1151</v>
      </c>
      <c r="I777" s="680" t="s">
        <v>1172</v>
      </c>
      <c r="J777" s="680" t="s">
        <v>1993</v>
      </c>
      <c r="K777" s="680" t="s">
        <v>1994</v>
      </c>
      <c r="L777" s="680" t="s">
        <v>1145</v>
      </c>
      <c r="M777" s="680" t="s">
        <v>1308</v>
      </c>
      <c r="N777" s="680" t="s">
        <v>2075</v>
      </c>
      <c r="O777" s="680" t="s">
        <v>2076</v>
      </c>
      <c r="P777" s="680" t="s">
        <v>2077</v>
      </c>
      <c r="Q777" s="680" t="s">
        <v>1992</v>
      </c>
      <c r="R777" s="680" t="s">
        <v>1386</v>
      </c>
      <c r="S777" s="680"/>
      <c r="T777" s="533" t="s">
        <v>2101</v>
      </c>
    </row>
    <row r="778" spans="1:20">
      <c r="A778" s="681"/>
      <c r="B778" s="681"/>
      <c r="C778" s="681"/>
      <c r="D778" s="681"/>
      <c r="E778" s="681"/>
      <c r="F778" s="681"/>
      <c r="G778" s="681"/>
      <c r="H778" s="534" t="s">
        <v>2073</v>
      </c>
      <c r="I778" s="681"/>
      <c r="J778" s="681"/>
      <c r="K778" s="681"/>
      <c r="L778" s="681"/>
      <c r="M778" s="681"/>
      <c r="N778" s="681"/>
      <c r="O778" s="681"/>
      <c r="P778" s="681"/>
      <c r="Q778" s="681"/>
      <c r="R778" s="681"/>
      <c r="S778" s="681"/>
      <c r="T778" s="534" t="s">
        <v>1999</v>
      </c>
    </row>
    <row r="779" spans="1:20" ht="158.4">
      <c r="A779" s="681"/>
      <c r="B779" s="681"/>
      <c r="C779" s="681"/>
      <c r="D779" s="681"/>
      <c r="E779" s="681"/>
      <c r="F779" s="681"/>
      <c r="G779" s="681"/>
      <c r="H779" s="534"/>
      <c r="I779" s="681"/>
      <c r="J779" s="681"/>
      <c r="K779" s="681"/>
      <c r="L779" s="681"/>
      <c r="M779" s="681"/>
      <c r="N779" s="681"/>
      <c r="O779" s="681"/>
      <c r="P779" s="681"/>
      <c r="Q779" s="681"/>
      <c r="R779" s="681"/>
      <c r="S779" s="681"/>
      <c r="T779" s="534" t="s">
        <v>2102</v>
      </c>
    </row>
    <row r="780" spans="1:20">
      <c r="A780" s="682"/>
      <c r="B780" s="682"/>
      <c r="C780" s="682"/>
      <c r="D780" s="682"/>
      <c r="E780" s="682"/>
      <c r="F780" s="682"/>
      <c r="G780" s="682"/>
      <c r="H780" s="535" t="s">
        <v>2100</v>
      </c>
      <c r="I780" s="682"/>
      <c r="J780" s="682"/>
      <c r="K780" s="682"/>
      <c r="L780" s="682"/>
      <c r="M780" s="682"/>
      <c r="N780" s="682"/>
      <c r="O780" s="682"/>
      <c r="P780" s="682"/>
      <c r="Q780" s="682"/>
      <c r="R780" s="682"/>
      <c r="S780" s="682"/>
      <c r="T780" s="535"/>
    </row>
    <row r="781" spans="1:20">
      <c r="A781" s="680" t="s">
        <v>2103</v>
      </c>
      <c r="B781" s="680" t="s">
        <v>2104</v>
      </c>
      <c r="C781" s="680"/>
      <c r="D781" s="680" t="s">
        <v>2105</v>
      </c>
      <c r="E781" s="680" t="s">
        <v>1951</v>
      </c>
      <c r="F781" s="680"/>
      <c r="G781" s="680"/>
      <c r="H781" s="533" t="s">
        <v>2106</v>
      </c>
      <c r="I781" s="680" t="s">
        <v>1172</v>
      </c>
      <c r="J781" s="680" t="s">
        <v>1993</v>
      </c>
      <c r="K781" s="680" t="s">
        <v>1993</v>
      </c>
      <c r="L781" s="680" t="s">
        <v>1145</v>
      </c>
      <c r="M781" s="680" t="s">
        <v>1283</v>
      </c>
      <c r="N781" s="680" t="s">
        <v>2066</v>
      </c>
      <c r="O781" s="680" t="s">
        <v>2067</v>
      </c>
      <c r="P781" s="680" t="s">
        <v>2118</v>
      </c>
      <c r="Q781" s="680"/>
      <c r="R781" s="680"/>
      <c r="S781" s="680" t="s">
        <v>2020</v>
      </c>
      <c r="T781" s="533" t="s">
        <v>2119</v>
      </c>
    </row>
    <row r="782" spans="1:20" ht="43.2">
      <c r="A782" s="681"/>
      <c r="B782" s="681"/>
      <c r="C782" s="681"/>
      <c r="D782" s="681"/>
      <c r="E782" s="681"/>
      <c r="F782" s="681"/>
      <c r="G782" s="681"/>
      <c r="H782" s="534" t="s">
        <v>2107</v>
      </c>
      <c r="I782" s="681"/>
      <c r="J782" s="681"/>
      <c r="K782" s="681"/>
      <c r="L782" s="681"/>
      <c r="M782" s="681"/>
      <c r="N782" s="681"/>
      <c r="O782" s="681"/>
      <c r="P782" s="681"/>
      <c r="Q782" s="681"/>
      <c r="R782" s="681"/>
      <c r="S782" s="681"/>
      <c r="T782" s="534" t="s">
        <v>2120</v>
      </c>
    </row>
    <row r="783" spans="1:20" ht="57.6">
      <c r="A783" s="681"/>
      <c r="B783" s="681"/>
      <c r="C783" s="681"/>
      <c r="D783" s="681"/>
      <c r="E783" s="681"/>
      <c r="F783" s="681"/>
      <c r="G783" s="681"/>
      <c r="H783" s="534" t="s">
        <v>2108</v>
      </c>
      <c r="I783" s="681"/>
      <c r="J783" s="681"/>
      <c r="K783" s="681"/>
      <c r="L783" s="681"/>
      <c r="M783" s="681"/>
      <c r="N783" s="681"/>
      <c r="O783" s="681"/>
      <c r="P783" s="681"/>
      <c r="Q783" s="681"/>
      <c r="R783" s="681"/>
      <c r="S783" s="681"/>
      <c r="T783" s="534" t="s">
        <v>2121</v>
      </c>
    </row>
    <row r="784" spans="1:20">
      <c r="A784" s="681"/>
      <c r="B784" s="681"/>
      <c r="C784" s="681"/>
      <c r="D784" s="681"/>
      <c r="E784" s="681"/>
      <c r="F784" s="681"/>
      <c r="G784" s="681"/>
      <c r="H784" s="534" t="s">
        <v>2109</v>
      </c>
      <c r="I784" s="681"/>
      <c r="J784" s="681"/>
      <c r="K784" s="681"/>
      <c r="L784" s="681"/>
      <c r="M784" s="681"/>
      <c r="N784" s="681"/>
      <c r="O784" s="681"/>
      <c r="P784" s="681"/>
      <c r="Q784" s="681"/>
      <c r="R784" s="681"/>
      <c r="S784" s="681"/>
      <c r="T784" s="534"/>
    </row>
    <row r="785" spans="1:20">
      <c r="A785" s="681"/>
      <c r="B785" s="681"/>
      <c r="C785" s="681"/>
      <c r="D785" s="681"/>
      <c r="E785" s="681"/>
      <c r="F785" s="681"/>
      <c r="G785" s="681"/>
      <c r="H785" s="534" t="s">
        <v>2110</v>
      </c>
      <c r="I785" s="681"/>
      <c r="J785" s="681"/>
      <c r="K785" s="681"/>
      <c r="L785" s="681"/>
      <c r="M785" s="681"/>
      <c r="N785" s="681"/>
      <c r="O785" s="681"/>
      <c r="P785" s="681"/>
      <c r="Q785" s="681"/>
      <c r="R785" s="681"/>
      <c r="S785" s="681"/>
      <c r="T785" s="534"/>
    </row>
    <row r="786" spans="1:20">
      <c r="A786" s="681"/>
      <c r="B786" s="681"/>
      <c r="C786" s="681"/>
      <c r="D786" s="681"/>
      <c r="E786" s="681"/>
      <c r="F786" s="681"/>
      <c r="G786" s="681"/>
      <c r="H786" s="534" t="s">
        <v>2111</v>
      </c>
      <c r="I786" s="681"/>
      <c r="J786" s="681"/>
      <c r="K786" s="681"/>
      <c r="L786" s="681"/>
      <c r="M786" s="681"/>
      <c r="N786" s="681"/>
      <c r="O786" s="681"/>
      <c r="P786" s="681"/>
      <c r="Q786" s="681"/>
      <c r="R786" s="681"/>
      <c r="S786" s="681"/>
      <c r="T786" s="534"/>
    </row>
    <row r="787" spans="1:20">
      <c r="A787" s="681"/>
      <c r="B787" s="681"/>
      <c r="C787" s="681"/>
      <c r="D787" s="681"/>
      <c r="E787" s="681"/>
      <c r="F787" s="681"/>
      <c r="G787" s="681"/>
      <c r="H787" s="534" t="s">
        <v>2112</v>
      </c>
      <c r="I787" s="681"/>
      <c r="J787" s="681"/>
      <c r="K787" s="681"/>
      <c r="L787" s="681"/>
      <c r="M787" s="681"/>
      <c r="N787" s="681"/>
      <c r="O787" s="681"/>
      <c r="P787" s="681"/>
      <c r="Q787" s="681"/>
      <c r="R787" s="681"/>
      <c r="S787" s="681"/>
      <c r="T787" s="534"/>
    </row>
    <row r="788" spans="1:20">
      <c r="A788" s="681"/>
      <c r="B788" s="681"/>
      <c r="C788" s="681"/>
      <c r="D788" s="681"/>
      <c r="E788" s="681"/>
      <c r="F788" s="681"/>
      <c r="G788" s="681"/>
      <c r="H788" s="534" t="s">
        <v>2113</v>
      </c>
      <c r="I788" s="681"/>
      <c r="J788" s="681"/>
      <c r="K788" s="681"/>
      <c r="L788" s="681"/>
      <c r="M788" s="681"/>
      <c r="N788" s="681"/>
      <c r="O788" s="681"/>
      <c r="P788" s="681"/>
      <c r="Q788" s="681"/>
      <c r="R788" s="681"/>
      <c r="S788" s="681"/>
      <c r="T788" s="534"/>
    </row>
    <row r="789" spans="1:20">
      <c r="A789" s="681"/>
      <c r="B789" s="681"/>
      <c r="C789" s="681"/>
      <c r="D789" s="681"/>
      <c r="E789" s="681"/>
      <c r="F789" s="681"/>
      <c r="G789" s="681"/>
      <c r="H789" s="534" t="s">
        <v>2114</v>
      </c>
      <c r="I789" s="681"/>
      <c r="J789" s="681"/>
      <c r="K789" s="681"/>
      <c r="L789" s="681"/>
      <c r="M789" s="681"/>
      <c r="N789" s="681"/>
      <c r="O789" s="681"/>
      <c r="P789" s="681"/>
      <c r="Q789" s="681"/>
      <c r="R789" s="681"/>
      <c r="S789" s="681"/>
      <c r="T789" s="534"/>
    </row>
    <row r="790" spans="1:20">
      <c r="A790" s="681"/>
      <c r="B790" s="681"/>
      <c r="C790" s="681"/>
      <c r="D790" s="681"/>
      <c r="E790" s="681"/>
      <c r="F790" s="681"/>
      <c r="G790" s="681"/>
      <c r="H790" s="534" t="s">
        <v>2115</v>
      </c>
      <c r="I790" s="681"/>
      <c r="J790" s="681"/>
      <c r="K790" s="681"/>
      <c r="L790" s="681"/>
      <c r="M790" s="681"/>
      <c r="N790" s="681"/>
      <c r="O790" s="681"/>
      <c r="P790" s="681"/>
      <c r="Q790" s="681"/>
      <c r="R790" s="681"/>
      <c r="S790" s="681"/>
      <c r="T790" s="534"/>
    </row>
    <row r="791" spans="1:20">
      <c r="A791" s="681"/>
      <c r="B791" s="681"/>
      <c r="C791" s="681"/>
      <c r="D791" s="681"/>
      <c r="E791" s="681"/>
      <c r="F791" s="681"/>
      <c r="G791" s="681"/>
      <c r="H791" s="534" t="s">
        <v>2116</v>
      </c>
      <c r="I791" s="681"/>
      <c r="J791" s="681"/>
      <c r="K791" s="681"/>
      <c r="L791" s="681"/>
      <c r="M791" s="681"/>
      <c r="N791" s="681"/>
      <c r="O791" s="681"/>
      <c r="P791" s="681"/>
      <c r="Q791" s="681"/>
      <c r="R791" s="681"/>
      <c r="S791" s="681"/>
      <c r="T791" s="534"/>
    </row>
    <row r="792" spans="1:20">
      <c r="A792" s="681"/>
      <c r="B792" s="681"/>
      <c r="C792" s="681"/>
      <c r="D792" s="681"/>
      <c r="E792" s="681"/>
      <c r="F792" s="681"/>
      <c r="G792" s="681"/>
      <c r="H792" s="534"/>
      <c r="I792" s="681"/>
      <c r="J792" s="681"/>
      <c r="K792" s="681"/>
      <c r="L792" s="681"/>
      <c r="M792" s="681"/>
      <c r="N792" s="681"/>
      <c r="O792" s="681"/>
      <c r="P792" s="681"/>
      <c r="Q792" s="681"/>
      <c r="R792" s="681"/>
      <c r="S792" s="681"/>
      <c r="T792" s="534"/>
    </row>
    <row r="793" spans="1:20">
      <c r="A793" s="682"/>
      <c r="B793" s="682"/>
      <c r="C793" s="682"/>
      <c r="D793" s="682"/>
      <c r="E793" s="682"/>
      <c r="F793" s="682"/>
      <c r="G793" s="682"/>
      <c r="H793" s="535" t="s">
        <v>2117</v>
      </c>
      <c r="I793" s="682"/>
      <c r="J793" s="682"/>
      <c r="K793" s="682"/>
      <c r="L793" s="682"/>
      <c r="M793" s="682"/>
      <c r="N793" s="682"/>
      <c r="O793" s="682"/>
      <c r="P793" s="682"/>
      <c r="Q793" s="682"/>
      <c r="R793" s="682"/>
      <c r="S793" s="682"/>
      <c r="T793" s="535"/>
    </row>
    <row r="794" spans="1:20">
      <c r="A794" s="680" t="s">
        <v>2122</v>
      </c>
      <c r="B794" s="680" t="s">
        <v>2123</v>
      </c>
      <c r="C794" s="680">
        <v>17440</v>
      </c>
      <c r="D794" s="680" t="s">
        <v>2124</v>
      </c>
      <c r="E794" s="680" t="s">
        <v>1951</v>
      </c>
      <c r="F794" s="680"/>
      <c r="G794" s="680"/>
      <c r="H794" s="533" t="s">
        <v>1151</v>
      </c>
      <c r="I794" s="680" t="s">
        <v>1386</v>
      </c>
      <c r="J794" s="680" t="s">
        <v>2132</v>
      </c>
      <c r="K794" s="680" t="s">
        <v>1994</v>
      </c>
      <c r="L794" s="680" t="s">
        <v>1145</v>
      </c>
      <c r="M794" s="680" t="s">
        <v>1625</v>
      </c>
      <c r="N794" s="680" t="s">
        <v>2133</v>
      </c>
      <c r="O794" s="680" t="s">
        <v>2066</v>
      </c>
      <c r="P794" s="680" t="s">
        <v>2134</v>
      </c>
      <c r="Q794" s="680"/>
      <c r="R794" s="680"/>
      <c r="S794" s="680" t="s">
        <v>2135</v>
      </c>
      <c r="T794" s="533" t="s">
        <v>2136</v>
      </c>
    </row>
    <row r="795" spans="1:20" ht="43.2">
      <c r="A795" s="681"/>
      <c r="B795" s="681"/>
      <c r="C795" s="681"/>
      <c r="D795" s="681"/>
      <c r="E795" s="681"/>
      <c r="F795" s="681"/>
      <c r="G795" s="681"/>
      <c r="H795" s="534" t="s">
        <v>2125</v>
      </c>
      <c r="I795" s="681"/>
      <c r="J795" s="681"/>
      <c r="K795" s="681"/>
      <c r="L795" s="681"/>
      <c r="M795" s="681"/>
      <c r="N795" s="681"/>
      <c r="O795" s="681"/>
      <c r="P795" s="681"/>
      <c r="Q795" s="681"/>
      <c r="R795" s="681"/>
      <c r="S795" s="681"/>
      <c r="T795" s="534" t="s">
        <v>2137</v>
      </c>
    </row>
    <row r="796" spans="1:20" ht="72">
      <c r="A796" s="681"/>
      <c r="B796" s="681"/>
      <c r="C796" s="681"/>
      <c r="D796" s="681"/>
      <c r="E796" s="681"/>
      <c r="F796" s="681"/>
      <c r="G796" s="681"/>
      <c r="H796" s="534" t="s">
        <v>2126</v>
      </c>
      <c r="I796" s="681"/>
      <c r="J796" s="681"/>
      <c r="K796" s="681"/>
      <c r="L796" s="681"/>
      <c r="M796" s="681"/>
      <c r="N796" s="681"/>
      <c r="O796" s="681"/>
      <c r="P796" s="681"/>
      <c r="Q796" s="681"/>
      <c r="R796" s="681"/>
      <c r="S796" s="681"/>
      <c r="T796" s="534" t="s">
        <v>2138</v>
      </c>
    </row>
    <row r="797" spans="1:20" ht="28.8">
      <c r="A797" s="681"/>
      <c r="B797" s="681"/>
      <c r="C797" s="681"/>
      <c r="D797" s="681"/>
      <c r="E797" s="681"/>
      <c r="F797" s="681"/>
      <c r="G797" s="681"/>
      <c r="H797" s="534" t="s">
        <v>2127</v>
      </c>
      <c r="I797" s="681"/>
      <c r="J797" s="681"/>
      <c r="K797" s="681"/>
      <c r="L797" s="681"/>
      <c r="M797" s="681"/>
      <c r="N797" s="681"/>
      <c r="O797" s="681"/>
      <c r="P797" s="681"/>
      <c r="Q797" s="681"/>
      <c r="R797" s="681"/>
      <c r="S797" s="681"/>
      <c r="T797" s="534"/>
    </row>
    <row r="798" spans="1:20" ht="28.8">
      <c r="A798" s="681"/>
      <c r="B798" s="681"/>
      <c r="C798" s="681"/>
      <c r="D798" s="681"/>
      <c r="E798" s="681"/>
      <c r="F798" s="681"/>
      <c r="G798" s="681"/>
      <c r="H798" s="534" t="s">
        <v>2128</v>
      </c>
      <c r="I798" s="681"/>
      <c r="J798" s="681"/>
      <c r="K798" s="681"/>
      <c r="L798" s="681"/>
      <c r="M798" s="681"/>
      <c r="N798" s="681"/>
      <c r="O798" s="681"/>
      <c r="P798" s="681"/>
      <c r="Q798" s="681"/>
      <c r="R798" s="681"/>
      <c r="S798" s="681"/>
      <c r="T798" s="534"/>
    </row>
    <row r="799" spans="1:20" ht="28.8">
      <c r="A799" s="681"/>
      <c r="B799" s="681"/>
      <c r="C799" s="681"/>
      <c r="D799" s="681"/>
      <c r="E799" s="681"/>
      <c r="F799" s="681"/>
      <c r="G799" s="681"/>
      <c r="H799" s="534" t="s">
        <v>2129</v>
      </c>
      <c r="I799" s="681"/>
      <c r="J799" s="681"/>
      <c r="K799" s="681"/>
      <c r="L799" s="681"/>
      <c r="M799" s="681"/>
      <c r="N799" s="681"/>
      <c r="O799" s="681"/>
      <c r="P799" s="681"/>
      <c r="Q799" s="681"/>
      <c r="R799" s="681"/>
      <c r="S799" s="681"/>
      <c r="T799" s="534"/>
    </row>
    <row r="800" spans="1:20" ht="28.8">
      <c r="A800" s="681"/>
      <c r="B800" s="681"/>
      <c r="C800" s="681"/>
      <c r="D800" s="681"/>
      <c r="E800" s="681"/>
      <c r="F800" s="681"/>
      <c r="G800" s="681"/>
      <c r="H800" s="534" t="s">
        <v>2130</v>
      </c>
      <c r="I800" s="681"/>
      <c r="J800" s="681"/>
      <c r="K800" s="681"/>
      <c r="L800" s="681"/>
      <c r="M800" s="681"/>
      <c r="N800" s="681"/>
      <c r="O800" s="681"/>
      <c r="P800" s="681"/>
      <c r="Q800" s="681"/>
      <c r="R800" s="681"/>
      <c r="S800" s="681"/>
      <c r="T800" s="534"/>
    </row>
    <row r="801" spans="1:20">
      <c r="A801" s="681"/>
      <c r="B801" s="681"/>
      <c r="C801" s="681"/>
      <c r="D801" s="681"/>
      <c r="E801" s="681"/>
      <c r="F801" s="681"/>
      <c r="G801" s="681"/>
      <c r="H801" s="534"/>
      <c r="I801" s="681"/>
      <c r="J801" s="681"/>
      <c r="K801" s="681"/>
      <c r="L801" s="681"/>
      <c r="M801" s="681"/>
      <c r="N801" s="681"/>
      <c r="O801" s="681"/>
      <c r="P801" s="681"/>
      <c r="Q801" s="681"/>
      <c r="R801" s="681"/>
      <c r="S801" s="681"/>
      <c r="T801" s="534"/>
    </row>
    <row r="802" spans="1:20">
      <c r="A802" s="681"/>
      <c r="B802" s="681"/>
      <c r="C802" s="681"/>
      <c r="D802" s="681"/>
      <c r="E802" s="681"/>
      <c r="F802" s="681"/>
      <c r="G802" s="681"/>
      <c r="H802" s="534" t="s">
        <v>1155</v>
      </c>
      <c r="I802" s="681"/>
      <c r="J802" s="681"/>
      <c r="K802" s="681"/>
      <c r="L802" s="681"/>
      <c r="M802" s="681"/>
      <c r="N802" s="681"/>
      <c r="O802" s="681"/>
      <c r="P802" s="681"/>
      <c r="Q802" s="681"/>
      <c r="R802" s="681"/>
      <c r="S802" s="681"/>
      <c r="T802" s="534"/>
    </row>
    <row r="803" spans="1:20">
      <c r="A803" s="682"/>
      <c r="B803" s="682"/>
      <c r="C803" s="682"/>
      <c r="D803" s="682"/>
      <c r="E803" s="682"/>
      <c r="F803" s="682"/>
      <c r="G803" s="682"/>
      <c r="H803" s="535" t="s">
        <v>2131</v>
      </c>
      <c r="I803" s="682"/>
      <c r="J803" s="682"/>
      <c r="K803" s="682"/>
      <c r="L803" s="682"/>
      <c r="M803" s="682"/>
      <c r="N803" s="682"/>
      <c r="O803" s="682"/>
      <c r="P803" s="682"/>
      <c r="Q803" s="682"/>
      <c r="R803" s="682"/>
      <c r="S803" s="682"/>
      <c r="T803" s="535"/>
    </row>
    <row r="804" spans="1:20">
      <c r="A804" s="680" t="s">
        <v>2139</v>
      </c>
      <c r="B804" s="680" t="s">
        <v>2140</v>
      </c>
      <c r="C804" s="680">
        <v>17440</v>
      </c>
      <c r="D804" s="680" t="s">
        <v>2141</v>
      </c>
      <c r="E804" s="680" t="s">
        <v>1951</v>
      </c>
      <c r="F804" s="680" t="s">
        <v>2142</v>
      </c>
      <c r="G804" s="680" t="s">
        <v>1953</v>
      </c>
      <c r="H804" s="533" t="s">
        <v>2143</v>
      </c>
      <c r="I804" s="680" t="s">
        <v>1335</v>
      </c>
      <c r="J804" s="680" t="s">
        <v>1993</v>
      </c>
      <c r="K804" s="680" t="s">
        <v>1994</v>
      </c>
      <c r="L804" s="680" t="s">
        <v>1436</v>
      </c>
      <c r="M804" s="680" t="s">
        <v>1145</v>
      </c>
      <c r="N804" s="680" t="s">
        <v>2163</v>
      </c>
      <c r="O804" s="680" t="s">
        <v>2164</v>
      </c>
      <c r="P804" s="680" t="s">
        <v>1064</v>
      </c>
      <c r="Q804" s="680"/>
      <c r="R804" s="680"/>
      <c r="S804" s="680"/>
      <c r="T804" s="533" t="s">
        <v>2165</v>
      </c>
    </row>
    <row r="805" spans="1:20" ht="43.2">
      <c r="A805" s="681"/>
      <c r="B805" s="681"/>
      <c r="C805" s="681"/>
      <c r="D805" s="681"/>
      <c r="E805" s="681"/>
      <c r="F805" s="681"/>
      <c r="G805" s="681"/>
      <c r="H805" s="534"/>
      <c r="I805" s="681"/>
      <c r="J805" s="681"/>
      <c r="K805" s="681"/>
      <c r="L805" s="681"/>
      <c r="M805" s="681"/>
      <c r="N805" s="681"/>
      <c r="O805" s="681"/>
      <c r="P805" s="681"/>
      <c r="Q805" s="681"/>
      <c r="R805" s="681"/>
      <c r="S805" s="681"/>
      <c r="T805" s="534" t="s">
        <v>2137</v>
      </c>
    </row>
    <row r="806" spans="1:20" ht="28.8">
      <c r="A806" s="681"/>
      <c r="B806" s="681"/>
      <c r="C806" s="681"/>
      <c r="D806" s="681"/>
      <c r="E806" s="681"/>
      <c r="F806" s="681"/>
      <c r="G806" s="681"/>
      <c r="H806" s="534" t="s">
        <v>2144</v>
      </c>
      <c r="I806" s="681"/>
      <c r="J806" s="681"/>
      <c r="K806" s="681"/>
      <c r="L806" s="681"/>
      <c r="M806" s="681"/>
      <c r="N806" s="681"/>
      <c r="O806" s="681"/>
      <c r="P806" s="681"/>
      <c r="Q806" s="681"/>
      <c r="R806" s="681"/>
      <c r="S806" s="681"/>
      <c r="T806" s="534" t="s">
        <v>2166</v>
      </c>
    </row>
    <row r="807" spans="1:20">
      <c r="A807" s="681"/>
      <c r="B807" s="681"/>
      <c r="C807" s="681"/>
      <c r="D807" s="681"/>
      <c r="E807" s="681"/>
      <c r="F807" s="681"/>
      <c r="G807" s="681"/>
      <c r="H807" s="534" t="s">
        <v>2145</v>
      </c>
      <c r="I807" s="681"/>
      <c r="J807" s="681"/>
      <c r="K807" s="681"/>
      <c r="L807" s="681"/>
      <c r="M807" s="681"/>
      <c r="N807" s="681"/>
      <c r="O807" s="681"/>
      <c r="P807" s="681"/>
      <c r="Q807" s="681"/>
      <c r="R807" s="681"/>
      <c r="S807" s="681"/>
      <c r="T807" s="534"/>
    </row>
    <row r="808" spans="1:20">
      <c r="A808" s="681"/>
      <c r="B808" s="681"/>
      <c r="C808" s="681"/>
      <c r="D808" s="681"/>
      <c r="E808" s="681"/>
      <c r="F808" s="681"/>
      <c r="G808" s="681"/>
      <c r="H808" s="534" t="s">
        <v>2146</v>
      </c>
      <c r="I808" s="681"/>
      <c r="J808" s="681"/>
      <c r="K808" s="681"/>
      <c r="L808" s="681"/>
      <c r="M808" s="681"/>
      <c r="N808" s="681"/>
      <c r="O808" s="681"/>
      <c r="P808" s="681"/>
      <c r="Q808" s="681"/>
      <c r="R808" s="681"/>
      <c r="S808" s="681"/>
      <c r="T808" s="534"/>
    </row>
    <row r="809" spans="1:20">
      <c r="A809" s="681"/>
      <c r="B809" s="681"/>
      <c r="C809" s="681"/>
      <c r="D809" s="681"/>
      <c r="E809" s="681"/>
      <c r="F809" s="681"/>
      <c r="G809" s="681"/>
      <c r="H809" s="534" t="s">
        <v>2147</v>
      </c>
      <c r="I809" s="681"/>
      <c r="J809" s="681"/>
      <c r="K809" s="681"/>
      <c r="L809" s="681"/>
      <c r="M809" s="681"/>
      <c r="N809" s="681"/>
      <c r="O809" s="681"/>
      <c r="P809" s="681"/>
      <c r="Q809" s="681"/>
      <c r="R809" s="681"/>
      <c r="S809" s="681"/>
      <c r="T809" s="534"/>
    </row>
    <row r="810" spans="1:20">
      <c r="A810" s="681"/>
      <c r="B810" s="681"/>
      <c r="C810" s="681"/>
      <c r="D810" s="681"/>
      <c r="E810" s="681"/>
      <c r="F810" s="681"/>
      <c r="G810" s="681"/>
      <c r="H810" s="534" t="s">
        <v>2148</v>
      </c>
      <c r="I810" s="681"/>
      <c r="J810" s="681"/>
      <c r="K810" s="681"/>
      <c r="L810" s="681"/>
      <c r="M810" s="681"/>
      <c r="N810" s="681"/>
      <c r="O810" s="681"/>
      <c r="P810" s="681"/>
      <c r="Q810" s="681"/>
      <c r="R810" s="681"/>
      <c r="S810" s="681"/>
      <c r="T810" s="534"/>
    </row>
    <row r="811" spans="1:20">
      <c r="A811" s="681"/>
      <c r="B811" s="681"/>
      <c r="C811" s="681"/>
      <c r="D811" s="681"/>
      <c r="E811" s="681"/>
      <c r="F811" s="681"/>
      <c r="G811" s="681"/>
      <c r="H811" s="534" t="s">
        <v>2149</v>
      </c>
      <c r="I811" s="681"/>
      <c r="J811" s="681"/>
      <c r="K811" s="681"/>
      <c r="L811" s="681"/>
      <c r="M811" s="681"/>
      <c r="N811" s="681"/>
      <c r="O811" s="681"/>
      <c r="P811" s="681"/>
      <c r="Q811" s="681"/>
      <c r="R811" s="681"/>
      <c r="S811" s="681"/>
      <c r="T811" s="534"/>
    </row>
    <row r="812" spans="1:20">
      <c r="A812" s="681"/>
      <c r="B812" s="681"/>
      <c r="C812" s="681"/>
      <c r="D812" s="681"/>
      <c r="E812" s="681"/>
      <c r="F812" s="681"/>
      <c r="G812" s="681"/>
      <c r="H812" s="534" t="s">
        <v>2150</v>
      </c>
      <c r="I812" s="681"/>
      <c r="J812" s="681"/>
      <c r="K812" s="681"/>
      <c r="L812" s="681"/>
      <c r="M812" s="681"/>
      <c r="N812" s="681"/>
      <c r="O812" s="681"/>
      <c r="P812" s="681"/>
      <c r="Q812" s="681"/>
      <c r="R812" s="681"/>
      <c r="S812" s="681"/>
      <c r="T812" s="534"/>
    </row>
    <row r="813" spans="1:20">
      <c r="A813" s="681"/>
      <c r="B813" s="681"/>
      <c r="C813" s="681"/>
      <c r="D813" s="681"/>
      <c r="E813" s="681"/>
      <c r="F813" s="681"/>
      <c r="G813" s="681"/>
      <c r="H813" s="534" t="s">
        <v>2151</v>
      </c>
      <c r="I813" s="681"/>
      <c r="J813" s="681"/>
      <c r="K813" s="681"/>
      <c r="L813" s="681"/>
      <c r="M813" s="681"/>
      <c r="N813" s="681"/>
      <c r="O813" s="681"/>
      <c r="P813" s="681"/>
      <c r="Q813" s="681"/>
      <c r="R813" s="681"/>
      <c r="S813" s="681"/>
      <c r="T813" s="534"/>
    </row>
    <row r="814" spans="1:20">
      <c r="A814" s="681"/>
      <c r="B814" s="681"/>
      <c r="C814" s="681"/>
      <c r="D814" s="681"/>
      <c r="E814" s="681"/>
      <c r="F814" s="681"/>
      <c r="G814" s="681"/>
      <c r="H814" s="534" t="s">
        <v>2152</v>
      </c>
      <c r="I814" s="681"/>
      <c r="J814" s="681"/>
      <c r="K814" s="681"/>
      <c r="L814" s="681"/>
      <c r="M814" s="681"/>
      <c r="N814" s="681"/>
      <c r="O814" s="681"/>
      <c r="P814" s="681"/>
      <c r="Q814" s="681"/>
      <c r="R814" s="681"/>
      <c r="S814" s="681"/>
      <c r="T814" s="534"/>
    </row>
    <row r="815" spans="1:20">
      <c r="A815" s="681"/>
      <c r="B815" s="681"/>
      <c r="C815" s="681"/>
      <c r="D815" s="681"/>
      <c r="E815" s="681"/>
      <c r="F815" s="681"/>
      <c r="G815" s="681"/>
      <c r="H815" s="534" t="s">
        <v>2153</v>
      </c>
      <c r="I815" s="681"/>
      <c r="J815" s="681"/>
      <c r="K815" s="681"/>
      <c r="L815" s="681"/>
      <c r="M815" s="681"/>
      <c r="N815" s="681"/>
      <c r="O815" s="681"/>
      <c r="P815" s="681"/>
      <c r="Q815" s="681"/>
      <c r="R815" s="681"/>
      <c r="S815" s="681"/>
      <c r="T815" s="534"/>
    </row>
    <row r="816" spans="1:20">
      <c r="A816" s="681"/>
      <c r="B816" s="681"/>
      <c r="C816" s="681"/>
      <c r="D816" s="681"/>
      <c r="E816" s="681"/>
      <c r="F816" s="681"/>
      <c r="G816" s="681"/>
      <c r="H816" s="534" t="s">
        <v>2154</v>
      </c>
      <c r="I816" s="681"/>
      <c r="J816" s="681"/>
      <c r="K816" s="681"/>
      <c r="L816" s="681"/>
      <c r="M816" s="681"/>
      <c r="N816" s="681"/>
      <c r="O816" s="681"/>
      <c r="P816" s="681"/>
      <c r="Q816" s="681"/>
      <c r="R816" s="681"/>
      <c r="S816" s="681"/>
      <c r="T816" s="534"/>
    </row>
    <row r="817" spans="1:20">
      <c r="A817" s="681"/>
      <c r="B817" s="681"/>
      <c r="C817" s="681"/>
      <c r="D817" s="681"/>
      <c r="E817" s="681"/>
      <c r="F817" s="681"/>
      <c r="G817" s="681"/>
      <c r="H817" s="534" t="s">
        <v>2155</v>
      </c>
      <c r="I817" s="681"/>
      <c r="J817" s="681"/>
      <c r="K817" s="681"/>
      <c r="L817" s="681"/>
      <c r="M817" s="681"/>
      <c r="N817" s="681"/>
      <c r="O817" s="681"/>
      <c r="P817" s="681"/>
      <c r="Q817" s="681"/>
      <c r="R817" s="681"/>
      <c r="S817" s="681"/>
      <c r="T817" s="534"/>
    </row>
    <row r="818" spans="1:20">
      <c r="A818" s="681"/>
      <c r="B818" s="681"/>
      <c r="C818" s="681"/>
      <c r="D818" s="681"/>
      <c r="E818" s="681"/>
      <c r="F818" s="681"/>
      <c r="G818" s="681"/>
      <c r="H818" s="534" t="s">
        <v>2156</v>
      </c>
      <c r="I818" s="681"/>
      <c r="J818" s="681"/>
      <c r="K818" s="681"/>
      <c r="L818" s="681"/>
      <c r="M818" s="681"/>
      <c r="N818" s="681"/>
      <c r="O818" s="681"/>
      <c r="P818" s="681"/>
      <c r="Q818" s="681"/>
      <c r="R818" s="681"/>
      <c r="S818" s="681"/>
      <c r="T818" s="534"/>
    </row>
    <row r="819" spans="1:20">
      <c r="A819" s="681"/>
      <c r="B819" s="681"/>
      <c r="C819" s="681"/>
      <c r="D819" s="681"/>
      <c r="E819" s="681"/>
      <c r="F819" s="681"/>
      <c r="G819" s="681"/>
      <c r="H819" s="534" t="s">
        <v>2157</v>
      </c>
      <c r="I819" s="681"/>
      <c r="J819" s="681"/>
      <c r="K819" s="681"/>
      <c r="L819" s="681"/>
      <c r="M819" s="681"/>
      <c r="N819" s="681"/>
      <c r="O819" s="681"/>
      <c r="P819" s="681"/>
      <c r="Q819" s="681"/>
      <c r="R819" s="681"/>
      <c r="S819" s="681"/>
      <c r="T819" s="534"/>
    </row>
    <row r="820" spans="1:20">
      <c r="A820" s="681"/>
      <c r="B820" s="681"/>
      <c r="C820" s="681"/>
      <c r="D820" s="681"/>
      <c r="E820" s="681"/>
      <c r="F820" s="681"/>
      <c r="G820" s="681"/>
      <c r="H820" s="534" t="s">
        <v>2158</v>
      </c>
      <c r="I820" s="681"/>
      <c r="J820" s="681"/>
      <c r="K820" s="681"/>
      <c r="L820" s="681"/>
      <c r="M820" s="681"/>
      <c r="N820" s="681"/>
      <c r="O820" s="681"/>
      <c r="P820" s="681"/>
      <c r="Q820" s="681"/>
      <c r="R820" s="681"/>
      <c r="S820" s="681"/>
      <c r="T820" s="534"/>
    </row>
    <row r="821" spans="1:20">
      <c r="A821" s="681"/>
      <c r="B821" s="681"/>
      <c r="C821" s="681"/>
      <c r="D821" s="681"/>
      <c r="E821" s="681"/>
      <c r="F821" s="681"/>
      <c r="G821" s="681"/>
      <c r="H821" s="534"/>
      <c r="I821" s="681"/>
      <c r="J821" s="681"/>
      <c r="K821" s="681"/>
      <c r="L821" s="681"/>
      <c r="M821" s="681"/>
      <c r="N821" s="681"/>
      <c r="O821" s="681"/>
      <c r="P821" s="681"/>
      <c r="Q821" s="681"/>
      <c r="R821" s="681"/>
      <c r="S821" s="681"/>
      <c r="T821" s="534"/>
    </row>
    <row r="822" spans="1:20">
      <c r="A822" s="681"/>
      <c r="B822" s="681"/>
      <c r="C822" s="681"/>
      <c r="D822" s="681"/>
      <c r="E822" s="681"/>
      <c r="F822" s="681"/>
      <c r="G822" s="681"/>
      <c r="H822" s="534" t="s">
        <v>2159</v>
      </c>
      <c r="I822" s="681"/>
      <c r="J822" s="681"/>
      <c r="K822" s="681"/>
      <c r="L822" s="681"/>
      <c r="M822" s="681"/>
      <c r="N822" s="681"/>
      <c r="O822" s="681"/>
      <c r="P822" s="681"/>
      <c r="Q822" s="681"/>
      <c r="R822" s="681"/>
      <c r="S822" s="681"/>
      <c r="T822" s="534"/>
    </row>
    <row r="823" spans="1:20">
      <c r="A823" s="681"/>
      <c r="B823" s="681"/>
      <c r="C823" s="681"/>
      <c r="D823" s="681"/>
      <c r="E823" s="681"/>
      <c r="F823" s="681"/>
      <c r="G823" s="681"/>
      <c r="H823" s="534"/>
      <c r="I823" s="681"/>
      <c r="J823" s="681"/>
      <c r="K823" s="681"/>
      <c r="L823" s="681"/>
      <c r="M823" s="681"/>
      <c r="N823" s="681"/>
      <c r="O823" s="681"/>
      <c r="P823" s="681"/>
      <c r="Q823" s="681"/>
      <c r="R823" s="681"/>
      <c r="S823" s="681"/>
      <c r="T823" s="534"/>
    </row>
    <row r="824" spans="1:20">
      <c r="A824" s="681"/>
      <c r="B824" s="681"/>
      <c r="C824" s="681"/>
      <c r="D824" s="681"/>
      <c r="E824" s="681"/>
      <c r="F824" s="681"/>
      <c r="G824" s="681"/>
      <c r="H824" s="534" t="s">
        <v>1151</v>
      </c>
      <c r="I824" s="681"/>
      <c r="J824" s="681"/>
      <c r="K824" s="681"/>
      <c r="L824" s="681"/>
      <c r="M824" s="681"/>
      <c r="N824" s="681"/>
      <c r="O824" s="681"/>
      <c r="P824" s="681"/>
      <c r="Q824" s="681"/>
      <c r="R824" s="681"/>
      <c r="S824" s="681"/>
      <c r="T824" s="534"/>
    </row>
    <row r="825" spans="1:20">
      <c r="A825" s="681"/>
      <c r="B825" s="681"/>
      <c r="C825" s="681"/>
      <c r="D825" s="681"/>
      <c r="E825" s="681"/>
      <c r="F825" s="681"/>
      <c r="G825" s="681"/>
      <c r="H825" s="534" t="s">
        <v>1955</v>
      </c>
      <c r="I825" s="681"/>
      <c r="J825" s="681"/>
      <c r="K825" s="681"/>
      <c r="L825" s="681"/>
      <c r="M825" s="681"/>
      <c r="N825" s="681"/>
      <c r="O825" s="681"/>
      <c r="P825" s="681"/>
      <c r="Q825" s="681"/>
      <c r="R825" s="681"/>
      <c r="S825" s="681"/>
      <c r="T825" s="534"/>
    </row>
    <row r="826" spans="1:20">
      <c r="A826" s="681"/>
      <c r="B826" s="681"/>
      <c r="C826" s="681"/>
      <c r="D826" s="681"/>
      <c r="E826" s="681"/>
      <c r="F826" s="681"/>
      <c r="G826" s="681"/>
      <c r="H826" s="534" t="s">
        <v>1956</v>
      </c>
      <c r="I826" s="681"/>
      <c r="J826" s="681"/>
      <c r="K826" s="681"/>
      <c r="L826" s="681"/>
      <c r="M826" s="681"/>
      <c r="N826" s="681"/>
      <c r="O826" s="681"/>
      <c r="P826" s="681"/>
      <c r="Q826" s="681"/>
      <c r="R826" s="681"/>
      <c r="S826" s="681"/>
      <c r="T826" s="534"/>
    </row>
    <row r="827" spans="1:20">
      <c r="A827" s="681"/>
      <c r="B827" s="681"/>
      <c r="C827" s="681"/>
      <c r="D827" s="681"/>
      <c r="E827" s="681"/>
      <c r="F827" s="681"/>
      <c r="G827" s="681"/>
      <c r="H827" s="534" t="s">
        <v>1957</v>
      </c>
      <c r="I827" s="681"/>
      <c r="J827" s="681"/>
      <c r="K827" s="681"/>
      <c r="L827" s="681"/>
      <c r="M827" s="681"/>
      <c r="N827" s="681"/>
      <c r="O827" s="681"/>
      <c r="P827" s="681"/>
      <c r="Q827" s="681"/>
      <c r="R827" s="681"/>
      <c r="S827" s="681"/>
      <c r="T827" s="534"/>
    </row>
    <row r="828" spans="1:20">
      <c r="A828" s="681"/>
      <c r="B828" s="681"/>
      <c r="C828" s="681"/>
      <c r="D828" s="681"/>
      <c r="E828" s="681"/>
      <c r="F828" s="681"/>
      <c r="G828" s="681"/>
      <c r="H828" s="534" t="s">
        <v>1958</v>
      </c>
      <c r="I828" s="681"/>
      <c r="J828" s="681"/>
      <c r="K828" s="681"/>
      <c r="L828" s="681"/>
      <c r="M828" s="681"/>
      <c r="N828" s="681"/>
      <c r="O828" s="681"/>
      <c r="P828" s="681"/>
      <c r="Q828" s="681"/>
      <c r="R828" s="681"/>
      <c r="S828" s="681"/>
      <c r="T828" s="534"/>
    </row>
    <row r="829" spans="1:20">
      <c r="A829" s="681"/>
      <c r="B829" s="681"/>
      <c r="C829" s="681"/>
      <c r="D829" s="681"/>
      <c r="E829" s="681"/>
      <c r="F829" s="681"/>
      <c r="G829" s="681"/>
      <c r="H829" s="534" t="s">
        <v>1959</v>
      </c>
      <c r="I829" s="681"/>
      <c r="J829" s="681"/>
      <c r="K829" s="681"/>
      <c r="L829" s="681"/>
      <c r="M829" s="681"/>
      <c r="N829" s="681"/>
      <c r="O829" s="681"/>
      <c r="P829" s="681"/>
      <c r="Q829" s="681"/>
      <c r="R829" s="681"/>
      <c r="S829" s="681"/>
      <c r="T829" s="534"/>
    </row>
    <row r="830" spans="1:20">
      <c r="A830" s="681"/>
      <c r="B830" s="681"/>
      <c r="C830" s="681"/>
      <c r="D830" s="681"/>
      <c r="E830" s="681"/>
      <c r="F830" s="681"/>
      <c r="G830" s="681"/>
      <c r="H830" s="534" t="s">
        <v>1960</v>
      </c>
      <c r="I830" s="681"/>
      <c r="J830" s="681"/>
      <c r="K830" s="681"/>
      <c r="L830" s="681"/>
      <c r="M830" s="681"/>
      <c r="N830" s="681"/>
      <c r="O830" s="681"/>
      <c r="P830" s="681"/>
      <c r="Q830" s="681"/>
      <c r="R830" s="681"/>
      <c r="S830" s="681"/>
      <c r="T830" s="534"/>
    </row>
    <row r="831" spans="1:20">
      <c r="A831" s="681"/>
      <c r="B831" s="681"/>
      <c r="C831" s="681"/>
      <c r="D831" s="681"/>
      <c r="E831" s="681"/>
      <c r="F831" s="681"/>
      <c r="G831" s="681"/>
      <c r="H831" s="534" t="s">
        <v>1961</v>
      </c>
      <c r="I831" s="681"/>
      <c r="J831" s="681"/>
      <c r="K831" s="681"/>
      <c r="L831" s="681"/>
      <c r="M831" s="681"/>
      <c r="N831" s="681"/>
      <c r="O831" s="681"/>
      <c r="P831" s="681"/>
      <c r="Q831" s="681"/>
      <c r="R831" s="681"/>
      <c r="S831" s="681"/>
      <c r="T831" s="534"/>
    </row>
    <row r="832" spans="1:20">
      <c r="A832" s="681"/>
      <c r="B832" s="681"/>
      <c r="C832" s="681"/>
      <c r="D832" s="681"/>
      <c r="E832" s="681"/>
      <c r="F832" s="681"/>
      <c r="G832" s="681"/>
      <c r="H832" s="534" t="s">
        <v>1963</v>
      </c>
      <c r="I832" s="681"/>
      <c r="J832" s="681"/>
      <c r="K832" s="681"/>
      <c r="L832" s="681"/>
      <c r="M832" s="681"/>
      <c r="N832" s="681"/>
      <c r="O832" s="681"/>
      <c r="P832" s="681"/>
      <c r="Q832" s="681"/>
      <c r="R832" s="681"/>
      <c r="S832" s="681"/>
      <c r="T832" s="534"/>
    </row>
    <row r="833" spans="1:20">
      <c r="A833" s="681"/>
      <c r="B833" s="681"/>
      <c r="C833" s="681"/>
      <c r="D833" s="681"/>
      <c r="E833" s="681"/>
      <c r="F833" s="681"/>
      <c r="G833" s="681"/>
      <c r="H833" s="534" t="s">
        <v>1964</v>
      </c>
      <c r="I833" s="681"/>
      <c r="J833" s="681"/>
      <c r="K833" s="681"/>
      <c r="L833" s="681"/>
      <c r="M833" s="681"/>
      <c r="N833" s="681"/>
      <c r="O833" s="681"/>
      <c r="P833" s="681"/>
      <c r="Q833" s="681"/>
      <c r="R833" s="681"/>
      <c r="S833" s="681"/>
      <c r="T833" s="534"/>
    </row>
    <row r="834" spans="1:20">
      <c r="A834" s="681"/>
      <c r="B834" s="681"/>
      <c r="C834" s="681"/>
      <c r="D834" s="681"/>
      <c r="E834" s="681"/>
      <c r="F834" s="681"/>
      <c r="G834" s="681"/>
      <c r="H834" s="534" t="s">
        <v>1965</v>
      </c>
      <c r="I834" s="681"/>
      <c r="J834" s="681"/>
      <c r="K834" s="681"/>
      <c r="L834" s="681"/>
      <c r="M834" s="681"/>
      <c r="N834" s="681"/>
      <c r="O834" s="681"/>
      <c r="P834" s="681"/>
      <c r="Q834" s="681"/>
      <c r="R834" s="681"/>
      <c r="S834" s="681"/>
      <c r="T834" s="534"/>
    </row>
    <row r="835" spans="1:20">
      <c r="A835" s="681"/>
      <c r="B835" s="681"/>
      <c r="C835" s="681"/>
      <c r="D835" s="681"/>
      <c r="E835" s="681"/>
      <c r="F835" s="681"/>
      <c r="G835" s="681"/>
      <c r="H835" s="534" t="s">
        <v>1966</v>
      </c>
      <c r="I835" s="681"/>
      <c r="J835" s="681"/>
      <c r="K835" s="681"/>
      <c r="L835" s="681"/>
      <c r="M835" s="681"/>
      <c r="N835" s="681"/>
      <c r="O835" s="681"/>
      <c r="P835" s="681"/>
      <c r="Q835" s="681"/>
      <c r="R835" s="681"/>
      <c r="S835" s="681"/>
      <c r="T835" s="534"/>
    </row>
    <row r="836" spans="1:20">
      <c r="A836" s="681"/>
      <c r="B836" s="681"/>
      <c r="C836" s="681"/>
      <c r="D836" s="681"/>
      <c r="E836" s="681"/>
      <c r="F836" s="681"/>
      <c r="G836" s="681"/>
      <c r="H836" s="534" t="s">
        <v>1967</v>
      </c>
      <c r="I836" s="681"/>
      <c r="J836" s="681"/>
      <c r="K836" s="681"/>
      <c r="L836" s="681"/>
      <c r="M836" s="681"/>
      <c r="N836" s="681"/>
      <c r="O836" s="681"/>
      <c r="P836" s="681"/>
      <c r="Q836" s="681"/>
      <c r="R836" s="681"/>
      <c r="S836" s="681"/>
      <c r="T836" s="534"/>
    </row>
    <row r="837" spans="1:20">
      <c r="A837" s="681"/>
      <c r="B837" s="681"/>
      <c r="C837" s="681"/>
      <c r="D837" s="681"/>
      <c r="E837" s="681"/>
      <c r="F837" s="681"/>
      <c r="G837" s="681"/>
      <c r="H837" s="534" t="s">
        <v>1968</v>
      </c>
      <c r="I837" s="681"/>
      <c r="J837" s="681"/>
      <c r="K837" s="681"/>
      <c r="L837" s="681"/>
      <c r="M837" s="681"/>
      <c r="N837" s="681"/>
      <c r="O837" s="681"/>
      <c r="P837" s="681"/>
      <c r="Q837" s="681"/>
      <c r="R837" s="681"/>
      <c r="S837" s="681"/>
      <c r="T837" s="534"/>
    </row>
    <row r="838" spans="1:20">
      <c r="A838" s="681"/>
      <c r="B838" s="681"/>
      <c r="C838" s="681"/>
      <c r="D838" s="681"/>
      <c r="E838" s="681"/>
      <c r="F838" s="681"/>
      <c r="G838" s="681"/>
      <c r="H838" s="534" t="s">
        <v>1970</v>
      </c>
      <c r="I838" s="681"/>
      <c r="J838" s="681"/>
      <c r="K838" s="681"/>
      <c r="L838" s="681"/>
      <c r="M838" s="681"/>
      <c r="N838" s="681"/>
      <c r="O838" s="681"/>
      <c r="P838" s="681"/>
      <c r="Q838" s="681"/>
      <c r="R838" s="681"/>
      <c r="S838" s="681"/>
      <c r="T838" s="534"/>
    </row>
    <row r="839" spans="1:20">
      <c r="A839" s="681"/>
      <c r="B839" s="681"/>
      <c r="C839" s="681"/>
      <c r="D839" s="681"/>
      <c r="E839" s="681"/>
      <c r="F839" s="681"/>
      <c r="G839" s="681"/>
      <c r="H839" s="534" t="s">
        <v>1971</v>
      </c>
      <c r="I839" s="681"/>
      <c r="J839" s="681"/>
      <c r="K839" s="681"/>
      <c r="L839" s="681"/>
      <c r="M839" s="681"/>
      <c r="N839" s="681"/>
      <c r="O839" s="681"/>
      <c r="P839" s="681"/>
      <c r="Q839" s="681"/>
      <c r="R839" s="681"/>
      <c r="S839" s="681"/>
      <c r="T839" s="534"/>
    </row>
    <row r="840" spans="1:20">
      <c r="A840" s="681"/>
      <c r="B840" s="681"/>
      <c r="C840" s="681"/>
      <c r="D840" s="681"/>
      <c r="E840" s="681"/>
      <c r="F840" s="681"/>
      <c r="G840" s="681"/>
      <c r="H840" s="534" t="s">
        <v>1972</v>
      </c>
      <c r="I840" s="681"/>
      <c r="J840" s="681"/>
      <c r="K840" s="681"/>
      <c r="L840" s="681"/>
      <c r="M840" s="681"/>
      <c r="N840" s="681"/>
      <c r="O840" s="681"/>
      <c r="P840" s="681"/>
      <c r="Q840" s="681"/>
      <c r="R840" s="681"/>
      <c r="S840" s="681"/>
      <c r="T840" s="534"/>
    </row>
    <row r="841" spans="1:20">
      <c r="A841" s="681"/>
      <c r="B841" s="681"/>
      <c r="C841" s="681"/>
      <c r="D841" s="681"/>
      <c r="E841" s="681"/>
      <c r="F841" s="681"/>
      <c r="G841" s="681"/>
      <c r="H841" s="534" t="s">
        <v>1973</v>
      </c>
      <c r="I841" s="681"/>
      <c r="J841" s="681"/>
      <c r="K841" s="681"/>
      <c r="L841" s="681"/>
      <c r="M841" s="681"/>
      <c r="N841" s="681"/>
      <c r="O841" s="681"/>
      <c r="P841" s="681"/>
      <c r="Q841" s="681"/>
      <c r="R841" s="681"/>
      <c r="S841" s="681"/>
      <c r="T841" s="534"/>
    </row>
    <row r="842" spans="1:20">
      <c r="A842" s="681"/>
      <c r="B842" s="681"/>
      <c r="C842" s="681"/>
      <c r="D842" s="681"/>
      <c r="E842" s="681"/>
      <c r="F842" s="681"/>
      <c r="G842" s="681"/>
      <c r="H842" s="534" t="s">
        <v>1975</v>
      </c>
      <c r="I842" s="681"/>
      <c r="J842" s="681"/>
      <c r="K842" s="681"/>
      <c r="L842" s="681"/>
      <c r="M842" s="681"/>
      <c r="N842" s="681"/>
      <c r="O842" s="681"/>
      <c r="P842" s="681"/>
      <c r="Q842" s="681"/>
      <c r="R842" s="681"/>
      <c r="S842" s="681"/>
      <c r="T842" s="534"/>
    </row>
    <row r="843" spans="1:20">
      <c r="A843" s="681"/>
      <c r="B843" s="681"/>
      <c r="C843" s="681"/>
      <c r="D843" s="681"/>
      <c r="E843" s="681"/>
      <c r="F843" s="681"/>
      <c r="G843" s="681"/>
      <c r="H843" s="534" t="s">
        <v>1978</v>
      </c>
      <c r="I843" s="681"/>
      <c r="J843" s="681"/>
      <c r="K843" s="681"/>
      <c r="L843" s="681"/>
      <c r="M843" s="681"/>
      <c r="N843" s="681"/>
      <c r="O843" s="681"/>
      <c r="P843" s="681"/>
      <c r="Q843" s="681"/>
      <c r="R843" s="681"/>
      <c r="S843" s="681"/>
      <c r="T843" s="534"/>
    </row>
    <row r="844" spans="1:20">
      <c r="A844" s="681"/>
      <c r="B844" s="681"/>
      <c r="C844" s="681"/>
      <c r="D844" s="681"/>
      <c r="E844" s="681"/>
      <c r="F844" s="681"/>
      <c r="G844" s="681"/>
      <c r="H844" s="534" t="s">
        <v>1979</v>
      </c>
      <c r="I844" s="681"/>
      <c r="J844" s="681"/>
      <c r="K844" s="681"/>
      <c r="L844" s="681"/>
      <c r="M844" s="681"/>
      <c r="N844" s="681"/>
      <c r="O844" s="681"/>
      <c r="P844" s="681"/>
      <c r="Q844" s="681"/>
      <c r="R844" s="681"/>
      <c r="S844" s="681"/>
      <c r="T844" s="534"/>
    </row>
    <row r="845" spans="1:20">
      <c r="A845" s="681"/>
      <c r="B845" s="681"/>
      <c r="C845" s="681"/>
      <c r="D845" s="681"/>
      <c r="E845" s="681"/>
      <c r="F845" s="681"/>
      <c r="G845" s="681"/>
      <c r="H845" s="534" t="s">
        <v>1980</v>
      </c>
      <c r="I845" s="681"/>
      <c r="J845" s="681"/>
      <c r="K845" s="681"/>
      <c r="L845" s="681"/>
      <c r="M845" s="681"/>
      <c r="N845" s="681"/>
      <c r="O845" s="681"/>
      <c r="P845" s="681"/>
      <c r="Q845" s="681"/>
      <c r="R845" s="681"/>
      <c r="S845" s="681"/>
      <c r="T845" s="534"/>
    </row>
    <row r="846" spans="1:20">
      <c r="A846" s="681"/>
      <c r="B846" s="681"/>
      <c r="C846" s="681"/>
      <c r="D846" s="681"/>
      <c r="E846" s="681"/>
      <c r="F846" s="681"/>
      <c r="G846" s="681"/>
      <c r="H846" s="534" t="s">
        <v>1981</v>
      </c>
      <c r="I846" s="681"/>
      <c r="J846" s="681"/>
      <c r="K846" s="681"/>
      <c r="L846" s="681"/>
      <c r="M846" s="681"/>
      <c r="N846" s="681"/>
      <c r="O846" s="681"/>
      <c r="P846" s="681"/>
      <c r="Q846" s="681"/>
      <c r="R846" s="681"/>
      <c r="S846" s="681"/>
      <c r="T846" s="534"/>
    </row>
    <row r="847" spans="1:20">
      <c r="A847" s="681"/>
      <c r="B847" s="681"/>
      <c r="C847" s="681"/>
      <c r="D847" s="681"/>
      <c r="E847" s="681"/>
      <c r="F847" s="681"/>
      <c r="G847" s="681"/>
      <c r="H847" s="534" t="s">
        <v>2160</v>
      </c>
      <c r="I847" s="681"/>
      <c r="J847" s="681"/>
      <c r="K847" s="681"/>
      <c r="L847" s="681"/>
      <c r="M847" s="681"/>
      <c r="N847" s="681"/>
      <c r="O847" s="681"/>
      <c r="P847" s="681"/>
      <c r="Q847" s="681"/>
      <c r="R847" s="681"/>
      <c r="S847" s="681"/>
      <c r="T847" s="534"/>
    </row>
    <row r="848" spans="1:20">
      <c r="A848" s="681"/>
      <c r="B848" s="681"/>
      <c r="C848" s="681"/>
      <c r="D848" s="681"/>
      <c r="E848" s="681"/>
      <c r="F848" s="681"/>
      <c r="G848" s="681"/>
      <c r="H848" s="534" t="s">
        <v>2161</v>
      </c>
      <c r="I848" s="681"/>
      <c r="J848" s="681"/>
      <c r="K848" s="681"/>
      <c r="L848" s="681"/>
      <c r="M848" s="681"/>
      <c r="N848" s="681"/>
      <c r="O848" s="681"/>
      <c r="P848" s="681"/>
      <c r="Q848" s="681"/>
      <c r="R848" s="681"/>
      <c r="S848" s="681"/>
      <c r="T848" s="534"/>
    </row>
    <row r="849" spans="1:20">
      <c r="A849" s="681"/>
      <c r="B849" s="681"/>
      <c r="C849" s="681"/>
      <c r="D849" s="681"/>
      <c r="E849" s="681"/>
      <c r="F849" s="681"/>
      <c r="G849" s="681"/>
      <c r="H849" s="534" t="s">
        <v>1985</v>
      </c>
      <c r="I849" s="681"/>
      <c r="J849" s="681"/>
      <c r="K849" s="681"/>
      <c r="L849" s="681"/>
      <c r="M849" s="681"/>
      <c r="N849" s="681"/>
      <c r="O849" s="681"/>
      <c r="P849" s="681"/>
      <c r="Q849" s="681"/>
      <c r="R849" s="681"/>
      <c r="S849" s="681"/>
      <c r="T849" s="534"/>
    </row>
    <row r="850" spans="1:20">
      <c r="A850" s="681"/>
      <c r="B850" s="681"/>
      <c r="C850" s="681"/>
      <c r="D850" s="681"/>
      <c r="E850" s="681"/>
      <c r="F850" s="681"/>
      <c r="G850" s="681"/>
      <c r="H850" s="534" t="s">
        <v>1986</v>
      </c>
      <c r="I850" s="681"/>
      <c r="J850" s="681"/>
      <c r="K850" s="681"/>
      <c r="L850" s="681"/>
      <c r="M850" s="681"/>
      <c r="N850" s="681"/>
      <c r="O850" s="681"/>
      <c r="P850" s="681"/>
      <c r="Q850" s="681"/>
      <c r="R850" s="681"/>
      <c r="S850" s="681"/>
      <c r="T850" s="534"/>
    </row>
    <row r="851" spans="1:20">
      <c r="A851" s="681"/>
      <c r="B851" s="681"/>
      <c r="C851" s="681"/>
      <c r="D851" s="681"/>
      <c r="E851" s="681"/>
      <c r="F851" s="681"/>
      <c r="G851" s="681"/>
      <c r="H851" s="534" t="s">
        <v>1988</v>
      </c>
      <c r="I851" s="681"/>
      <c r="J851" s="681"/>
      <c r="K851" s="681"/>
      <c r="L851" s="681"/>
      <c r="M851" s="681"/>
      <c r="N851" s="681"/>
      <c r="O851" s="681"/>
      <c r="P851" s="681"/>
      <c r="Q851" s="681"/>
      <c r="R851" s="681"/>
      <c r="S851" s="681"/>
      <c r="T851" s="534"/>
    </row>
    <row r="852" spans="1:20">
      <c r="A852" s="682"/>
      <c r="B852" s="682"/>
      <c r="C852" s="682"/>
      <c r="D852" s="682"/>
      <c r="E852" s="682"/>
      <c r="F852" s="682"/>
      <c r="G852" s="682"/>
      <c r="H852" s="535" t="s">
        <v>2162</v>
      </c>
      <c r="I852" s="682"/>
      <c r="J852" s="682"/>
      <c r="K852" s="682"/>
      <c r="L852" s="682"/>
      <c r="M852" s="682"/>
      <c r="N852" s="682"/>
      <c r="O852" s="682"/>
      <c r="P852" s="682"/>
      <c r="Q852" s="682"/>
      <c r="R852" s="682"/>
      <c r="S852" s="682"/>
      <c r="T852" s="535"/>
    </row>
    <row r="853" spans="1:20">
      <c r="A853" s="680" t="s">
        <v>2167</v>
      </c>
      <c r="B853" s="680" t="s">
        <v>2168</v>
      </c>
      <c r="C853" s="680"/>
      <c r="D853" s="680" t="s">
        <v>2169</v>
      </c>
      <c r="E853" s="680" t="s">
        <v>1951</v>
      </c>
      <c r="F853" s="680"/>
      <c r="G853" s="680"/>
      <c r="H853" s="533" t="s">
        <v>2170</v>
      </c>
      <c r="I853" s="680" t="s">
        <v>1992</v>
      </c>
      <c r="J853" s="680" t="s">
        <v>2132</v>
      </c>
      <c r="K853" s="680" t="s">
        <v>1993</v>
      </c>
      <c r="L853" s="680" t="s">
        <v>398</v>
      </c>
      <c r="M853" s="680" t="s">
        <v>1625</v>
      </c>
      <c r="N853" s="680" t="s">
        <v>2172</v>
      </c>
      <c r="O853" s="680" t="s">
        <v>2068</v>
      </c>
      <c r="P853" s="680" t="s">
        <v>1300</v>
      </c>
      <c r="Q853" s="680"/>
      <c r="R853" s="680"/>
      <c r="S853" s="680" t="s">
        <v>2173</v>
      </c>
      <c r="T853" s="533" t="s">
        <v>2174</v>
      </c>
    </row>
    <row r="854" spans="1:20">
      <c r="A854" s="681"/>
      <c r="B854" s="681"/>
      <c r="C854" s="681"/>
      <c r="D854" s="681"/>
      <c r="E854" s="681"/>
      <c r="F854" s="681"/>
      <c r="G854" s="681"/>
      <c r="H854" s="534"/>
      <c r="I854" s="681"/>
      <c r="J854" s="681"/>
      <c r="K854" s="681"/>
      <c r="L854" s="681"/>
      <c r="M854" s="681"/>
      <c r="N854" s="681"/>
      <c r="O854" s="681"/>
      <c r="P854" s="681"/>
      <c r="Q854" s="681"/>
      <c r="R854" s="681"/>
      <c r="S854" s="681"/>
      <c r="T854" s="534" t="s">
        <v>2175</v>
      </c>
    </row>
    <row r="855" spans="1:20">
      <c r="A855" s="682"/>
      <c r="B855" s="682"/>
      <c r="C855" s="682"/>
      <c r="D855" s="682"/>
      <c r="E855" s="682"/>
      <c r="F855" s="682"/>
      <c r="G855" s="682"/>
      <c r="H855" s="535" t="s">
        <v>2171</v>
      </c>
      <c r="I855" s="682"/>
      <c r="J855" s="682"/>
      <c r="K855" s="682"/>
      <c r="L855" s="682"/>
      <c r="M855" s="682"/>
      <c r="N855" s="682"/>
      <c r="O855" s="682"/>
      <c r="P855" s="682"/>
      <c r="Q855" s="682"/>
      <c r="R855" s="682"/>
      <c r="S855" s="682"/>
      <c r="T855" s="535" t="s">
        <v>2176</v>
      </c>
    </row>
    <row r="856" spans="1:20">
      <c r="A856" s="680" t="s">
        <v>2177</v>
      </c>
      <c r="B856" s="680" t="s">
        <v>2178</v>
      </c>
      <c r="C856" s="680">
        <v>17440</v>
      </c>
      <c r="D856" s="680" t="s">
        <v>2179</v>
      </c>
      <c r="E856" s="680" t="s">
        <v>1951</v>
      </c>
      <c r="F856" s="680"/>
      <c r="G856" s="680"/>
      <c r="H856" s="533" t="s">
        <v>2180</v>
      </c>
      <c r="I856" s="680" t="s">
        <v>1386</v>
      </c>
      <c r="J856" s="680" t="s">
        <v>2065</v>
      </c>
      <c r="K856" s="680" t="s">
        <v>1993</v>
      </c>
      <c r="L856" s="680" t="s">
        <v>1145</v>
      </c>
      <c r="M856" s="680" t="s">
        <v>1283</v>
      </c>
      <c r="N856" s="680" t="s">
        <v>2187</v>
      </c>
      <c r="O856" s="680" t="s">
        <v>2188</v>
      </c>
      <c r="P856" s="680" t="s">
        <v>2189</v>
      </c>
      <c r="Q856" s="680"/>
      <c r="R856" s="680"/>
      <c r="S856" s="680" t="s">
        <v>2020</v>
      </c>
      <c r="T856" s="533" t="s">
        <v>2190</v>
      </c>
    </row>
    <row r="857" spans="1:20" ht="43.2">
      <c r="A857" s="681"/>
      <c r="B857" s="681"/>
      <c r="C857" s="681"/>
      <c r="D857" s="681"/>
      <c r="E857" s="681"/>
      <c r="F857" s="681"/>
      <c r="G857" s="681"/>
      <c r="H857" s="534"/>
      <c r="I857" s="681"/>
      <c r="J857" s="681"/>
      <c r="K857" s="681"/>
      <c r="L857" s="681"/>
      <c r="M857" s="681"/>
      <c r="N857" s="681"/>
      <c r="O857" s="681"/>
      <c r="P857" s="681"/>
      <c r="Q857" s="681"/>
      <c r="R857" s="681"/>
      <c r="S857" s="681"/>
      <c r="T857" s="534" t="s">
        <v>2137</v>
      </c>
    </row>
    <row r="858" spans="1:20" ht="86.4">
      <c r="A858" s="681"/>
      <c r="B858" s="681"/>
      <c r="C858" s="681"/>
      <c r="D858" s="681"/>
      <c r="E858" s="681"/>
      <c r="F858" s="681"/>
      <c r="G858" s="681"/>
      <c r="H858" s="534" t="s">
        <v>1151</v>
      </c>
      <c r="I858" s="681"/>
      <c r="J858" s="681"/>
      <c r="K858" s="681"/>
      <c r="L858" s="681"/>
      <c r="M858" s="681"/>
      <c r="N858" s="681"/>
      <c r="O858" s="681"/>
      <c r="P858" s="681"/>
      <c r="Q858" s="681"/>
      <c r="R858" s="681"/>
      <c r="S858" s="681"/>
      <c r="T858" s="534" t="s">
        <v>2191</v>
      </c>
    </row>
    <row r="859" spans="1:20">
      <c r="A859" s="681"/>
      <c r="B859" s="681"/>
      <c r="C859" s="681"/>
      <c r="D859" s="681"/>
      <c r="E859" s="681"/>
      <c r="F859" s="681"/>
      <c r="G859" s="681"/>
      <c r="H859" s="534" t="s">
        <v>1955</v>
      </c>
      <c r="I859" s="681"/>
      <c r="J859" s="681"/>
      <c r="K859" s="681"/>
      <c r="L859" s="681"/>
      <c r="M859" s="681"/>
      <c r="N859" s="681"/>
      <c r="O859" s="681"/>
      <c r="P859" s="681"/>
      <c r="Q859" s="681"/>
      <c r="R859" s="681"/>
      <c r="S859" s="681"/>
      <c r="T859" s="534"/>
    </row>
    <row r="860" spans="1:20">
      <c r="A860" s="681"/>
      <c r="B860" s="681"/>
      <c r="C860" s="681"/>
      <c r="D860" s="681"/>
      <c r="E860" s="681"/>
      <c r="F860" s="681"/>
      <c r="G860" s="681"/>
      <c r="H860" s="534" t="s">
        <v>1956</v>
      </c>
      <c r="I860" s="681"/>
      <c r="J860" s="681"/>
      <c r="K860" s="681"/>
      <c r="L860" s="681"/>
      <c r="M860" s="681"/>
      <c r="N860" s="681"/>
      <c r="O860" s="681"/>
      <c r="P860" s="681"/>
      <c r="Q860" s="681"/>
      <c r="R860" s="681"/>
      <c r="S860" s="681"/>
      <c r="T860" s="534"/>
    </row>
    <row r="861" spans="1:20">
      <c r="A861" s="681"/>
      <c r="B861" s="681"/>
      <c r="C861" s="681"/>
      <c r="D861" s="681"/>
      <c r="E861" s="681"/>
      <c r="F861" s="681"/>
      <c r="G861" s="681"/>
      <c r="H861" s="534" t="s">
        <v>1957</v>
      </c>
      <c r="I861" s="681"/>
      <c r="J861" s="681"/>
      <c r="K861" s="681"/>
      <c r="L861" s="681"/>
      <c r="M861" s="681"/>
      <c r="N861" s="681"/>
      <c r="O861" s="681"/>
      <c r="P861" s="681"/>
      <c r="Q861" s="681"/>
      <c r="R861" s="681"/>
      <c r="S861" s="681"/>
      <c r="T861" s="534"/>
    </row>
    <row r="862" spans="1:20">
      <c r="A862" s="681"/>
      <c r="B862" s="681"/>
      <c r="C862" s="681"/>
      <c r="D862" s="681"/>
      <c r="E862" s="681"/>
      <c r="F862" s="681"/>
      <c r="G862" s="681"/>
      <c r="H862" s="534" t="s">
        <v>1959</v>
      </c>
      <c r="I862" s="681"/>
      <c r="J862" s="681"/>
      <c r="K862" s="681"/>
      <c r="L862" s="681"/>
      <c r="M862" s="681"/>
      <c r="N862" s="681"/>
      <c r="O862" s="681"/>
      <c r="P862" s="681"/>
      <c r="Q862" s="681"/>
      <c r="R862" s="681"/>
      <c r="S862" s="681"/>
      <c r="T862" s="534"/>
    </row>
    <row r="863" spans="1:20">
      <c r="A863" s="681"/>
      <c r="B863" s="681"/>
      <c r="C863" s="681"/>
      <c r="D863" s="681"/>
      <c r="E863" s="681"/>
      <c r="F863" s="681"/>
      <c r="G863" s="681"/>
      <c r="H863" s="534" t="s">
        <v>1960</v>
      </c>
      <c r="I863" s="681"/>
      <c r="J863" s="681"/>
      <c r="K863" s="681"/>
      <c r="L863" s="681"/>
      <c r="M863" s="681"/>
      <c r="N863" s="681"/>
      <c r="O863" s="681"/>
      <c r="P863" s="681"/>
      <c r="Q863" s="681"/>
      <c r="R863" s="681"/>
      <c r="S863" s="681"/>
      <c r="T863" s="534"/>
    </row>
    <row r="864" spans="1:20">
      <c r="A864" s="681"/>
      <c r="B864" s="681"/>
      <c r="C864" s="681"/>
      <c r="D864" s="681"/>
      <c r="E864" s="681"/>
      <c r="F864" s="681"/>
      <c r="G864" s="681"/>
      <c r="H864" s="534" t="s">
        <v>1961</v>
      </c>
      <c r="I864" s="681"/>
      <c r="J864" s="681"/>
      <c r="K864" s="681"/>
      <c r="L864" s="681"/>
      <c r="M864" s="681"/>
      <c r="N864" s="681"/>
      <c r="O864" s="681"/>
      <c r="P864" s="681"/>
      <c r="Q864" s="681"/>
      <c r="R864" s="681"/>
      <c r="S864" s="681"/>
      <c r="T864" s="534"/>
    </row>
    <row r="865" spans="1:20">
      <c r="A865" s="681"/>
      <c r="B865" s="681"/>
      <c r="C865" s="681"/>
      <c r="D865" s="681"/>
      <c r="E865" s="681"/>
      <c r="F865" s="681"/>
      <c r="G865" s="681"/>
      <c r="H865" s="534" t="s">
        <v>1962</v>
      </c>
      <c r="I865" s="681"/>
      <c r="J865" s="681"/>
      <c r="K865" s="681"/>
      <c r="L865" s="681"/>
      <c r="M865" s="681"/>
      <c r="N865" s="681"/>
      <c r="O865" s="681"/>
      <c r="P865" s="681"/>
      <c r="Q865" s="681"/>
      <c r="R865" s="681"/>
      <c r="S865" s="681"/>
      <c r="T865" s="534"/>
    </row>
    <row r="866" spans="1:20">
      <c r="A866" s="681"/>
      <c r="B866" s="681"/>
      <c r="C866" s="681"/>
      <c r="D866" s="681"/>
      <c r="E866" s="681"/>
      <c r="F866" s="681"/>
      <c r="G866" s="681"/>
      <c r="H866" s="534" t="s">
        <v>1963</v>
      </c>
      <c r="I866" s="681"/>
      <c r="J866" s="681"/>
      <c r="K866" s="681"/>
      <c r="L866" s="681"/>
      <c r="M866" s="681"/>
      <c r="N866" s="681"/>
      <c r="O866" s="681"/>
      <c r="P866" s="681"/>
      <c r="Q866" s="681"/>
      <c r="R866" s="681"/>
      <c r="S866" s="681"/>
      <c r="T866" s="534"/>
    </row>
    <row r="867" spans="1:20">
      <c r="A867" s="681"/>
      <c r="B867" s="681"/>
      <c r="C867" s="681"/>
      <c r="D867" s="681"/>
      <c r="E867" s="681"/>
      <c r="F867" s="681"/>
      <c r="G867" s="681"/>
      <c r="H867" s="534" t="s">
        <v>1964</v>
      </c>
      <c r="I867" s="681"/>
      <c r="J867" s="681"/>
      <c r="K867" s="681"/>
      <c r="L867" s="681"/>
      <c r="M867" s="681"/>
      <c r="N867" s="681"/>
      <c r="O867" s="681"/>
      <c r="P867" s="681"/>
      <c r="Q867" s="681"/>
      <c r="R867" s="681"/>
      <c r="S867" s="681"/>
      <c r="T867" s="534"/>
    </row>
    <row r="868" spans="1:20">
      <c r="A868" s="681"/>
      <c r="B868" s="681"/>
      <c r="C868" s="681"/>
      <c r="D868" s="681"/>
      <c r="E868" s="681"/>
      <c r="F868" s="681"/>
      <c r="G868" s="681"/>
      <c r="H868" s="534" t="s">
        <v>2181</v>
      </c>
      <c r="I868" s="681"/>
      <c r="J868" s="681"/>
      <c r="K868" s="681"/>
      <c r="L868" s="681"/>
      <c r="M868" s="681"/>
      <c r="N868" s="681"/>
      <c r="O868" s="681"/>
      <c r="P868" s="681"/>
      <c r="Q868" s="681"/>
      <c r="R868" s="681"/>
      <c r="S868" s="681"/>
      <c r="T868" s="534"/>
    </row>
    <row r="869" spans="1:20">
      <c r="A869" s="681"/>
      <c r="B869" s="681"/>
      <c r="C869" s="681"/>
      <c r="D869" s="681"/>
      <c r="E869" s="681"/>
      <c r="F869" s="681"/>
      <c r="G869" s="681"/>
      <c r="H869" s="534" t="s">
        <v>1968</v>
      </c>
      <c r="I869" s="681"/>
      <c r="J869" s="681"/>
      <c r="K869" s="681"/>
      <c r="L869" s="681"/>
      <c r="M869" s="681"/>
      <c r="N869" s="681"/>
      <c r="O869" s="681"/>
      <c r="P869" s="681"/>
      <c r="Q869" s="681"/>
      <c r="R869" s="681"/>
      <c r="S869" s="681"/>
      <c r="T869" s="534"/>
    </row>
    <row r="870" spans="1:20">
      <c r="A870" s="681"/>
      <c r="B870" s="681"/>
      <c r="C870" s="681"/>
      <c r="D870" s="681"/>
      <c r="E870" s="681"/>
      <c r="F870" s="681"/>
      <c r="G870" s="681"/>
      <c r="H870" s="534" t="s">
        <v>1971</v>
      </c>
      <c r="I870" s="681"/>
      <c r="J870" s="681"/>
      <c r="K870" s="681"/>
      <c r="L870" s="681"/>
      <c r="M870" s="681"/>
      <c r="N870" s="681"/>
      <c r="O870" s="681"/>
      <c r="P870" s="681"/>
      <c r="Q870" s="681"/>
      <c r="R870" s="681"/>
      <c r="S870" s="681"/>
      <c r="T870" s="534"/>
    </row>
    <row r="871" spans="1:20">
      <c r="A871" s="681"/>
      <c r="B871" s="681"/>
      <c r="C871" s="681"/>
      <c r="D871" s="681"/>
      <c r="E871" s="681"/>
      <c r="F871" s="681"/>
      <c r="G871" s="681"/>
      <c r="H871" s="534" t="s">
        <v>1972</v>
      </c>
      <c r="I871" s="681"/>
      <c r="J871" s="681"/>
      <c r="K871" s="681"/>
      <c r="L871" s="681"/>
      <c r="M871" s="681"/>
      <c r="N871" s="681"/>
      <c r="O871" s="681"/>
      <c r="P871" s="681"/>
      <c r="Q871" s="681"/>
      <c r="R871" s="681"/>
      <c r="S871" s="681"/>
      <c r="T871" s="534"/>
    </row>
    <row r="872" spans="1:20">
      <c r="A872" s="681"/>
      <c r="B872" s="681"/>
      <c r="C872" s="681"/>
      <c r="D872" s="681"/>
      <c r="E872" s="681"/>
      <c r="F872" s="681"/>
      <c r="G872" s="681"/>
      <c r="H872" s="534" t="s">
        <v>1973</v>
      </c>
      <c r="I872" s="681"/>
      <c r="J872" s="681"/>
      <c r="K872" s="681"/>
      <c r="L872" s="681"/>
      <c r="M872" s="681"/>
      <c r="N872" s="681"/>
      <c r="O872" s="681"/>
      <c r="P872" s="681"/>
      <c r="Q872" s="681"/>
      <c r="R872" s="681"/>
      <c r="S872" s="681"/>
      <c r="T872" s="534"/>
    </row>
    <row r="873" spans="1:20">
      <c r="A873" s="681"/>
      <c r="B873" s="681"/>
      <c r="C873" s="681"/>
      <c r="D873" s="681"/>
      <c r="E873" s="681"/>
      <c r="F873" s="681"/>
      <c r="G873" s="681"/>
      <c r="H873" s="534" t="s">
        <v>1975</v>
      </c>
      <c r="I873" s="681"/>
      <c r="J873" s="681"/>
      <c r="K873" s="681"/>
      <c r="L873" s="681"/>
      <c r="M873" s="681"/>
      <c r="N873" s="681"/>
      <c r="O873" s="681"/>
      <c r="P873" s="681"/>
      <c r="Q873" s="681"/>
      <c r="R873" s="681"/>
      <c r="S873" s="681"/>
      <c r="T873" s="534"/>
    </row>
    <row r="874" spans="1:20">
      <c r="A874" s="681"/>
      <c r="B874" s="681"/>
      <c r="C874" s="681"/>
      <c r="D874" s="681"/>
      <c r="E874" s="681"/>
      <c r="F874" s="681"/>
      <c r="G874" s="681"/>
      <c r="H874" s="534" t="s">
        <v>1983</v>
      </c>
      <c r="I874" s="681"/>
      <c r="J874" s="681"/>
      <c r="K874" s="681"/>
      <c r="L874" s="681"/>
      <c r="M874" s="681"/>
      <c r="N874" s="681"/>
      <c r="O874" s="681"/>
      <c r="P874" s="681"/>
      <c r="Q874" s="681"/>
      <c r="R874" s="681"/>
      <c r="S874" s="681"/>
      <c r="T874" s="534"/>
    </row>
    <row r="875" spans="1:20">
      <c r="A875" s="681"/>
      <c r="B875" s="681"/>
      <c r="C875" s="681"/>
      <c r="D875" s="681"/>
      <c r="E875" s="681"/>
      <c r="F875" s="681"/>
      <c r="G875" s="681"/>
      <c r="H875" s="534" t="s">
        <v>2182</v>
      </c>
      <c r="I875" s="681"/>
      <c r="J875" s="681"/>
      <c r="K875" s="681"/>
      <c r="L875" s="681"/>
      <c r="M875" s="681"/>
      <c r="N875" s="681"/>
      <c r="O875" s="681"/>
      <c r="P875" s="681"/>
      <c r="Q875" s="681"/>
      <c r="R875" s="681"/>
      <c r="S875" s="681"/>
      <c r="T875" s="534"/>
    </row>
    <row r="876" spans="1:20">
      <c r="A876" s="681"/>
      <c r="B876" s="681"/>
      <c r="C876" s="681"/>
      <c r="D876" s="681"/>
      <c r="E876" s="681"/>
      <c r="F876" s="681"/>
      <c r="G876" s="681"/>
      <c r="H876" s="534" t="s">
        <v>2183</v>
      </c>
      <c r="I876" s="681"/>
      <c r="J876" s="681"/>
      <c r="K876" s="681"/>
      <c r="L876" s="681"/>
      <c r="M876" s="681"/>
      <c r="N876" s="681"/>
      <c r="O876" s="681"/>
      <c r="P876" s="681"/>
      <c r="Q876" s="681"/>
      <c r="R876" s="681"/>
      <c r="S876" s="681"/>
      <c r="T876" s="534"/>
    </row>
    <row r="877" spans="1:20">
      <c r="A877" s="681"/>
      <c r="B877" s="681"/>
      <c r="C877" s="681"/>
      <c r="D877" s="681"/>
      <c r="E877" s="681"/>
      <c r="F877" s="681"/>
      <c r="G877" s="681"/>
      <c r="H877" s="534" t="s">
        <v>2184</v>
      </c>
      <c r="I877" s="681"/>
      <c r="J877" s="681"/>
      <c r="K877" s="681"/>
      <c r="L877" s="681"/>
      <c r="M877" s="681"/>
      <c r="N877" s="681"/>
      <c r="O877" s="681"/>
      <c r="P877" s="681"/>
      <c r="Q877" s="681"/>
      <c r="R877" s="681"/>
      <c r="S877" s="681"/>
      <c r="T877" s="534"/>
    </row>
    <row r="878" spans="1:20">
      <c r="A878" s="681"/>
      <c r="B878" s="681"/>
      <c r="C878" s="681"/>
      <c r="D878" s="681"/>
      <c r="E878" s="681"/>
      <c r="F878" s="681"/>
      <c r="G878" s="681"/>
      <c r="H878" s="534" t="s">
        <v>1985</v>
      </c>
      <c r="I878" s="681"/>
      <c r="J878" s="681"/>
      <c r="K878" s="681"/>
      <c r="L878" s="681"/>
      <c r="M878" s="681"/>
      <c r="N878" s="681"/>
      <c r="O878" s="681"/>
      <c r="P878" s="681"/>
      <c r="Q878" s="681"/>
      <c r="R878" s="681"/>
      <c r="S878" s="681"/>
      <c r="T878" s="534"/>
    </row>
    <row r="879" spans="1:20">
      <c r="A879" s="681"/>
      <c r="B879" s="681"/>
      <c r="C879" s="681"/>
      <c r="D879" s="681"/>
      <c r="E879" s="681"/>
      <c r="F879" s="681"/>
      <c r="G879" s="681"/>
      <c r="H879" s="534" t="s">
        <v>1986</v>
      </c>
      <c r="I879" s="681"/>
      <c r="J879" s="681"/>
      <c r="K879" s="681"/>
      <c r="L879" s="681"/>
      <c r="M879" s="681"/>
      <c r="N879" s="681"/>
      <c r="O879" s="681"/>
      <c r="P879" s="681"/>
      <c r="Q879" s="681"/>
      <c r="R879" s="681"/>
      <c r="S879" s="681"/>
      <c r="T879" s="534"/>
    </row>
    <row r="880" spans="1:20">
      <c r="A880" s="681"/>
      <c r="B880" s="681"/>
      <c r="C880" s="681"/>
      <c r="D880" s="681"/>
      <c r="E880" s="681"/>
      <c r="F880" s="681"/>
      <c r="G880" s="681"/>
      <c r="H880" s="534" t="s">
        <v>1988</v>
      </c>
      <c r="I880" s="681"/>
      <c r="J880" s="681"/>
      <c r="K880" s="681"/>
      <c r="L880" s="681"/>
      <c r="M880" s="681"/>
      <c r="N880" s="681"/>
      <c r="O880" s="681"/>
      <c r="P880" s="681"/>
      <c r="Q880" s="681"/>
      <c r="R880" s="681"/>
      <c r="S880" s="681"/>
      <c r="T880" s="534"/>
    </row>
    <row r="881" spans="1:20">
      <c r="A881" s="681"/>
      <c r="B881" s="681"/>
      <c r="C881" s="681"/>
      <c r="D881" s="681"/>
      <c r="E881" s="681"/>
      <c r="F881" s="681"/>
      <c r="G881" s="681"/>
      <c r="H881" s="534" t="s">
        <v>2063</v>
      </c>
      <c r="I881" s="681"/>
      <c r="J881" s="681"/>
      <c r="K881" s="681"/>
      <c r="L881" s="681"/>
      <c r="M881" s="681"/>
      <c r="N881" s="681"/>
      <c r="O881" s="681"/>
      <c r="P881" s="681"/>
      <c r="Q881" s="681"/>
      <c r="R881" s="681"/>
      <c r="S881" s="681"/>
      <c r="T881" s="534"/>
    </row>
    <row r="882" spans="1:20">
      <c r="A882" s="681"/>
      <c r="B882" s="681"/>
      <c r="C882" s="681"/>
      <c r="D882" s="681"/>
      <c r="E882" s="681"/>
      <c r="F882" s="681"/>
      <c r="G882" s="681"/>
      <c r="H882" s="534"/>
      <c r="I882" s="681"/>
      <c r="J882" s="681"/>
      <c r="K882" s="681"/>
      <c r="L882" s="681"/>
      <c r="M882" s="681"/>
      <c r="N882" s="681"/>
      <c r="O882" s="681"/>
      <c r="P882" s="681"/>
      <c r="Q882" s="681"/>
      <c r="R882" s="681"/>
      <c r="S882" s="681"/>
      <c r="T882" s="534"/>
    </row>
    <row r="883" spans="1:20">
      <c r="A883" s="681"/>
      <c r="B883" s="681"/>
      <c r="C883" s="681"/>
      <c r="D883" s="681"/>
      <c r="E883" s="681"/>
      <c r="F883" s="681"/>
      <c r="G883" s="681"/>
      <c r="H883" s="534" t="s">
        <v>2144</v>
      </c>
      <c r="I883" s="681"/>
      <c r="J883" s="681"/>
      <c r="K883" s="681"/>
      <c r="L883" s="681"/>
      <c r="M883" s="681"/>
      <c r="N883" s="681"/>
      <c r="O883" s="681"/>
      <c r="P883" s="681"/>
      <c r="Q883" s="681"/>
      <c r="R883" s="681"/>
      <c r="S883" s="681"/>
      <c r="T883" s="534"/>
    </row>
    <row r="884" spans="1:20">
      <c r="A884" s="681"/>
      <c r="B884" s="681"/>
      <c r="C884" s="681"/>
      <c r="D884" s="681"/>
      <c r="E884" s="681"/>
      <c r="F884" s="681"/>
      <c r="G884" s="681"/>
      <c r="H884" s="534" t="s">
        <v>2145</v>
      </c>
      <c r="I884" s="681"/>
      <c r="J884" s="681"/>
      <c r="K884" s="681"/>
      <c r="L884" s="681"/>
      <c r="M884" s="681"/>
      <c r="N884" s="681"/>
      <c r="O884" s="681"/>
      <c r="P884" s="681"/>
      <c r="Q884" s="681"/>
      <c r="R884" s="681"/>
      <c r="S884" s="681"/>
      <c r="T884" s="534"/>
    </row>
    <row r="885" spans="1:20">
      <c r="A885" s="681"/>
      <c r="B885" s="681"/>
      <c r="C885" s="681"/>
      <c r="D885" s="681"/>
      <c r="E885" s="681"/>
      <c r="F885" s="681"/>
      <c r="G885" s="681"/>
      <c r="H885" s="534" t="s">
        <v>2149</v>
      </c>
      <c r="I885" s="681"/>
      <c r="J885" s="681"/>
      <c r="K885" s="681"/>
      <c r="L885" s="681"/>
      <c r="M885" s="681"/>
      <c r="N885" s="681"/>
      <c r="O885" s="681"/>
      <c r="P885" s="681"/>
      <c r="Q885" s="681"/>
      <c r="R885" s="681"/>
      <c r="S885" s="681"/>
      <c r="T885" s="534"/>
    </row>
    <row r="886" spans="1:20">
      <c r="A886" s="681"/>
      <c r="B886" s="681"/>
      <c r="C886" s="681"/>
      <c r="D886" s="681"/>
      <c r="E886" s="681"/>
      <c r="F886" s="681"/>
      <c r="G886" s="681"/>
      <c r="H886" s="534" t="s">
        <v>2150</v>
      </c>
      <c r="I886" s="681"/>
      <c r="J886" s="681"/>
      <c r="K886" s="681"/>
      <c r="L886" s="681"/>
      <c r="M886" s="681"/>
      <c r="N886" s="681"/>
      <c r="O886" s="681"/>
      <c r="P886" s="681"/>
      <c r="Q886" s="681"/>
      <c r="R886" s="681"/>
      <c r="S886" s="681"/>
      <c r="T886" s="534"/>
    </row>
    <row r="887" spans="1:20">
      <c r="A887" s="681"/>
      <c r="B887" s="681"/>
      <c r="C887" s="681"/>
      <c r="D887" s="681"/>
      <c r="E887" s="681"/>
      <c r="F887" s="681"/>
      <c r="G887" s="681"/>
      <c r="H887" s="534" t="s">
        <v>2151</v>
      </c>
      <c r="I887" s="681"/>
      <c r="J887" s="681"/>
      <c r="K887" s="681"/>
      <c r="L887" s="681"/>
      <c r="M887" s="681"/>
      <c r="N887" s="681"/>
      <c r="O887" s="681"/>
      <c r="P887" s="681"/>
      <c r="Q887" s="681"/>
      <c r="R887" s="681"/>
      <c r="S887" s="681"/>
      <c r="T887" s="534"/>
    </row>
    <row r="888" spans="1:20">
      <c r="A888" s="681"/>
      <c r="B888" s="681"/>
      <c r="C888" s="681"/>
      <c r="D888" s="681"/>
      <c r="E888" s="681"/>
      <c r="F888" s="681"/>
      <c r="G888" s="681"/>
      <c r="H888" s="534" t="s">
        <v>2153</v>
      </c>
      <c r="I888" s="681"/>
      <c r="J888" s="681"/>
      <c r="K888" s="681"/>
      <c r="L888" s="681"/>
      <c r="M888" s="681"/>
      <c r="N888" s="681"/>
      <c r="O888" s="681"/>
      <c r="P888" s="681"/>
      <c r="Q888" s="681"/>
      <c r="R888" s="681"/>
      <c r="S888" s="681"/>
      <c r="T888" s="534"/>
    </row>
    <row r="889" spans="1:20">
      <c r="A889" s="681"/>
      <c r="B889" s="681"/>
      <c r="C889" s="681"/>
      <c r="D889" s="681"/>
      <c r="E889" s="681"/>
      <c r="F889" s="681"/>
      <c r="G889" s="681"/>
      <c r="H889" s="534" t="s">
        <v>2156</v>
      </c>
      <c r="I889" s="681"/>
      <c r="J889" s="681"/>
      <c r="K889" s="681"/>
      <c r="L889" s="681"/>
      <c r="M889" s="681"/>
      <c r="N889" s="681"/>
      <c r="O889" s="681"/>
      <c r="P889" s="681"/>
      <c r="Q889" s="681"/>
      <c r="R889" s="681"/>
      <c r="S889" s="681"/>
      <c r="T889" s="534"/>
    </row>
    <row r="890" spans="1:20">
      <c r="A890" s="681"/>
      <c r="B890" s="681"/>
      <c r="C890" s="681"/>
      <c r="D890" s="681"/>
      <c r="E890" s="681"/>
      <c r="F890" s="681"/>
      <c r="G890" s="681"/>
      <c r="H890" s="534" t="s">
        <v>2185</v>
      </c>
      <c r="I890" s="681"/>
      <c r="J890" s="681"/>
      <c r="K890" s="681"/>
      <c r="L890" s="681"/>
      <c r="M890" s="681"/>
      <c r="N890" s="681"/>
      <c r="O890" s="681"/>
      <c r="P890" s="681"/>
      <c r="Q890" s="681"/>
      <c r="R890" s="681"/>
      <c r="S890" s="681"/>
      <c r="T890" s="534"/>
    </row>
    <row r="891" spans="1:20">
      <c r="A891" s="682"/>
      <c r="B891" s="682"/>
      <c r="C891" s="682"/>
      <c r="D891" s="682"/>
      <c r="E891" s="682"/>
      <c r="F891" s="682"/>
      <c r="G891" s="682"/>
      <c r="H891" s="535" t="s">
        <v>2186</v>
      </c>
      <c r="I891" s="682"/>
      <c r="J891" s="682"/>
      <c r="K891" s="682"/>
      <c r="L891" s="682"/>
      <c r="M891" s="682"/>
      <c r="N891" s="682"/>
      <c r="O891" s="682"/>
      <c r="P891" s="682"/>
      <c r="Q891" s="682"/>
      <c r="R891" s="682"/>
      <c r="S891" s="682"/>
      <c r="T891" s="535"/>
    </row>
    <row r="892" spans="1:20" ht="43.2">
      <c r="A892" s="680" t="s">
        <v>2192</v>
      </c>
      <c r="B892" s="680" t="s">
        <v>2193</v>
      </c>
      <c r="C892" s="680">
        <v>17440</v>
      </c>
      <c r="D892" s="680" t="s">
        <v>2194</v>
      </c>
      <c r="E892" s="680" t="s">
        <v>1951</v>
      </c>
      <c r="F892" s="680"/>
      <c r="G892" s="680"/>
      <c r="H892" s="533" t="s">
        <v>1151</v>
      </c>
      <c r="I892" s="680" t="s">
        <v>1386</v>
      </c>
      <c r="J892" s="680" t="s">
        <v>1993</v>
      </c>
      <c r="K892" s="680" t="s">
        <v>1994</v>
      </c>
      <c r="L892" s="680" t="s">
        <v>1308</v>
      </c>
      <c r="M892" s="680" t="s">
        <v>1625</v>
      </c>
      <c r="N892" s="680" t="s">
        <v>2198</v>
      </c>
      <c r="O892" s="680" t="s">
        <v>2199</v>
      </c>
      <c r="P892" s="680" t="s">
        <v>2118</v>
      </c>
      <c r="Q892" s="680"/>
      <c r="R892" s="680"/>
      <c r="S892" s="680" t="s">
        <v>2200</v>
      </c>
      <c r="T892" s="533" t="s">
        <v>2137</v>
      </c>
    </row>
    <row r="893" spans="1:20" ht="28.8">
      <c r="A893" s="681"/>
      <c r="B893" s="681"/>
      <c r="C893" s="681"/>
      <c r="D893" s="681"/>
      <c r="E893" s="681"/>
      <c r="F893" s="681"/>
      <c r="G893" s="681"/>
      <c r="H893" s="534" t="s">
        <v>2195</v>
      </c>
      <c r="I893" s="681"/>
      <c r="J893" s="681"/>
      <c r="K893" s="681"/>
      <c r="L893" s="681"/>
      <c r="M893" s="681"/>
      <c r="N893" s="681"/>
      <c r="O893" s="681"/>
      <c r="P893" s="681"/>
      <c r="Q893" s="681"/>
      <c r="R893" s="681"/>
      <c r="S893" s="681"/>
      <c r="T893" s="534" t="s">
        <v>2201</v>
      </c>
    </row>
    <row r="894" spans="1:20" ht="28.8">
      <c r="A894" s="681"/>
      <c r="B894" s="681"/>
      <c r="C894" s="681"/>
      <c r="D894" s="681"/>
      <c r="E894" s="681"/>
      <c r="F894" s="681"/>
      <c r="G894" s="681"/>
      <c r="H894" s="534" t="s">
        <v>2196</v>
      </c>
      <c r="I894" s="681"/>
      <c r="J894" s="681"/>
      <c r="K894" s="681"/>
      <c r="L894" s="681"/>
      <c r="M894" s="681"/>
      <c r="N894" s="681"/>
      <c r="O894" s="681"/>
      <c r="P894" s="681"/>
      <c r="Q894" s="681"/>
      <c r="R894" s="681"/>
      <c r="S894" s="681"/>
      <c r="T894" s="534"/>
    </row>
    <row r="895" spans="1:20">
      <c r="A895" s="681"/>
      <c r="B895" s="681"/>
      <c r="C895" s="681"/>
      <c r="D895" s="681"/>
      <c r="E895" s="681"/>
      <c r="F895" s="681"/>
      <c r="G895" s="681"/>
      <c r="H895" s="534"/>
      <c r="I895" s="681"/>
      <c r="J895" s="681"/>
      <c r="K895" s="681"/>
      <c r="L895" s="681"/>
      <c r="M895" s="681"/>
      <c r="N895" s="681"/>
      <c r="O895" s="681"/>
      <c r="P895" s="681"/>
      <c r="Q895" s="681"/>
      <c r="R895" s="681"/>
      <c r="S895" s="681"/>
      <c r="T895" s="534"/>
    </row>
    <row r="896" spans="1:20">
      <c r="A896" s="682"/>
      <c r="B896" s="682"/>
      <c r="C896" s="682"/>
      <c r="D896" s="682"/>
      <c r="E896" s="682"/>
      <c r="F896" s="682"/>
      <c r="G896" s="682"/>
      <c r="H896" s="535" t="s">
        <v>2197</v>
      </c>
      <c r="I896" s="682"/>
      <c r="J896" s="682"/>
      <c r="K896" s="682"/>
      <c r="L896" s="682"/>
      <c r="M896" s="682"/>
      <c r="N896" s="682"/>
      <c r="O896" s="682"/>
      <c r="P896" s="682"/>
      <c r="Q896" s="682"/>
      <c r="R896" s="682"/>
      <c r="S896" s="682"/>
      <c r="T896" s="535"/>
    </row>
    <row r="897" spans="1:20" ht="43.2">
      <c r="A897" s="680" t="s">
        <v>2202</v>
      </c>
      <c r="B897" s="680" t="s">
        <v>2203</v>
      </c>
      <c r="C897" s="680">
        <v>17440</v>
      </c>
      <c r="D897" s="680" t="s">
        <v>2204</v>
      </c>
      <c r="E897" s="680" t="s">
        <v>1951</v>
      </c>
      <c r="F897" s="680" t="s">
        <v>2205</v>
      </c>
      <c r="G897" s="680" t="s">
        <v>1953</v>
      </c>
      <c r="H897" s="533" t="s">
        <v>1151</v>
      </c>
      <c r="I897" s="680" t="s">
        <v>1335</v>
      </c>
      <c r="J897" s="680" t="s">
        <v>1993</v>
      </c>
      <c r="K897" s="680" t="s">
        <v>1994</v>
      </c>
      <c r="L897" s="680" t="s">
        <v>1436</v>
      </c>
      <c r="M897" s="680" t="s">
        <v>1145</v>
      </c>
      <c r="N897" s="680" t="s">
        <v>2033</v>
      </c>
      <c r="O897" s="680" t="s">
        <v>2209</v>
      </c>
      <c r="P897" s="680" t="s">
        <v>2035</v>
      </c>
      <c r="Q897" s="680"/>
      <c r="R897" s="680"/>
      <c r="S897" s="680"/>
      <c r="T897" s="533" t="s">
        <v>2137</v>
      </c>
    </row>
    <row r="898" spans="1:20">
      <c r="A898" s="681"/>
      <c r="B898" s="681"/>
      <c r="C898" s="681"/>
      <c r="D898" s="681"/>
      <c r="E898" s="681"/>
      <c r="F898" s="681"/>
      <c r="G898" s="681"/>
      <c r="H898" s="534" t="s">
        <v>1958</v>
      </c>
      <c r="I898" s="681"/>
      <c r="J898" s="681"/>
      <c r="K898" s="681"/>
      <c r="L898" s="681"/>
      <c r="M898" s="681"/>
      <c r="N898" s="681"/>
      <c r="O898" s="681"/>
      <c r="P898" s="681"/>
      <c r="Q898" s="681"/>
      <c r="R898" s="681"/>
      <c r="S898" s="681"/>
      <c r="T898" s="534" t="s">
        <v>2210</v>
      </c>
    </row>
    <row r="899" spans="1:20">
      <c r="A899" s="681"/>
      <c r="B899" s="681"/>
      <c r="C899" s="681"/>
      <c r="D899" s="681"/>
      <c r="E899" s="681"/>
      <c r="F899" s="681"/>
      <c r="G899" s="681"/>
      <c r="H899" s="534" t="s">
        <v>1959</v>
      </c>
      <c r="I899" s="681"/>
      <c r="J899" s="681"/>
      <c r="K899" s="681"/>
      <c r="L899" s="681"/>
      <c r="M899" s="681"/>
      <c r="N899" s="681"/>
      <c r="O899" s="681"/>
      <c r="P899" s="681"/>
      <c r="Q899" s="681"/>
      <c r="R899" s="681"/>
      <c r="S899" s="681"/>
      <c r="T899" s="534"/>
    </row>
    <row r="900" spans="1:20">
      <c r="A900" s="681"/>
      <c r="B900" s="681"/>
      <c r="C900" s="681"/>
      <c r="D900" s="681"/>
      <c r="E900" s="681"/>
      <c r="F900" s="681"/>
      <c r="G900" s="681"/>
      <c r="H900" s="534" t="s">
        <v>1963</v>
      </c>
      <c r="I900" s="681"/>
      <c r="J900" s="681"/>
      <c r="K900" s="681"/>
      <c r="L900" s="681"/>
      <c r="M900" s="681"/>
      <c r="N900" s="681"/>
      <c r="O900" s="681"/>
      <c r="P900" s="681"/>
      <c r="Q900" s="681"/>
      <c r="R900" s="681"/>
      <c r="S900" s="681"/>
      <c r="T900" s="534"/>
    </row>
    <row r="901" spans="1:20">
      <c r="A901" s="681"/>
      <c r="B901" s="681"/>
      <c r="C901" s="681"/>
      <c r="D901" s="681"/>
      <c r="E901" s="681"/>
      <c r="F901" s="681"/>
      <c r="G901" s="681"/>
      <c r="H901" s="534" t="s">
        <v>1964</v>
      </c>
      <c r="I901" s="681"/>
      <c r="J901" s="681"/>
      <c r="K901" s="681"/>
      <c r="L901" s="681"/>
      <c r="M901" s="681"/>
      <c r="N901" s="681"/>
      <c r="O901" s="681"/>
      <c r="P901" s="681"/>
      <c r="Q901" s="681"/>
      <c r="R901" s="681"/>
      <c r="S901" s="681"/>
      <c r="T901" s="534"/>
    </row>
    <row r="902" spans="1:20">
      <c r="A902" s="681"/>
      <c r="B902" s="681"/>
      <c r="C902" s="681"/>
      <c r="D902" s="681"/>
      <c r="E902" s="681"/>
      <c r="F902" s="681"/>
      <c r="G902" s="681"/>
      <c r="H902" s="534" t="s">
        <v>1966</v>
      </c>
      <c r="I902" s="681"/>
      <c r="J902" s="681"/>
      <c r="K902" s="681"/>
      <c r="L902" s="681"/>
      <c r="M902" s="681"/>
      <c r="N902" s="681"/>
      <c r="O902" s="681"/>
      <c r="P902" s="681"/>
      <c r="Q902" s="681"/>
      <c r="R902" s="681"/>
      <c r="S902" s="681"/>
      <c r="T902" s="534"/>
    </row>
    <row r="903" spans="1:20">
      <c r="A903" s="681"/>
      <c r="B903" s="681"/>
      <c r="C903" s="681"/>
      <c r="D903" s="681"/>
      <c r="E903" s="681"/>
      <c r="F903" s="681"/>
      <c r="G903" s="681"/>
      <c r="H903" s="534" t="s">
        <v>1969</v>
      </c>
      <c r="I903" s="681"/>
      <c r="J903" s="681"/>
      <c r="K903" s="681"/>
      <c r="L903" s="681"/>
      <c r="M903" s="681"/>
      <c r="N903" s="681"/>
      <c r="O903" s="681"/>
      <c r="P903" s="681"/>
      <c r="Q903" s="681"/>
      <c r="R903" s="681"/>
      <c r="S903" s="681"/>
      <c r="T903" s="534"/>
    </row>
    <row r="904" spans="1:20">
      <c r="A904" s="681"/>
      <c r="B904" s="681"/>
      <c r="C904" s="681"/>
      <c r="D904" s="681"/>
      <c r="E904" s="681"/>
      <c r="F904" s="681"/>
      <c r="G904" s="681"/>
      <c r="H904" s="534" t="s">
        <v>1974</v>
      </c>
      <c r="I904" s="681"/>
      <c r="J904" s="681"/>
      <c r="K904" s="681"/>
      <c r="L904" s="681"/>
      <c r="M904" s="681"/>
      <c r="N904" s="681"/>
      <c r="O904" s="681"/>
      <c r="P904" s="681"/>
      <c r="Q904" s="681"/>
      <c r="R904" s="681"/>
      <c r="S904" s="681"/>
      <c r="T904" s="534"/>
    </row>
    <row r="905" spans="1:20">
      <c r="A905" s="681"/>
      <c r="B905" s="681"/>
      <c r="C905" s="681"/>
      <c r="D905" s="681"/>
      <c r="E905" s="681"/>
      <c r="F905" s="681"/>
      <c r="G905" s="681"/>
      <c r="H905" s="534" t="s">
        <v>2206</v>
      </c>
      <c r="I905" s="681"/>
      <c r="J905" s="681"/>
      <c r="K905" s="681"/>
      <c r="L905" s="681"/>
      <c r="M905" s="681"/>
      <c r="N905" s="681"/>
      <c r="O905" s="681"/>
      <c r="P905" s="681"/>
      <c r="Q905" s="681"/>
      <c r="R905" s="681"/>
      <c r="S905" s="681"/>
      <c r="T905" s="534"/>
    </row>
    <row r="906" spans="1:20">
      <c r="A906" s="681"/>
      <c r="B906" s="681"/>
      <c r="C906" s="681"/>
      <c r="D906" s="681"/>
      <c r="E906" s="681"/>
      <c r="F906" s="681"/>
      <c r="G906" s="681"/>
      <c r="H906" s="534"/>
      <c r="I906" s="681"/>
      <c r="J906" s="681"/>
      <c r="K906" s="681"/>
      <c r="L906" s="681"/>
      <c r="M906" s="681"/>
      <c r="N906" s="681"/>
      <c r="O906" s="681"/>
      <c r="P906" s="681"/>
      <c r="Q906" s="681"/>
      <c r="R906" s="681"/>
      <c r="S906" s="681"/>
      <c r="T906" s="534"/>
    </row>
    <row r="907" spans="1:20">
      <c r="A907" s="681"/>
      <c r="B907" s="681"/>
      <c r="C907" s="681"/>
      <c r="D907" s="681"/>
      <c r="E907" s="681"/>
      <c r="F907" s="681"/>
      <c r="G907" s="681"/>
      <c r="H907" s="534" t="s">
        <v>2207</v>
      </c>
      <c r="I907" s="681"/>
      <c r="J907" s="681"/>
      <c r="K907" s="681"/>
      <c r="L907" s="681"/>
      <c r="M907" s="681"/>
      <c r="N907" s="681"/>
      <c r="O907" s="681"/>
      <c r="P907" s="681"/>
      <c r="Q907" s="681"/>
      <c r="R907" s="681"/>
      <c r="S907" s="681"/>
      <c r="T907" s="534"/>
    </row>
    <row r="908" spans="1:20">
      <c r="A908" s="681"/>
      <c r="B908" s="681"/>
      <c r="C908" s="681"/>
      <c r="D908" s="681"/>
      <c r="E908" s="681"/>
      <c r="F908" s="681"/>
      <c r="G908" s="681"/>
      <c r="H908" s="534"/>
      <c r="I908" s="681"/>
      <c r="J908" s="681"/>
      <c r="K908" s="681"/>
      <c r="L908" s="681"/>
      <c r="M908" s="681"/>
      <c r="N908" s="681"/>
      <c r="O908" s="681"/>
      <c r="P908" s="681"/>
      <c r="Q908" s="681"/>
      <c r="R908" s="681"/>
      <c r="S908" s="681"/>
      <c r="T908" s="534"/>
    </row>
    <row r="909" spans="1:20">
      <c r="A909" s="682"/>
      <c r="B909" s="682"/>
      <c r="C909" s="682"/>
      <c r="D909" s="682"/>
      <c r="E909" s="682"/>
      <c r="F909" s="682"/>
      <c r="G909" s="682"/>
      <c r="H909" s="535" t="s">
        <v>2208</v>
      </c>
      <c r="I909" s="682"/>
      <c r="J909" s="682"/>
      <c r="K909" s="682"/>
      <c r="L909" s="682"/>
      <c r="M909" s="682"/>
      <c r="N909" s="682"/>
      <c r="O909" s="682"/>
      <c r="P909" s="682"/>
      <c r="Q909" s="682"/>
      <c r="R909" s="682"/>
      <c r="S909" s="682"/>
      <c r="T909" s="535"/>
    </row>
    <row r="910" spans="1:20">
      <c r="A910" s="536" t="s">
        <v>2211</v>
      </c>
      <c r="B910" s="536" t="s">
        <v>2212</v>
      </c>
      <c r="C910" s="537"/>
      <c r="D910" s="536" t="s">
        <v>2213</v>
      </c>
      <c r="E910" s="536" t="s">
        <v>1184</v>
      </c>
      <c r="F910" s="537"/>
      <c r="G910" s="536"/>
      <c r="H910" s="537"/>
      <c r="T910" s="541"/>
    </row>
    <row r="911" spans="1:20">
      <c r="A911" s="536" t="s">
        <v>2214</v>
      </c>
      <c r="B911" s="536" t="s">
        <v>2215</v>
      </c>
      <c r="C911" s="537"/>
      <c r="D911" s="536" t="s">
        <v>2216</v>
      </c>
      <c r="E911" s="536" t="s">
        <v>2217</v>
      </c>
      <c r="F911" s="537"/>
      <c r="G911" s="536"/>
      <c r="H911" s="537"/>
      <c r="T911" s="541"/>
    </row>
    <row r="912" spans="1:20">
      <c r="A912" s="536" t="s">
        <v>2218</v>
      </c>
      <c r="B912" s="536" t="s">
        <v>2219</v>
      </c>
      <c r="C912" s="537"/>
      <c r="D912" s="536" t="s">
        <v>2220</v>
      </c>
      <c r="E912" s="536" t="s">
        <v>2217</v>
      </c>
      <c r="F912" s="537"/>
      <c r="G912" s="536"/>
      <c r="H912" s="537"/>
      <c r="T912" s="541"/>
    </row>
    <row r="913" spans="1:20">
      <c r="A913" s="536" t="s">
        <v>2221</v>
      </c>
      <c r="B913" s="536" t="s">
        <v>2222</v>
      </c>
      <c r="C913" s="537"/>
      <c r="D913" s="536" t="s">
        <v>2223</v>
      </c>
      <c r="E913" s="536" t="s">
        <v>2217</v>
      </c>
      <c r="F913" s="537"/>
      <c r="G913" s="536"/>
      <c r="H913" s="537"/>
      <c r="T913" s="541"/>
    </row>
    <row r="914" spans="1:20">
      <c r="A914" s="536" t="s">
        <v>2224</v>
      </c>
      <c r="B914" s="536" t="s">
        <v>2225</v>
      </c>
      <c r="C914" s="537"/>
      <c r="D914" s="536" t="s">
        <v>2226</v>
      </c>
      <c r="E914" s="536" t="s">
        <v>2227</v>
      </c>
      <c r="F914" s="537"/>
      <c r="G914" s="536"/>
      <c r="H914" s="537"/>
      <c r="T914" s="541"/>
    </row>
    <row r="915" spans="1:20">
      <c r="A915" s="536" t="s">
        <v>2228</v>
      </c>
      <c r="B915" s="536" t="s">
        <v>2229</v>
      </c>
      <c r="C915" s="537"/>
      <c r="D915" s="536" t="s">
        <v>2230</v>
      </c>
      <c r="E915" s="536" t="s">
        <v>2227</v>
      </c>
      <c r="F915" s="537"/>
      <c r="G915" s="536"/>
      <c r="H915" s="537"/>
      <c r="T915" s="541"/>
    </row>
    <row r="916" spans="1:20">
      <c r="A916" s="536" t="s">
        <v>2231</v>
      </c>
      <c r="B916" s="536" t="s">
        <v>2232</v>
      </c>
      <c r="C916" s="537"/>
      <c r="D916" s="536" t="s">
        <v>2233</v>
      </c>
      <c r="E916" s="536" t="s">
        <v>2227</v>
      </c>
      <c r="F916" s="537"/>
      <c r="G916" s="536"/>
      <c r="H916" s="537"/>
      <c r="T916" s="541"/>
    </row>
    <row r="917" spans="1:20">
      <c r="A917" s="536" t="s">
        <v>2234</v>
      </c>
      <c r="B917" s="536" t="s">
        <v>2235</v>
      </c>
      <c r="C917" s="537"/>
      <c r="D917" s="536" t="s">
        <v>2236</v>
      </c>
      <c r="E917" s="536" t="s">
        <v>1800</v>
      </c>
      <c r="F917" s="537"/>
      <c r="G917" s="536"/>
      <c r="H917" s="537"/>
      <c r="T917" s="541"/>
    </row>
    <row r="918" spans="1:20">
      <c r="A918" s="536" t="s">
        <v>2237</v>
      </c>
      <c r="B918" s="536" t="s">
        <v>2238</v>
      </c>
      <c r="C918" s="537"/>
      <c r="D918" s="536" t="s">
        <v>2239</v>
      </c>
      <c r="E918" s="536" t="s">
        <v>1800</v>
      </c>
      <c r="F918" s="537"/>
      <c r="G918" s="536"/>
      <c r="H918" s="537"/>
      <c r="T918" s="541"/>
    </row>
    <row r="919" spans="1:20">
      <c r="A919" s="536" t="s">
        <v>2240</v>
      </c>
      <c r="B919" s="536" t="s">
        <v>2241</v>
      </c>
      <c r="C919" s="537"/>
      <c r="D919" s="536" t="s">
        <v>2242</v>
      </c>
      <c r="E919" s="536" t="s">
        <v>1800</v>
      </c>
      <c r="F919" s="537"/>
      <c r="G919" s="536"/>
      <c r="H919" s="537"/>
      <c r="T919" s="541"/>
    </row>
    <row r="920" spans="1:20">
      <c r="A920" s="536" t="s">
        <v>2243</v>
      </c>
      <c r="B920" s="536" t="s">
        <v>2244</v>
      </c>
      <c r="C920" s="537"/>
      <c r="D920" s="536" t="s">
        <v>2245</v>
      </c>
      <c r="E920" s="536" t="s">
        <v>1800</v>
      </c>
      <c r="F920" s="537"/>
      <c r="G920" s="536"/>
      <c r="H920" s="537"/>
      <c r="T920" s="541"/>
    </row>
    <row r="921" spans="1:20">
      <c r="A921" s="536" t="s">
        <v>2246</v>
      </c>
      <c r="B921" s="536" t="s">
        <v>2247</v>
      </c>
      <c r="C921" s="537"/>
      <c r="D921" s="536" t="s">
        <v>2248</v>
      </c>
      <c r="E921" s="536" t="s">
        <v>1800</v>
      </c>
      <c r="F921" s="537"/>
      <c r="G921" s="536"/>
      <c r="H921" s="537"/>
      <c r="T921" s="541"/>
    </row>
    <row r="922" spans="1:20">
      <c r="A922" s="536" t="s">
        <v>2249</v>
      </c>
      <c r="B922" s="536" t="s">
        <v>2250</v>
      </c>
      <c r="C922" s="537"/>
      <c r="D922" s="536" t="s">
        <v>2251</v>
      </c>
      <c r="E922" s="536" t="s">
        <v>1800</v>
      </c>
      <c r="F922" s="537"/>
      <c r="G922" s="536"/>
      <c r="H922" s="537"/>
      <c r="T922" s="541"/>
    </row>
    <row r="923" spans="1:20">
      <c r="A923" s="536" t="s">
        <v>2252</v>
      </c>
      <c r="B923" s="536" t="s">
        <v>2253</v>
      </c>
      <c r="C923" s="537"/>
      <c r="D923" s="536" t="s">
        <v>2254</v>
      </c>
      <c r="E923" s="536" t="s">
        <v>1800</v>
      </c>
      <c r="F923" s="537"/>
      <c r="G923" s="536"/>
      <c r="H923" s="537"/>
      <c r="T923" s="541"/>
    </row>
    <row r="924" spans="1:20">
      <c r="A924" s="536" t="s">
        <v>2255</v>
      </c>
      <c r="B924" s="536" t="s">
        <v>2256</v>
      </c>
      <c r="C924" s="537"/>
      <c r="D924" s="536" t="s">
        <v>2257</v>
      </c>
      <c r="E924" s="536" t="s">
        <v>1184</v>
      </c>
      <c r="F924" s="537"/>
      <c r="G924" s="536"/>
      <c r="H924" s="537"/>
      <c r="T924" s="541"/>
    </row>
    <row r="925" spans="1:20">
      <c r="A925" s="536" t="s">
        <v>2258</v>
      </c>
      <c r="B925" s="536" t="s">
        <v>2259</v>
      </c>
      <c r="C925" s="537"/>
      <c r="D925" s="536" t="s">
        <v>2260</v>
      </c>
      <c r="E925" s="536" t="s">
        <v>1184</v>
      </c>
      <c r="F925" s="537"/>
      <c r="G925" s="536"/>
      <c r="H925" s="537"/>
      <c r="T925" s="541"/>
    </row>
    <row r="926" spans="1:20">
      <c r="A926" s="536" t="s">
        <v>2261</v>
      </c>
      <c r="B926" s="536" t="s">
        <v>2262</v>
      </c>
      <c r="C926" s="537"/>
      <c r="D926" s="536" t="s">
        <v>2263</v>
      </c>
      <c r="E926" s="536" t="s">
        <v>1384</v>
      </c>
      <c r="F926" s="537"/>
      <c r="G926" s="536"/>
      <c r="H926" s="537"/>
      <c r="T926" s="541"/>
    </row>
    <row r="927" spans="1:20">
      <c r="A927" s="536" t="s">
        <v>2264</v>
      </c>
      <c r="B927" s="536" t="s">
        <v>2265</v>
      </c>
      <c r="C927" s="537"/>
      <c r="D927" s="536" t="s">
        <v>2266</v>
      </c>
      <c r="E927" s="536" t="s">
        <v>1384</v>
      </c>
      <c r="F927" s="537"/>
      <c r="G927" s="536"/>
      <c r="H927" s="537"/>
      <c r="T927" s="541"/>
    </row>
    <row r="928" spans="1:20">
      <c r="A928" s="536" t="s">
        <v>2267</v>
      </c>
      <c r="B928" s="536" t="s">
        <v>2268</v>
      </c>
      <c r="C928" s="537"/>
      <c r="D928" s="536" t="s">
        <v>2269</v>
      </c>
      <c r="E928" s="536" t="s">
        <v>1384</v>
      </c>
      <c r="F928" s="537"/>
      <c r="G928" s="536"/>
      <c r="H928" s="537"/>
      <c r="T928" s="541"/>
    </row>
    <row r="929" spans="1:20">
      <c r="A929" s="536" t="s">
        <v>2270</v>
      </c>
      <c r="B929" s="536" t="s">
        <v>2271</v>
      </c>
      <c r="C929" s="537"/>
      <c r="D929" s="536" t="s">
        <v>2272</v>
      </c>
      <c r="E929" s="536" t="s">
        <v>1384</v>
      </c>
      <c r="F929" s="537"/>
      <c r="G929" s="536"/>
      <c r="H929" s="537"/>
      <c r="T929" s="541"/>
    </row>
    <row r="930" spans="1:20">
      <c r="A930" s="536" t="s">
        <v>2273</v>
      </c>
      <c r="B930" s="536" t="s">
        <v>2274</v>
      </c>
      <c r="C930" s="537"/>
      <c r="D930" s="536" t="s">
        <v>2275</v>
      </c>
      <c r="E930" s="536" t="s">
        <v>1384</v>
      </c>
      <c r="F930" s="537"/>
      <c r="G930" s="536"/>
      <c r="H930" s="537"/>
      <c r="T930" s="541"/>
    </row>
    <row r="931" spans="1:20">
      <c r="A931" s="536" t="s">
        <v>2276</v>
      </c>
      <c r="B931" s="536" t="s">
        <v>2277</v>
      </c>
      <c r="C931" s="537"/>
      <c r="D931" s="536" t="s">
        <v>2278</v>
      </c>
      <c r="E931" s="536" t="s">
        <v>1384</v>
      </c>
      <c r="F931" s="537"/>
      <c r="G931" s="536"/>
      <c r="H931" s="537"/>
      <c r="T931" s="541"/>
    </row>
    <row r="932" spans="1:20">
      <c r="A932" s="536" t="s">
        <v>2279</v>
      </c>
      <c r="B932" s="536" t="s">
        <v>2280</v>
      </c>
      <c r="C932" s="537"/>
      <c r="D932" s="536" t="s">
        <v>2281</v>
      </c>
      <c r="E932" s="536" t="s">
        <v>1392</v>
      </c>
      <c r="F932" s="537"/>
      <c r="G932" s="536"/>
      <c r="H932" s="537"/>
      <c r="T932" s="541"/>
    </row>
    <row r="933" spans="1:20">
      <c r="A933" s="536" t="s">
        <v>2282</v>
      </c>
      <c r="B933" s="536" t="s">
        <v>2283</v>
      </c>
      <c r="C933" s="537"/>
      <c r="D933" s="536" t="s">
        <v>2284</v>
      </c>
      <c r="E933" s="536" t="s">
        <v>1392</v>
      </c>
      <c r="F933" s="537"/>
      <c r="G933" s="536"/>
      <c r="H933" s="537"/>
      <c r="T933" s="541"/>
    </row>
    <row r="934" spans="1:20">
      <c r="A934" s="536" t="s">
        <v>2285</v>
      </c>
      <c r="B934" s="536" t="s">
        <v>2286</v>
      </c>
      <c r="C934" s="537"/>
      <c r="D934" s="536" t="s">
        <v>2287</v>
      </c>
      <c r="E934" s="536" t="s">
        <v>1392</v>
      </c>
      <c r="F934" s="537"/>
      <c r="G934" s="536"/>
      <c r="H934" s="537"/>
      <c r="T934" s="541"/>
    </row>
    <row r="935" spans="1:20">
      <c r="A935" s="536" t="s">
        <v>2288</v>
      </c>
      <c r="B935" s="536" t="s">
        <v>2280</v>
      </c>
      <c r="C935" s="537"/>
      <c r="D935" s="536" t="s">
        <v>2289</v>
      </c>
      <c r="E935" s="536" t="s">
        <v>1348</v>
      </c>
      <c r="F935" s="537"/>
      <c r="G935" s="536"/>
      <c r="H935" s="537"/>
      <c r="T935" s="541"/>
    </row>
    <row r="936" spans="1:20">
      <c r="A936" s="536" t="s">
        <v>2290</v>
      </c>
      <c r="B936" s="536" t="s">
        <v>2291</v>
      </c>
      <c r="C936" s="537"/>
      <c r="D936" s="536" t="s">
        <v>2292</v>
      </c>
      <c r="E936" s="536" t="s">
        <v>1392</v>
      </c>
      <c r="F936" s="537"/>
      <c r="G936" s="536"/>
      <c r="H936" s="537"/>
      <c r="T936" s="541"/>
    </row>
    <row r="937" spans="1:20">
      <c r="A937" s="536" t="s">
        <v>2293</v>
      </c>
      <c r="B937" s="536" t="s">
        <v>2286</v>
      </c>
      <c r="C937" s="537"/>
      <c r="D937" s="536" t="s">
        <v>2294</v>
      </c>
      <c r="E937" s="536" t="s">
        <v>1348</v>
      </c>
      <c r="F937" s="537"/>
      <c r="G937" s="536"/>
      <c r="H937" s="537"/>
      <c r="T937" s="541"/>
    </row>
    <row r="938" spans="1:20">
      <c r="A938" s="677" t="s">
        <v>2295</v>
      </c>
      <c r="B938" s="677" t="s">
        <v>2296</v>
      </c>
      <c r="C938" s="680"/>
      <c r="D938" s="677" t="s">
        <v>2297</v>
      </c>
      <c r="E938" s="677"/>
      <c r="F938" s="680"/>
      <c r="G938" s="677"/>
      <c r="H938" s="680" t="s">
        <v>2298</v>
      </c>
      <c r="I938" s="677" t="s">
        <v>1622</v>
      </c>
      <c r="J938" s="677" t="s">
        <v>2299</v>
      </c>
      <c r="K938" s="677" t="s">
        <v>2299</v>
      </c>
      <c r="L938" s="677" t="s">
        <v>1055</v>
      </c>
      <c r="M938" s="677" t="s">
        <v>1145</v>
      </c>
      <c r="N938" s="677" t="s">
        <v>993</v>
      </c>
      <c r="O938" s="677" t="s">
        <v>1422</v>
      </c>
      <c r="P938" s="677" t="s">
        <v>1856</v>
      </c>
      <c r="Q938" s="677" t="s">
        <v>1401</v>
      </c>
      <c r="R938" s="677" t="s">
        <v>1819</v>
      </c>
      <c r="S938" s="677" t="s">
        <v>2300</v>
      </c>
      <c r="T938" s="533" t="s">
        <v>2301</v>
      </c>
    </row>
    <row r="939" spans="1:20">
      <c r="A939" s="678"/>
      <c r="B939" s="678"/>
      <c r="C939" s="681"/>
      <c r="D939" s="678"/>
      <c r="E939" s="678"/>
      <c r="F939" s="681"/>
      <c r="G939" s="678"/>
      <c r="H939" s="681"/>
      <c r="I939" s="678"/>
      <c r="J939" s="678"/>
      <c r="K939" s="678"/>
      <c r="L939" s="678"/>
      <c r="M939" s="678"/>
      <c r="N939" s="678"/>
      <c r="O939" s="678"/>
      <c r="P939" s="678"/>
      <c r="Q939" s="678"/>
      <c r="R939" s="678"/>
      <c r="S939" s="678"/>
      <c r="T939" s="534"/>
    </row>
    <row r="940" spans="1:20" ht="28.8">
      <c r="A940" s="679"/>
      <c r="B940" s="679"/>
      <c r="C940" s="682"/>
      <c r="D940" s="679"/>
      <c r="E940" s="679"/>
      <c r="F940" s="682"/>
      <c r="G940" s="679"/>
      <c r="H940" s="682"/>
      <c r="I940" s="679"/>
      <c r="J940" s="679"/>
      <c r="K940" s="679"/>
      <c r="L940" s="679"/>
      <c r="M940" s="679"/>
      <c r="N940" s="679"/>
      <c r="O940" s="679"/>
      <c r="P940" s="679"/>
      <c r="Q940" s="679"/>
      <c r="R940" s="679"/>
      <c r="S940" s="679"/>
      <c r="T940" s="535" t="s">
        <v>2302</v>
      </c>
    </row>
    <row r="941" spans="1:20">
      <c r="A941" s="536" t="s">
        <v>2303</v>
      </c>
      <c r="B941" s="536" t="s">
        <v>2304</v>
      </c>
      <c r="C941" s="537"/>
      <c r="D941" s="536" t="s">
        <v>2305</v>
      </c>
      <c r="E941" s="536" t="s">
        <v>1348</v>
      </c>
      <c r="F941" s="537"/>
      <c r="G941" s="536"/>
      <c r="H941" s="537"/>
      <c r="T941" s="541"/>
    </row>
    <row r="942" spans="1:20">
      <c r="A942" s="536" t="s">
        <v>2306</v>
      </c>
      <c r="B942" s="536" t="s">
        <v>2307</v>
      </c>
      <c r="C942" s="537"/>
      <c r="D942" s="536" t="s">
        <v>2308</v>
      </c>
      <c r="E942" s="536" t="s">
        <v>2309</v>
      </c>
      <c r="F942" s="537"/>
      <c r="G942" s="536"/>
      <c r="H942" s="537"/>
      <c r="T942" s="541"/>
    </row>
    <row r="943" spans="1:20">
      <c r="A943" s="536" t="s">
        <v>2310</v>
      </c>
      <c r="B943" s="536" t="s">
        <v>2311</v>
      </c>
      <c r="C943" s="537"/>
      <c r="D943" s="536" t="s">
        <v>2312</v>
      </c>
      <c r="E943" s="536" t="s">
        <v>2309</v>
      </c>
      <c r="F943" s="537"/>
      <c r="G943" s="536"/>
      <c r="H943" s="537"/>
      <c r="T943" s="541"/>
    </row>
    <row r="944" spans="1:20">
      <c r="A944" s="536" t="s">
        <v>2313</v>
      </c>
      <c r="B944" s="536" t="s">
        <v>2314</v>
      </c>
      <c r="C944" s="537"/>
      <c r="D944" s="536" t="s">
        <v>2315</v>
      </c>
      <c r="E944" s="536" t="s">
        <v>2309</v>
      </c>
      <c r="F944" s="537"/>
      <c r="G944" s="536"/>
      <c r="H944" s="537"/>
      <c r="T944" s="541"/>
    </row>
    <row r="945" spans="1:20">
      <c r="A945" s="536" t="s">
        <v>2316</v>
      </c>
      <c r="B945" s="536" t="s">
        <v>2317</v>
      </c>
      <c r="C945" s="537"/>
      <c r="D945" s="536" t="s">
        <v>2318</v>
      </c>
      <c r="E945" s="536" t="s">
        <v>2309</v>
      </c>
      <c r="F945" s="537"/>
      <c r="G945" s="536"/>
      <c r="H945" s="537"/>
      <c r="T945" s="541"/>
    </row>
    <row r="946" spans="1:20">
      <c r="A946" s="536" t="s">
        <v>2319</v>
      </c>
      <c r="B946" s="536" t="s">
        <v>2320</v>
      </c>
      <c r="C946" s="537"/>
      <c r="D946" s="536" t="s">
        <v>2321</v>
      </c>
      <c r="E946" s="536" t="s">
        <v>1184</v>
      </c>
      <c r="F946" s="537"/>
      <c r="G946" s="536"/>
      <c r="H946" s="537"/>
      <c r="T946" s="541"/>
    </row>
    <row r="947" spans="1:20">
      <c r="A947" s="536" t="s">
        <v>2322</v>
      </c>
      <c r="B947" s="536" t="s">
        <v>2280</v>
      </c>
      <c r="C947" s="537"/>
      <c r="D947" s="536" t="s">
        <v>2323</v>
      </c>
      <c r="E947" s="536" t="s">
        <v>1084</v>
      </c>
      <c r="F947" s="537"/>
      <c r="G947" s="536"/>
      <c r="H947" s="537"/>
      <c r="T947" s="541"/>
    </row>
    <row r="948" spans="1:20">
      <c r="A948" s="536" t="s">
        <v>2324</v>
      </c>
      <c r="B948" s="536" t="s">
        <v>2286</v>
      </c>
      <c r="C948" s="537"/>
      <c r="D948" s="536" t="s">
        <v>2325</v>
      </c>
      <c r="E948" s="536" t="s">
        <v>1084</v>
      </c>
      <c r="F948" s="537"/>
      <c r="G948" s="536"/>
      <c r="H948" s="537"/>
      <c r="T948" s="541"/>
    </row>
    <row r="949" spans="1:20">
      <c r="A949" s="536" t="s">
        <v>2326</v>
      </c>
      <c r="B949" s="536" t="s">
        <v>2327</v>
      </c>
      <c r="C949" s="537"/>
      <c r="D949" s="536" t="s">
        <v>2328</v>
      </c>
      <c r="E949" s="536">
        <v>10155</v>
      </c>
      <c r="F949" s="537"/>
      <c r="G949" s="536"/>
      <c r="H949" s="537"/>
      <c r="T949" s="541"/>
    </row>
    <row r="950" spans="1:20">
      <c r="A950" s="536" t="s">
        <v>2329</v>
      </c>
      <c r="B950" s="536" t="s">
        <v>2330</v>
      </c>
      <c r="C950" s="537"/>
      <c r="D950" s="536" t="s">
        <v>2331</v>
      </c>
      <c r="E950" s="536">
        <v>10155</v>
      </c>
      <c r="F950" s="537"/>
      <c r="G950" s="536"/>
      <c r="H950" s="537"/>
      <c r="T950" s="541"/>
    </row>
    <row r="951" spans="1:20">
      <c r="A951" s="536" t="s">
        <v>2332</v>
      </c>
      <c r="B951" s="536" t="s">
        <v>2333</v>
      </c>
      <c r="C951" s="537"/>
      <c r="D951" s="536" t="s">
        <v>2334</v>
      </c>
      <c r="E951" s="536" t="s">
        <v>2309</v>
      </c>
      <c r="F951" s="537"/>
      <c r="G951" s="536"/>
      <c r="H951" s="537"/>
      <c r="T951" s="541"/>
    </row>
    <row r="952" spans="1:20">
      <c r="A952" s="536"/>
      <c r="B952" s="536"/>
      <c r="C952" s="542"/>
      <c r="D952" s="542"/>
      <c r="E952" s="542"/>
      <c r="F952" s="542"/>
      <c r="G952" s="542"/>
      <c r="H952" s="542"/>
      <c r="I952" s="542"/>
      <c r="J952" s="542"/>
      <c r="K952" s="542"/>
      <c r="L952" s="542"/>
      <c r="M952" s="542"/>
      <c r="N952" s="542"/>
      <c r="O952" s="542"/>
      <c r="P952" s="542"/>
      <c r="Q952" s="542"/>
      <c r="R952" s="542"/>
      <c r="S952" s="542"/>
      <c r="T952" s="543"/>
    </row>
  </sheetData>
  <mergeCells count="2036">
    <mergeCell ref="P1:P2"/>
    <mergeCell ref="Q1:Q2"/>
    <mergeCell ref="R1:R2"/>
    <mergeCell ref="S1:S2"/>
    <mergeCell ref="A3:A5"/>
    <mergeCell ref="B3:B5"/>
    <mergeCell ref="C3:C5"/>
    <mergeCell ref="D3:D5"/>
    <mergeCell ref="E3:E5"/>
    <mergeCell ref="F3:F5"/>
    <mergeCell ref="J1:J2"/>
    <mergeCell ref="K1:K2"/>
    <mergeCell ref="L1:L2"/>
    <mergeCell ref="M1:M2"/>
    <mergeCell ref="N1:N2"/>
    <mergeCell ref="O1:O2"/>
    <mergeCell ref="A1:A2"/>
    <mergeCell ref="B1:B2"/>
    <mergeCell ref="C1:C2"/>
    <mergeCell ref="D1:D2"/>
    <mergeCell ref="E1:E2"/>
    <mergeCell ref="I1:I2"/>
    <mergeCell ref="T3:T5"/>
    <mergeCell ref="A7:A26"/>
    <mergeCell ref="B7:B26"/>
    <mergeCell ref="C7:C26"/>
    <mergeCell ref="D7:D26"/>
    <mergeCell ref="E7:E26"/>
    <mergeCell ref="F7:F26"/>
    <mergeCell ref="G7:G26"/>
    <mergeCell ref="I7:I26"/>
    <mergeCell ref="J7:J26"/>
    <mergeCell ref="N3:N5"/>
    <mergeCell ref="O3:O5"/>
    <mergeCell ref="P3:P5"/>
    <mergeCell ref="Q3:Q5"/>
    <mergeCell ref="R3:R5"/>
    <mergeCell ref="S3:S5"/>
    <mergeCell ref="G3:G5"/>
    <mergeCell ref="I3:I5"/>
    <mergeCell ref="J3:J5"/>
    <mergeCell ref="K3:K5"/>
    <mergeCell ref="L3:L5"/>
    <mergeCell ref="M3:M5"/>
    <mergeCell ref="T27:T31"/>
    <mergeCell ref="I27:I31"/>
    <mergeCell ref="J27:J31"/>
    <mergeCell ref="K27:K31"/>
    <mergeCell ref="L27:L31"/>
    <mergeCell ref="M27:M31"/>
    <mergeCell ref="N27:N31"/>
    <mergeCell ref="Q7:Q26"/>
    <mergeCell ref="R7:R26"/>
    <mergeCell ref="S7:S26"/>
    <mergeCell ref="A27:A31"/>
    <mergeCell ref="B27:B31"/>
    <mergeCell ref="C27:C31"/>
    <mergeCell ref="D27:D31"/>
    <mergeCell ref="E27:E31"/>
    <mergeCell ref="F27:F31"/>
    <mergeCell ref="G27:G31"/>
    <mergeCell ref="K7:K26"/>
    <mergeCell ref="L7:L26"/>
    <mergeCell ref="M7:M26"/>
    <mergeCell ref="N7:N26"/>
    <mergeCell ref="O7:O26"/>
    <mergeCell ref="P7:P26"/>
    <mergeCell ref="G32:G36"/>
    <mergeCell ref="I32:I36"/>
    <mergeCell ref="J32:J36"/>
    <mergeCell ref="K32:K36"/>
    <mergeCell ref="L32:L36"/>
    <mergeCell ref="M32:M36"/>
    <mergeCell ref="A32:A36"/>
    <mergeCell ref="B32:B36"/>
    <mergeCell ref="C32:C36"/>
    <mergeCell ref="D32:D36"/>
    <mergeCell ref="E32:E36"/>
    <mergeCell ref="F32:F36"/>
    <mergeCell ref="O27:O31"/>
    <mergeCell ref="P27:P31"/>
    <mergeCell ref="Q27:Q31"/>
    <mergeCell ref="R27:R31"/>
    <mergeCell ref="S27:S31"/>
    <mergeCell ref="Q38:Q41"/>
    <mergeCell ref="R38:R41"/>
    <mergeCell ref="S38:S41"/>
    <mergeCell ref="T38:T41"/>
    <mergeCell ref="A42:A44"/>
    <mergeCell ref="B42:B44"/>
    <mergeCell ref="C42:C44"/>
    <mergeCell ref="D42:D44"/>
    <mergeCell ref="E42:E44"/>
    <mergeCell ref="F42:F44"/>
    <mergeCell ref="K38:K41"/>
    <mergeCell ref="L38:L41"/>
    <mergeCell ref="M38:M41"/>
    <mergeCell ref="N38:N41"/>
    <mergeCell ref="O38:O41"/>
    <mergeCell ref="P38:P41"/>
    <mergeCell ref="T32:T36"/>
    <mergeCell ref="A38:A41"/>
    <mergeCell ref="B38:B41"/>
    <mergeCell ref="C38:C41"/>
    <mergeCell ref="D38:D41"/>
    <mergeCell ref="E38:E41"/>
    <mergeCell ref="F38:F41"/>
    <mergeCell ref="G38:G41"/>
    <mergeCell ref="I38:I41"/>
    <mergeCell ref="J38:J41"/>
    <mergeCell ref="N32:N36"/>
    <mergeCell ref="O32:O36"/>
    <mergeCell ref="P32:P36"/>
    <mergeCell ref="Q32:Q36"/>
    <mergeCell ref="R32:R36"/>
    <mergeCell ref="S32:S36"/>
    <mergeCell ref="T42:T44"/>
    <mergeCell ref="A47:A49"/>
    <mergeCell ref="B47:B49"/>
    <mergeCell ref="C47:C49"/>
    <mergeCell ref="D47:D49"/>
    <mergeCell ref="E47:E49"/>
    <mergeCell ref="F47:F49"/>
    <mergeCell ref="G47:G49"/>
    <mergeCell ref="I47:I49"/>
    <mergeCell ref="J47:J49"/>
    <mergeCell ref="N42:N44"/>
    <mergeCell ref="O42:O44"/>
    <mergeCell ref="P42:P44"/>
    <mergeCell ref="Q42:Q44"/>
    <mergeCell ref="R42:R44"/>
    <mergeCell ref="S42:S44"/>
    <mergeCell ref="G42:G44"/>
    <mergeCell ref="I42:I44"/>
    <mergeCell ref="J42:J44"/>
    <mergeCell ref="K42:K44"/>
    <mergeCell ref="L42:L44"/>
    <mergeCell ref="M42:M44"/>
    <mergeCell ref="O54:O57"/>
    <mergeCell ref="P54:P57"/>
    <mergeCell ref="Q54:Q57"/>
    <mergeCell ref="R54:R57"/>
    <mergeCell ref="S54:S57"/>
    <mergeCell ref="T54:T57"/>
    <mergeCell ref="I54:I57"/>
    <mergeCell ref="J54:J57"/>
    <mergeCell ref="K54:K57"/>
    <mergeCell ref="L54:L57"/>
    <mergeCell ref="M54:M57"/>
    <mergeCell ref="N54:N57"/>
    <mergeCell ref="Q47:Q49"/>
    <mergeCell ref="R47:R49"/>
    <mergeCell ref="S47:S49"/>
    <mergeCell ref="A54:A57"/>
    <mergeCell ref="B54:B57"/>
    <mergeCell ref="C54:C57"/>
    <mergeCell ref="D54:D57"/>
    <mergeCell ref="E54:E57"/>
    <mergeCell ref="F54:F57"/>
    <mergeCell ref="G54:G57"/>
    <mergeCell ref="K47:K49"/>
    <mergeCell ref="L47:L49"/>
    <mergeCell ref="M47:M49"/>
    <mergeCell ref="N47:N49"/>
    <mergeCell ref="O47:O49"/>
    <mergeCell ref="P47:P49"/>
    <mergeCell ref="T62:T64"/>
    <mergeCell ref="A73:A82"/>
    <mergeCell ref="B73:B82"/>
    <mergeCell ref="C73:C82"/>
    <mergeCell ref="D73:D82"/>
    <mergeCell ref="E73:E82"/>
    <mergeCell ref="F73:F82"/>
    <mergeCell ref="G73:G82"/>
    <mergeCell ref="I73:I82"/>
    <mergeCell ref="J73:J82"/>
    <mergeCell ref="N62:N64"/>
    <mergeCell ref="O62:O64"/>
    <mergeCell ref="P62:P64"/>
    <mergeCell ref="Q62:Q64"/>
    <mergeCell ref="R62:R64"/>
    <mergeCell ref="S62:S64"/>
    <mergeCell ref="G62:G64"/>
    <mergeCell ref="I62:I64"/>
    <mergeCell ref="J62:J64"/>
    <mergeCell ref="K62:K64"/>
    <mergeCell ref="L62:L64"/>
    <mergeCell ref="M62:M64"/>
    <mergeCell ref="A62:A64"/>
    <mergeCell ref="B62:B64"/>
    <mergeCell ref="C62:C64"/>
    <mergeCell ref="D62:D64"/>
    <mergeCell ref="E62:E64"/>
    <mergeCell ref="F62:F64"/>
    <mergeCell ref="G84:G106"/>
    <mergeCell ref="I84:I106"/>
    <mergeCell ref="J84:J106"/>
    <mergeCell ref="K84:K106"/>
    <mergeCell ref="L84:L106"/>
    <mergeCell ref="M84:M106"/>
    <mergeCell ref="Q73:Q82"/>
    <mergeCell ref="R73:R82"/>
    <mergeCell ref="S73:S82"/>
    <mergeCell ref="T73:T82"/>
    <mergeCell ref="A84:A106"/>
    <mergeCell ref="B84:B106"/>
    <mergeCell ref="C84:C106"/>
    <mergeCell ref="D84:D106"/>
    <mergeCell ref="E84:E106"/>
    <mergeCell ref="F84:F106"/>
    <mergeCell ref="K73:K82"/>
    <mergeCell ref="L73:L82"/>
    <mergeCell ref="M73:M82"/>
    <mergeCell ref="N73:N82"/>
    <mergeCell ref="O73:O82"/>
    <mergeCell ref="P73:P82"/>
    <mergeCell ref="Q110:Q116"/>
    <mergeCell ref="R110:R116"/>
    <mergeCell ref="S110:S116"/>
    <mergeCell ref="T110:T116"/>
    <mergeCell ref="A117:A119"/>
    <mergeCell ref="B117:B119"/>
    <mergeCell ref="C117:C119"/>
    <mergeCell ref="D117:D119"/>
    <mergeCell ref="E117:E119"/>
    <mergeCell ref="F117:F119"/>
    <mergeCell ref="K110:K116"/>
    <mergeCell ref="L110:L116"/>
    <mergeCell ref="M110:M116"/>
    <mergeCell ref="N110:N116"/>
    <mergeCell ref="O110:O116"/>
    <mergeCell ref="P110:P116"/>
    <mergeCell ref="T84:T106"/>
    <mergeCell ref="A110:A116"/>
    <mergeCell ref="B110:B116"/>
    <mergeCell ref="C110:C116"/>
    <mergeCell ref="D110:D116"/>
    <mergeCell ref="E110:E116"/>
    <mergeCell ref="F110:F116"/>
    <mergeCell ref="G110:G116"/>
    <mergeCell ref="I110:I116"/>
    <mergeCell ref="J110:J116"/>
    <mergeCell ref="N84:N106"/>
    <mergeCell ref="O84:O106"/>
    <mergeCell ref="P84:P106"/>
    <mergeCell ref="Q84:Q106"/>
    <mergeCell ref="R84:R106"/>
    <mergeCell ref="S84:S106"/>
    <mergeCell ref="T117:T119"/>
    <mergeCell ref="A120:A122"/>
    <mergeCell ref="B120:B122"/>
    <mergeCell ref="C120:C122"/>
    <mergeCell ref="D120:D122"/>
    <mergeCell ref="E120:E122"/>
    <mergeCell ref="F120:F122"/>
    <mergeCell ref="G120:G122"/>
    <mergeCell ref="I120:I122"/>
    <mergeCell ref="J120:J122"/>
    <mergeCell ref="N117:N119"/>
    <mergeCell ref="O117:O119"/>
    <mergeCell ref="P117:P119"/>
    <mergeCell ref="Q117:Q119"/>
    <mergeCell ref="R117:R119"/>
    <mergeCell ref="S117:S119"/>
    <mergeCell ref="G117:G119"/>
    <mergeCell ref="I117:I119"/>
    <mergeCell ref="J117:J119"/>
    <mergeCell ref="K117:K119"/>
    <mergeCell ref="L117:L119"/>
    <mergeCell ref="M117:M119"/>
    <mergeCell ref="G123:G131"/>
    <mergeCell ref="I123:I131"/>
    <mergeCell ref="J123:J131"/>
    <mergeCell ref="K123:K131"/>
    <mergeCell ref="L123:L131"/>
    <mergeCell ref="M123:M131"/>
    <mergeCell ref="Q120:Q122"/>
    <mergeCell ref="R120:R122"/>
    <mergeCell ref="S120:S122"/>
    <mergeCell ref="T120:T122"/>
    <mergeCell ref="A123:A131"/>
    <mergeCell ref="B123:B131"/>
    <mergeCell ref="C123:C131"/>
    <mergeCell ref="D123:D131"/>
    <mergeCell ref="E123:E131"/>
    <mergeCell ref="F123:F131"/>
    <mergeCell ref="K120:K122"/>
    <mergeCell ref="L120:L122"/>
    <mergeCell ref="M120:M122"/>
    <mergeCell ref="N120:N122"/>
    <mergeCell ref="O120:O122"/>
    <mergeCell ref="P120:P122"/>
    <mergeCell ref="Q132:Q141"/>
    <mergeCell ref="R132:R141"/>
    <mergeCell ref="S132:S141"/>
    <mergeCell ref="T132:T141"/>
    <mergeCell ref="A142:A150"/>
    <mergeCell ref="B142:B150"/>
    <mergeCell ref="C142:C150"/>
    <mergeCell ref="D142:D150"/>
    <mergeCell ref="E142:E150"/>
    <mergeCell ref="F142:F150"/>
    <mergeCell ref="K132:K141"/>
    <mergeCell ref="L132:L141"/>
    <mergeCell ref="M132:M141"/>
    <mergeCell ref="N132:N141"/>
    <mergeCell ref="O132:O141"/>
    <mergeCell ref="P132:P141"/>
    <mergeCell ref="T123:T131"/>
    <mergeCell ref="A132:A141"/>
    <mergeCell ref="B132:B141"/>
    <mergeCell ref="C132:C141"/>
    <mergeCell ref="D132:D141"/>
    <mergeCell ref="E132:E141"/>
    <mergeCell ref="F132:F141"/>
    <mergeCell ref="G132:G141"/>
    <mergeCell ref="I132:I141"/>
    <mergeCell ref="J132:J141"/>
    <mergeCell ref="N123:N131"/>
    <mergeCell ref="O123:O131"/>
    <mergeCell ref="P123:P131"/>
    <mergeCell ref="Q123:Q131"/>
    <mergeCell ref="R123:R131"/>
    <mergeCell ref="S123:S131"/>
    <mergeCell ref="T142:T150"/>
    <mergeCell ref="A151:A159"/>
    <mergeCell ref="B151:B159"/>
    <mergeCell ref="C151:C159"/>
    <mergeCell ref="D151:D159"/>
    <mergeCell ref="E151:E159"/>
    <mergeCell ref="F151:F159"/>
    <mergeCell ref="G151:G159"/>
    <mergeCell ref="I151:I159"/>
    <mergeCell ref="J151:J159"/>
    <mergeCell ref="N142:N150"/>
    <mergeCell ref="O142:O150"/>
    <mergeCell ref="P142:P150"/>
    <mergeCell ref="Q142:Q150"/>
    <mergeCell ref="R142:R150"/>
    <mergeCell ref="S142:S150"/>
    <mergeCell ref="G142:G150"/>
    <mergeCell ref="I142:I150"/>
    <mergeCell ref="J142:J150"/>
    <mergeCell ref="K142:K150"/>
    <mergeCell ref="L142:L150"/>
    <mergeCell ref="M142:M150"/>
    <mergeCell ref="G160:G168"/>
    <mergeCell ref="I160:I168"/>
    <mergeCell ref="J160:J168"/>
    <mergeCell ref="K160:K168"/>
    <mergeCell ref="L160:L168"/>
    <mergeCell ref="M160:M168"/>
    <mergeCell ref="Q151:Q159"/>
    <mergeCell ref="R151:R159"/>
    <mergeCell ref="S151:S159"/>
    <mergeCell ref="T151:T159"/>
    <mergeCell ref="A160:A168"/>
    <mergeCell ref="B160:B168"/>
    <mergeCell ref="C160:C168"/>
    <mergeCell ref="D160:D168"/>
    <mergeCell ref="E160:E168"/>
    <mergeCell ref="F160:F168"/>
    <mergeCell ref="K151:K159"/>
    <mergeCell ref="L151:L159"/>
    <mergeCell ref="M151:M159"/>
    <mergeCell ref="N151:N159"/>
    <mergeCell ref="O151:O159"/>
    <mergeCell ref="P151:P159"/>
    <mergeCell ref="Q169:Q170"/>
    <mergeCell ref="R169:R170"/>
    <mergeCell ref="S169:S170"/>
    <mergeCell ref="T169:T170"/>
    <mergeCell ref="A172:A174"/>
    <mergeCell ref="B172:B174"/>
    <mergeCell ref="C172:C174"/>
    <mergeCell ref="D172:D174"/>
    <mergeCell ref="E172:E174"/>
    <mergeCell ref="F172:F174"/>
    <mergeCell ref="K169:K170"/>
    <mergeCell ref="L169:L170"/>
    <mergeCell ref="M169:M170"/>
    <mergeCell ref="N169:N170"/>
    <mergeCell ref="O169:O170"/>
    <mergeCell ref="P169:P170"/>
    <mergeCell ref="T160:T168"/>
    <mergeCell ref="A169:A170"/>
    <mergeCell ref="B169:B170"/>
    <mergeCell ref="C169:C170"/>
    <mergeCell ref="D169:D170"/>
    <mergeCell ref="E169:E170"/>
    <mergeCell ref="F169:F170"/>
    <mergeCell ref="G169:G170"/>
    <mergeCell ref="I169:I170"/>
    <mergeCell ref="J169:J170"/>
    <mergeCell ref="N160:N168"/>
    <mergeCell ref="O160:O168"/>
    <mergeCell ref="P160:P168"/>
    <mergeCell ref="Q160:Q168"/>
    <mergeCell ref="R160:R168"/>
    <mergeCell ref="S160:S168"/>
    <mergeCell ref="S172:S174"/>
    <mergeCell ref="A175:A178"/>
    <mergeCell ref="B175:B178"/>
    <mergeCell ref="C175:C178"/>
    <mergeCell ref="D175:D178"/>
    <mergeCell ref="E175:E178"/>
    <mergeCell ref="F175:F178"/>
    <mergeCell ref="G175:G178"/>
    <mergeCell ref="H175:H178"/>
    <mergeCell ref="I175:I178"/>
    <mergeCell ref="M172:M174"/>
    <mergeCell ref="N172:N174"/>
    <mergeCell ref="O172:O174"/>
    <mergeCell ref="P172:P174"/>
    <mergeCell ref="Q172:Q174"/>
    <mergeCell ref="R172:R174"/>
    <mergeCell ref="G172:G174"/>
    <mergeCell ref="H172:H174"/>
    <mergeCell ref="I172:I174"/>
    <mergeCell ref="J172:J174"/>
    <mergeCell ref="K172:K174"/>
    <mergeCell ref="L172:L174"/>
    <mergeCell ref="G179:G181"/>
    <mergeCell ref="H179:H181"/>
    <mergeCell ref="I179:I181"/>
    <mergeCell ref="J179:J181"/>
    <mergeCell ref="K179:K181"/>
    <mergeCell ref="L179:L181"/>
    <mergeCell ref="P175:P178"/>
    <mergeCell ref="Q175:Q178"/>
    <mergeCell ref="R175:R178"/>
    <mergeCell ref="S175:S178"/>
    <mergeCell ref="A179:A181"/>
    <mergeCell ref="B179:B181"/>
    <mergeCell ref="C179:C181"/>
    <mergeCell ref="D179:D181"/>
    <mergeCell ref="E179:E181"/>
    <mergeCell ref="F179:F181"/>
    <mergeCell ref="J175:J178"/>
    <mergeCell ref="K175:K178"/>
    <mergeCell ref="L175:L178"/>
    <mergeCell ref="M175:M178"/>
    <mergeCell ref="N175:N178"/>
    <mergeCell ref="O175:O178"/>
    <mergeCell ref="P182:P183"/>
    <mergeCell ref="Q182:Q183"/>
    <mergeCell ref="R182:R183"/>
    <mergeCell ref="S182:S183"/>
    <mergeCell ref="A184:A185"/>
    <mergeCell ref="B184:B185"/>
    <mergeCell ref="C184:C185"/>
    <mergeCell ref="D184:D185"/>
    <mergeCell ref="E184:E185"/>
    <mergeCell ref="F184:F185"/>
    <mergeCell ref="J182:J183"/>
    <mergeCell ref="K182:K183"/>
    <mergeCell ref="L182:L183"/>
    <mergeCell ref="M182:M183"/>
    <mergeCell ref="N182:N183"/>
    <mergeCell ref="O182:O183"/>
    <mergeCell ref="S179:S181"/>
    <mergeCell ref="A182:A183"/>
    <mergeCell ref="B182:B183"/>
    <mergeCell ref="C182:C183"/>
    <mergeCell ref="D182:D183"/>
    <mergeCell ref="E182:E183"/>
    <mergeCell ref="F182:F183"/>
    <mergeCell ref="G182:G183"/>
    <mergeCell ref="H182:H183"/>
    <mergeCell ref="I182:I183"/>
    <mergeCell ref="M179:M181"/>
    <mergeCell ref="N179:N181"/>
    <mergeCell ref="O179:O181"/>
    <mergeCell ref="P179:P181"/>
    <mergeCell ref="Q179:Q181"/>
    <mergeCell ref="R179:R181"/>
    <mergeCell ref="S184:S185"/>
    <mergeCell ref="A186:A189"/>
    <mergeCell ref="B186:B189"/>
    <mergeCell ref="C186:C189"/>
    <mergeCell ref="D186:D189"/>
    <mergeCell ref="E186:E189"/>
    <mergeCell ref="F186:F189"/>
    <mergeCell ref="G186:G189"/>
    <mergeCell ref="I186:I189"/>
    <mergeCell ref="J186:J189"/>
    <mergeCell ref="M184:M185"/>
    <mergeCell ref="N184:N185"/>
    <mergeCell ref="O184:O185"/>
    <mergeCell ref="P184:P185"/>
    <mergeCell ref="Q184:Q185"/>
    <mergeCell ref="R184:R185"/>
    <mergeCell ref="G184:G185"/>
    <mergeCell ref="H184:H185"/>
    <mergeCell ref="I184:I185"/>
    <mergeCell ref="J184:J185"/>
    <mergeCell ref="K184:K185"/>
    <mergeCell ref="L184:L185"/>
    <mergeCell ref="O190:O191"/>
    <mergeCell ref="P190:P191"/>
    <mergeCell ref="Q190:Q191"/>
    <mergeCell ref="R190:R191"/>
    <mergeCell ref="S190:S191"/>
    <mergeCell ref="A192:A194"/>
    <mergeCell ref="B192:B194"/>
    <mergeCell ref="C192:C194"/>
    <mergeCell ref="D192:D194"/>
    <mergeCell ref="E192:E194"/>
    <mergeCell ref="I190:I191"/>
    <mergeCell ref="J190:J191"/>
    <mergeCell ref="K190:K191"/>
    <mergeCell ref="L190:L191"/>
    <mergeCell ref="M190:M191"/>
    <mergeCell ref="N190:N191"/>
    <mergeCell ref="Q186:Q189"/>
    <mergeCell ref="R186:R189"/>
    <mergeCell ref="S186:S189"/>
    <mergeCell ref="A190:A191"/>
    <mergeCell ref="B190:B191"/>
    <mergeCell ref="C190:C191"/>
    <mergeCell ref="D190:D191"/>
    <mergeCell ref="E190:E191"/>
    <mergeCell ref="F190:F191"/>
    <mergeCell ref="G190:G191"/>
    <mergeCell ref="K186:K189"/>
    <mergeCell ref="L186:L189"/>
    <mergeCell ref="M186:M189"/>
    <mergeCell ref="N186:N189"/>
    <mergeCell ref="O186:O189"/>
    <mergeCell ref="P186:P189"/>
    <mergeCell ref="R192:R194"/>
    <mergeCell ref="S192:S194"/>
    <mergeCell ref="A195:A208"/>
    <mergeCell ref="B195:B208"/>
    <mergeCell ref="C195:C208"/>
    <mergeCell ref="D195:D208"/>
    <mergeCell ref="E195:E208"/>
    <mergeCell ref="F195:F208"/>
    <mergeCell ref="G195:G208"/>
    <mergeCell ref="I195:I208"/>
    <mergeCell ref="L192:L194"/>
    <mergeCell ref="M192:M194"/>
    <mergeCell ref="N192:N194"/>
    <mergeCell ref="O192:O194"/>
    <mergeCell ref="P192:P194"/>
    <mergeCell ref="Q192:Q194"/>
    <mergeCell ref="F192:F194"/>
    <mergeCell ref="G192:G194"/>
    <mergeCell ref="H192:H194"/>
    <mergeCell ref="I192:I194"/>
    <mergeCell ref="J192:J194"/>
    <mergeCell ref="K192:K194"/>
    <mergeCell ref="N209:N213"/>
    <mergeCell ref="O209:O213"/>
    <mergeCell ref="P209:P213"/>
    <mergeCell ref="Q209:Q213"/>
    <mergeCell ref="R209:R213"/>
    <mergeCell ref="S209:S213"/>
    <mergeCell ref="G209:G213"/>
    <mergeCell ref="I209:I213"/>
    <mergeCell ref="J209:J213"/>
    <mergeCell ref="K209:K213"/>
    <mergeCell ref="L209:L213"/>
    <mergeCell ref="M209:M213"/>
    <mergeCell ref="P195:P208"/>
    <mergeCell ref="Q195:Q208"/>
    <mergeCell ref="R195:R208"/>
    <mergeCell ref="S195:S208"/>
    <mergeCell ref="A209:A213"/>
    <mergeCell ref="B209:B213"/>
    <mergeCell ref="C209:C213"/>
    <mergeCell ref="D209:D213"/>
    <mergeCell ref="E209:E213"/>
    <mergeCell ref="F209:F213"/>
    <mergeCell ref="J195:J208"/>
    <mergeCell ref="K195:K208"/>
    <mergeCell ref="L195:L208"/>
    <mergeCell ref="M195:M208"/>
    <mergeCell ref="N195:N208"/>
    <mergeCell ref="O195:O208"/>
    <mergeCell ref="N214:N218"/>
    <mergeCell ref="O214:O218"/>
    <mergeCell ref="P214:P218"/>
    <mergeCell ref="Q214:Q218"/>
    <mergeCell ref="R214:R218"/>
    <mergeCell ref="S214:S218"/>
    <mergeCell ref="G214:G218"/>
    <mergeCell ref="I214:I218"/>
    <mergeCell ref="J214:J218"/>
    <mergeCell ref="K214:K218"/>
    <mergeCell ref="L214:L218"/>
    <mergeCell ref="M214:M218"/>
    <mergeCell ref="A214:A218"/>
    <mergeCell ref="B214:B218"/>
    <mergeCell ref="C214:C218"/>
    <mergeCell ref="D214:D218"/>
    <mergeCell ref="E214:E218"/>
    <mergeCell ref="F214:F218"/>
    <mergeCell ref="S219:S221"/>
    <mergeCell ref="A222:A227"/>
    <mergeCell ref="B222:B227"/>
    <mergeCell ref="C222:C227"/>
    <mergeCell ref="D222:D227"/>
    <mergeCell ref="E222:E227"/>
    <mergeCell ref="F222:F227"/>
    <mergeCell ref="G222:G227"/>
    <mergeCell ref="I222:I227"/>
    <mergeCell ref="J222:J227"/>
    <mergeCell ref="M219:M221"/>
    <mergeCell ref="N219:N221"/>
    <mergeCell ref="O219:O221"/>
    <mergeCell ref="P219:P221"/>
    <mergeCell ref="Q219:Q221"/>
    <mergeCell ref="R219:R221"/>
    <mergeCell ref="G219:G221"/>
    <mergeCell ref="H219:H221"/>
    <mergeCell ref="I219:I221"/>
    <mergeCell ref="J219:J221"/>
    <mergeCell ref="K219:K221"/>
    <mergeCell ref="L219:L221"/>
    <mergeCell ref="A219:A221"/>
    <mergeCell ref="B219:B221"/>
    <mergeCell ref="C219:C221"/>
    <mergeCell ref="D219:D221"/>
    <mergeCell ref="E219:E221"/>
    <mergeCell ref="F219:F221"/>
    <mergeCell ref="S228:S230"/>
    <mergeCell ref="H228:H230"/>
    <mergeCell ref="I228:I230"/>
    <mergeCell ref="J228:J230"/>
    <mergeCell ref="K228:K230"/>
    <mergeCell ref="L228:L230"/>
    <mergeCell ref="M228:M230"/>
    <mergeCell ref="Q222:Q227"/>
    <mergeCell ref="R222:R227"/>
    <mergeCell ref="S222:S227"/>
    <mergeCell ref="A228:A230"/>
    <mergeCell ref="B228:B230"/>
    <mergeCell ref="C228:C230"/>
    <mergeCell ref="D228:D230"/>
    <mergeCell ref="E228:E230"/>
    <mergeCell ref="F228:F230"/>
    <mergeCell ref="G228:G230"/>
    <mergeCell ref="K222:K227"/>
    <mergeCell ref="L222:L227"/>
    <mergeCell ref="M222:M227"/>
    <mergeCell ref="N222:N227"/>
    <mergeCell ref="O222:O227"/>
    <mergeCell ref="P222:P227"/>
    <mergeCell ref="G231:G233"/>
    <mergeCell ref="H231:H233"/>
    <mergeCell ref="I231:I233"/>
    <mergeCell ref="J231:J233"/>
    <mergeCell ref="K231:K233"/>
    <mergeCell ref="L231:L233"/>
    <mergeCell ref="A231:A233"/>
    <mergeCell ref="B231:B233"/>
    <mergeCell ref="C231:C233"/>
    <mergeCell ref="D231:D233"/>
    <mergeCell ref="E231:E233"/>
    <mergeCell ref="F231:F233"/>
    <mergeCell ref="N228:N230"/>
    <mergeCell ref="O228:O230"/>
    <mergeCell ref="P228:P230"/>
    <mergeCell ref="Q228:Q230"/>
    <mergeCell ref="R228:R230"/>
    <mergeCell ref="Q234:Q255"/>
    <mergeCell ref="R234:R255"/>
    <mergeCell ref="S234:S255"/>
    <mergeCell ref="A256:A279"/>
    <mergeCell ref="B256:B279"/>
    <mergeCell ref="C256:C279"/>
    <mergeCell ref="D256:D279"/>
    <mergeCell ref="E256:E279"/>
    <mergeCell ref="F256:F279"/>
    <mergeCell ref="G256:G279"/>
    <mergeCell ref="K234:K255"/>
    <mergeCell ref="L234:L255"/>
    <mergeCell ref="M234:M255"/>
    <mergeCell ref="N234:N255"/>
    <mergeCell ref="O234:O255"/>
    <mergeCell ref="P234:P255"/>
    <mergeCell ref="S231:S233"/>
    <mergeCell ref="A234:A255"/>
    <mergeCell ref="B234:B255"/>
    <mergeCell ref="C234:C255"/>
    <mergeCell ref="D234:D255"/>
    <mergeCell ref="E234:E255"/>
    <mergeCell ref="F234:F255"/>
    <mergeCell ref="G234:G255"/>
    <mergeCell ref="I234:I255"/>
    <mergeCell ref="J234:J255"/>
    <mergeCell ref="M231:M233"/>
    <mergeCell ref="N231:N233"/>
    <mergeCell ref="O231:O233"/>
    <mergeCell ref="P231:P233"/>
    <mergeCell ref="Q231:Q233"/>
    <mergeCell ref="R231:R233"/>
    <mergeCell ref="F280:F301"/>
    <mergeCell ref="G280:G301"/>
    <mergeCell ref="I280:I301"/>
    <mergeCell ref="J280:J301"/>
    <mergeCell ref="K280:K301"/>
    <mergeCell ref="L280:L301"/>
    <mergeCell ref="O256:O279"/>
    <mergeCell ref="P256:P279"/>
    <mergeCell ref="Q256:Q279"/>
    <mergeCell ref="R256:R279"/>
    <mergeCell ref="S256:S279"/>
    <mergeCell ref="A280:A301"/>
    <mergeCell ref="B280:B301"/>
    <mergeCell ref="C280:C301"/>
    <mergeCell ref="D280:D301"/>
    <mergeCell ref="E280:E301"/>
    <mergeCell ref="I256:I279"/>
    <mergeCell ref="J256:J279"/>
    <mergeCell ref="K256:K279"/>
    <mergeCell ref="L256:L279"/>
    <mergeCell ref="M256:M279"/>
    <mergeCell ref="N256:N279"/>
    <mergeCell ref="P302:P303"/>
    <mergeCell ref="Q302:Q303"/>
    <mergeCell ref="R302:R303"/>
    <mergeCell ref="S302:S303"/>
    <mergeCell ref="A304:A305"/>
    <mergeCell ref="B304:B305"/>
    <mergeCell ref="C304:C305"/>
    <mergeCell ref="D304:D305"/>
    <mergeCell ref="E304:E305"/>
    <mergeCell ref="F304:F305"/>
    <mergeCell ref="J302:J303"/>
    <mergeCell ref="K302:K303"/>
    <mergeCell ref="L302:L303"/>
    <mergeCell ref="M302:M303"/>
    <mergeCell ref="N302:N303"/>
    <mergeCell ref="O302:O303"/>
    <mergeCell ref="S280:S301"/>
    <mergeCell ref="A302:A303"/>
    <mergeCell ref="B302:B303"/>
    <mergeCell ref="C302:C303"/>
    <mergeCell ref="D302:D303"/>
    <mergeCell ref="E302:E303"/>
    <mergeCell ref="F302:F303"/>
    <mergeCell ref="G302:G303"/>
    <mergeCell ref="H302:H303"/>
    <mergeCell ref="I302:I303"/>
    <mergeCell ref="M280:M301"/>
    <mergeCell ref="N280:N301"/>
    <mergeCell ref="O280:O301"/>
    <mergeCell ref="P280:P301"/>
    <mergeCell ref="Q280:Q301"/>
    <mergeCell ref="R280:R301"/>
    <mergeCell ref="S304:S305"/>
    <mergeCell ref="A306:A307"/>
    <mergeCell ref="B306:B307"/>
    <mergeCell ref="C306:C307"/>
    <mergeCell ref="D306:D307"/>
    <mergeCell ref="E306:E307"/>
    <mergeCell ref="F306:F307"/>
    <mergeCell ref="G306:G307"/>
    <mergeCell ref="H306:H307"/>
    <mergeCell ref="I306:I307"/>
    <mergeCell ref="M304:M305"/>
    <mergeCell ref="N304:N305"/>
    <mergeCell ref="O304:O305"/>
    <mergeCell ref="P304:P305"/>
    <mergeCell ref="Q304:Q305"/>
    <mergeCell ref="R304:R305"/>
    <mergeCell ref="G304:G305"/>
    <mergeCell ref="H304:H305"/>
    <mergeCell ref="I304:I305"/>
    <mergeCell ref="J304:J305"/>
    <mergeCell ref="K304:K305"/>
    <mergeCell ref="L304:L305"/>
    <mergeCell ref="S308:S331"/>
    <mergeCell ref="G308:G331"/>
    <mergeCell ref="I308:I331"/>
    <mergeCell ref="J308:J331"/>
    <mergeCell ref="K308:K331"/>
    <mergeCell ref="L308:L331"/>
    <mergeCell ref="M308:M331"/>
    <mergeCell ref="P306:P307"/>
    <mergeCell ref="Q306:Q307"/>
    <mergeCell ref="R306:R307"/>
    <mergeCell ref="S306:S307"/>
    <mergeCell ref="A308:A331"/>
    <mergeCell ref="B308:B331"/>
    <mergeCell ref="C308:C331"/>
    <mergeCell ref="D308:D331"/>
    <mergeCell ref="E308:E331"/>
    <mergeCell ref="F308:F331"/>
    <mergeCell ref="J306:J307"/>
    <mergeCell ref="K306:K307"/>
    <mergeCell ref="L306:L307"/>
    <mergeCell ref="M306:M307"/>
    <mergeCell ref="N306:N307"/>
    <mergeCell ref="O306:O307"/>
    <mergeCell ref="G332:G334"/>
    <mergeCell ref="H332:H334"/>
    <mergeCell ref="I332:I334"/>
    <mergeCell ref="J332:J334"/>
    <mergeCell ref="K332:K334"/>
    <mergeCell ref="L332:L334"/>
    <mergeCell ref="A332:A334"/>
    <mergeCell ref="B332:B334"/>
    <mergeCell ref="C332:C334"/>
    <mergeCell ref="D332:D334"/>
    <mergeCell ref="E332:E334"/>
    <mergeCell ref="F332:F334"/>
    <mergeCell ref="N308:N331"/>
    <mergeCell ref="O308:O331"/>
    <mergeCell ref="P308:P331"/>
    <mergeCell ref="Q308:Q331"/>
    <mergeCell ref="R308:R331"/>
    <mergeCell ref="P335:P336"/>
    <mergeCell ref="Q335:Q336"/>
    <mergeCell ref="R335:R336"/>
    <mergeCell ref="S335:S336"/>
    <mergeCell ref="A337:A339"/>
    <mergeCell ref="B337:B339"/>
    <mergeCell ref="C337:C339"/>
    <mergeCell ref="D337:D339"/>
    <mergeCell ref="E337:E339"/>
    <mergeCell ref="F337:F339"/>
    <mergeCell ref="J335:J336"/>
    <mergeCell ref="K335:K336"/>
    <mergeCell ref="L335:L336"/>
    <mergeCell ref="M335:M336"/>
    <mergeCell ref="N335:N336"/>
    <mergeCell ref="O335:O336"/>
    <mergeCell ref="S332:S334"/>
    <mergeCell ref="A335:A336"/>
    <mergeCell ref="B335:B336"/>
    <mergeCell ref="C335:C336"/>
    <mergeCell ref="D335:D336"/>
    <mergeCell ref="E335:E336"/>
    <mergeCell ref="F335:F336"/>
    <mergeCell ref="G335:G336"/>
    <mergeCell ref="H335:H336"/>
    <mergeCell ref="I335:I336"/>
    <mergeCell ref="M332:M334"/>
    <mergeCell ref="N332:N334"/>
    <mergeCell ref="O332:O334"/>
    <mergeCell ref="P332:P334"/>
    <mergeCell ref="Q332:Q334"/>
    <mergeCell ref="R332:R334"/>
    <mergeCell ref="S337:S339"/>
    <mergeCell ref="A340:A358"/>
    <mergeCell ref="B340:B358"/>
    <mergeCell ref="C340:C358"/>
    <mergeCell ref="D340:D358"/>
    <mergeCell ref="E340:E358"/>
    <mergeCell ref="F340:F358"/>
    <mergeCell ref="G340:G358"/>
    <mergeCell ref="I340:I358"/>
    <mergeCell ref="J340:J358"/>
    <mergeCell ref="M337:M339"/>
    <mergeCell ref="N337:N339"/>
    <mergeCell ref="O337:O339"/>
    <mergeCell ref="P337:P339"/>
    <mergeCell ref="Q337:Q339"/>
    <mergeCell ref="R337:R339"/>
    <mergeCell ref="G337:G339"/>
    <mergeCell ref="H337:H339"/>
    <mergeCell ref="I337:I339"/>
    <mergeCell ref="J337:J339"/>
    <mergeCell ref="K337:K339"/>
    <mergeCell ref="L337:L339"/>
    <mergeCell ref="O359:O363"/>
    <mergeCell ref="P359:P363"/>
    <mergeCell ref="Q359:Q363"/>
    <mergeCell ref="R359:R363"/>
    <mergeCell ref="S359:S363"/>
    <mergeCell ref="A364:A386"/>
    <mergeCell ref="B364:B386"/>
    <mergeCell ref="C364:C386"/>
    <mergeCell ref="D364:D386"/>
    <mergeCell ref="E364:E386"/>
    <mergeCell ref="I359:I363"/>
    <mergeCell ref="J359:J363"/>
    <mergeCell ref="K359:K363"/>
    <mergeCell ref="L359:L363"/>
    <mergeCell ref="M359:M363"/>
    <mergeCell ref="N359:N363"/>
    <mergeCell ref="Q340:Q358"/>
    <mergeCell ref="R340:R358"/>
    <mergeCell ref="S340:S358"/>
    <mergeCell ref="A359:A363"/>
    <mergeCell ref="B359:B363"/>
    <mergeCell ref="C359:C363"/>
    <mergeCell ref="D359:D363"/>
    <mergeCell ref="E359:E363"/>
    <mergeCell ref="F359:F363"/>
    <mergeCell ref="G359:G363"/>
    <mergeCell ref="K340:K358"/>
    <mergeCell ref="L340:L358"/>
    <mergeCell ref="M340:M358"/>
    <mergeCell ref="N340:N358"/>
    <mergeCell ref="O340:O358"/>
    <mergeCell ref="P340:P358"/>
    <mergeCell ref="S364:S386"/>
    <mergeCell ref="A388:A390"/>
    <mergeCell ref="B388:B390"/>
    <mergeCell ref="C388:C390"/>
    <mergeCell ref="D388:D390"/>
    <mergeCell ref="E388:E390"/>
    <mergeCell ref="F388:F390"/>
    <mergeCell ref="G388:G390"/>
    <mergeCell ref="H388:H390"/>
    <mergeCell ref="I388:I390"/>
    <mergeCell ref="M364:M386"/>
    <mergeCell ref="N364:N386"/>
    <mergeCell ref="O364:O386"/>
    <mergeCell ref="P364:P386"/>
    <mergeCell ref="Q364:Q386"/>
    <mergeCell ref="R364:R386"/>
    <mergeCell ref="F364:F386"/>
    <mergeCell ref="G364:G386"/>
    <mergeCell ref="I364:I386"/>
    <mergeCell ref="J364:J386"/>
    <mergeCell ref="K364:K386"/>
    <mergeCell ref="L364:L386"/>
    <mergeCell ref="N391:N395"/>
    <mergeCell ref="O391:O395"/>
    <mergeCell ref="P391:P395"/>
    <mergeCell ref="Q391:Q395"/>
    <mergeCell ref="R391:R395"/>
    <mergeCell ref="S391:S395"/>
    <mergeCell ref="G391:G395"/>
    <mergeCell ref="I391:I395"/>
    <mergeCell ref="J391:J395"/>
    <mergeCell ref="K391:K395"/>
    <mergeCell ref="L391:L395"/>
    <mergeCell ref="M391:M395"/>
    <mergeCell ref="P388:P390"/>
    <mergeCell ref="Q388:Q390"/>
    <mergeCell ref="R388:R390"/>
    <mergeCell ref="S388:S390"/>
    <mergeCell ref="A391:A395"/>
    <mergeCell ref="B391:B395"/>
    <mergeCell ref="C391:C395"/>
    <mergeCell ref="D391:D395"/>
    <mergeCell ref="E391:E395"/>
    <mergeCell ref="F391:F395"/>
    <mergeCell ref="J388:J390"/>
    <mergeCell ref="K388:K390"/>
    <mergeCell ref="L388:L390"/>
    <mergeCell ref="M388:M390"/>
    <mergeCell ref="N388:N390"/>
    <mergeCell ref="O388:O390"/>
    <mergeCell ref="N396:N400"/>
    <mergeCell ref="O396:O400"/>
    <mergeCell ref="P396:P400"/>
    <mergeCell ref="Q396:Q400"/>
    <mergeCell ref="R396:R400"/>
    <mergeCell ref="S396:S400"/>
    <mergeCell ref="G396:G400"/>
    <mergeCell ref="I396:I400"/>
    <mergeCell ref="J396:J400"/>
    <mergeCell ref="K396:K400"/>
    <mergeCell ref="L396:L400"/>
    <mergeCell ref="M396:M400"/>
    <mergeCell ref="A396:A400"/>
    <mergeCell ref="B396:B400"/>
    <mergeCell ref="C396:C400"/>
    <mergeCell ref="D396:D400"/>
    <mergeCell ref="E396:E400"/>
    <mergeCell ref="F396:F400"/>
    <mergeCell ref="N401:N405"/>
    <mergeCell ref="O401:O405"/>
    <mergeCell ref="P401:P405"/>
    <mergeCell ref="Q401:Q405"/>
    <mergeCell ref="R401:R405"/>
    <mergeCell ref="S401:S405"/>
    <mergeCell ref="G401:G405"/>
    <mergeCell ref="I401:I405"/>
    <mergeCell ref="J401:J405"/>
    <mergeCell ref="K401:K405"/>
    <mergeCell ref="L401:L405"/>
    <mergeCell ref="M401:M405"/>
    <mergeCell ref="A401:A405"/>
    <mergeCell ref="B401:B405"/>
    <mergeCell ref="C401:C405"/>
    <mergeCell ref="D401:D405"/>
    <mergeCell ref="E401:E405"/>
    <mergeCell ref="F401:F405"/>
    <mergeCell ref="S406:S408"/>
    <mergeCell ref="A409:A413"/>
    <mergeCell ref="B409:B413"/>
    <mergeCell ref="C409:C413"/>
    <mergeCell ref="D409:D413"/>
    <mergeCell ref="E409:E413"/>
    <mergeCell ref="F409:F413"/>
    <mergeCell ref="G409:G413"/>
    <mergeCell ref="H409:H413"/>
    <mergeCell ref="I409:I413"/>
    <mergeCell ref="M406:M408"/>
    <mergeCell ref="N406:N408"/>
    <mergeCell ref="O406:O408"/>
    <mergeCell ref="P406:P408"/>
    <mergeCell ref="Q406:Q408"/>
    <mergeCell ref="R406:R408"/>
    <mergeCell ref="G406:G408"/>
    <mergeCell ref="H406:H408"/>
    <mergeCell ref="I406:I408"/>
    <mergeCell ref="J406:J408"/>
    <mergeCell ref="K406:K408"/>
    <mergeCell ref="L406:L408"/>
    <mergeCell ref="A406:A408"/>
    <mergeCell ref="B406:B408"/>
    <mergeCell ref="C406:C408"/>
    <mergeCell ref="D406:D408"/>
    <mergeCell ref="E406:E408"/>
    <mergeCell ref="F406:F408"/>
    <mergeCell ref="N414:N427"/>
    <mergeCell ref="O414:O427"/>
    <mergeCell ref="P414:P427"/>
    <mergeCell ref="Q414:Q427"/>
    <mergeCell ref="R414:R427"/>
    <mergeCell ref="S414:S427"/>
    <mergeCell ref="G414:G427"/>
    <mergeCell ref="I414:I427"/>
    <mergeCell ref="J414:J427"/>
    <mergeCell ref="K414:K427"/>
    <mergeCell ref="L414:L427"/>
    <mergeCell ref="M414:M427"/>
    <mergeCell ref="P409:P413"/>
    <mergeCell ref="Q409:Q413"/>
    <mergeCell ref="R409:R413"/>
    <mergeCell ref="S409:S413"/>
    <mergeCell ref="A414:A427"/>
    <mergeCell ref="B414:B427"/>
    <mergeCell ref="C414:C427"/>
    <mergeCell ref="D414:D427"/>
    <mergeCell ref="E414:E427"/>
    <mergeCell ref="F414:F427"/>
    <mergeCell ref="J409:J413"/>
    <mergeCell ref="K409:K413"/>
    <mergeCell ref="L409:L413"/>
    <mergeCell ref="M409:M413"/>
    <mergeCell ref="N409:N413"/>
    <mergeCell ref="O409:O413"/>
    <mergeCell ref="S428:S430"/>
    <mergeCell ref="A431:A442"/>
    <mergeCell ref="B431:B442"/>
    <mergeCell ref="C431:C442"/>
    <mergeCell ref="D431:D442"/>
    <mergeCell ref="E431:E442"/>
    <mergeCell ref="F431:F442"/>
    <mergeCell ref="G431:G442"/>
    <mergeCell ref="I431:I442"/>
    <mergeCell ref="J431:J442"/>
    <mergeCell ref="M428:M430"/>
    <mergeCell ref="N428:N430"/>
    <mergeCell ref="O428:O430"/>
    <mergeCell ref="P428:P430"/>
    <mergeCell ref="Q428:Q430"/>
    <mergeCell ref="R428:R430"/>
    <mergeCell ref="G428:G430"/>
    <mergeCell ref="H428:H430"/>
    <mergeCell ref="I428:I430"/>
    <mergeCell ref="J428:J430"/>
    <mergeCell ref="K428:K430"/>
    <mergeCell ref="L428:L430"/>
    <mergeCell ref="A428:A430"/>
    <mergeCell ref="B428:B430"/>
    <mergeCell ref="C428:C430"/>
    <mergeCell ref="D428:D430"/>
    <mergeCell ref="E428:E430"/>
    <mergeCell ref="F428:F430"/>
    <mergeCell ref="N443:N449"/>
    <mergeCell ref="O443:O449"/>
    <mergeCell ref="P443:P449"/>
    <mergeCell ref="Q443:Q449"/>
    <mergeCell ref="R443:R449"/>
    <mergeCell ref="S443:S449"/>
    <mergeCell ref="H443:H449"/>
    <mergeCell ref="I443:I449"/>
    <mergeCell ref="J443:J449"/>
    <mergeCell ref="K443:K449"/>
    <mergeCell ref="L443:L449"/>
    <mergeCell ref="M443:M449"/>
    <mergeCell ref="Q431:Q442"/>
    <mergeCell ref="R431:R442"/>
    <mergeCell ref="S431:S442"/>
    <mergeCell ref="A443:A449"/>
    <mergeCell ref="B443:B449"/>
    <mergeCell ref="C443:C449"/>
    <mergeCell ref="D443:D449"/>
    <mergeCell ref="E443:E449"/>
    <mergeCell ref="F443:F449"/>
    <mergeCell ref="G443:G449"/>
    <mergeCell ref="K431:K442"/>
    <mergeCell ref="L431:L442"/>
    <mergeCell ref="M431:M442"/>
    <mergeCell ref="N431:N442"/>
    <mergeCell ref="O431:O442"/>
    <mergeCell ref="P431:P442"/>
    <mergeCell ref="N450:N457"/>
    <mergeCell ref="O450:O457"/>
    <mergeCell ref="P450:P457"/>
    <mergeCell ref="Q450:Q457"/>
    <mergeCell ref="R450:R457"/>
    <mergeCell ref="S450:S457"/>
    <mergeCell ref="G450:G457"/>
    <mergeCell ref="I450:I457"/>
    <mergeCell ref="J450:J457"/>
    <mergeCell ref="K450:K457"/>
    <mergeCell ref="L450:L457"/>
    <mergeCell ref="M450:M457"/>
    <mergeCell ref="A450:A457"/>
    <mergeCell ref="B450:B457"/>
    <mergeCell ref="C450:C457"/>
    <mergeCell ref="D450:D457"/>
    <mergeCell ref="E450:E457"/>
    <mergeCell ref="F450:F457"/>
    <mergeCell ref="N458:N460"/>
    <mergeCell ref="O458:O460"/>
    <mergeCell ref="P458:P460"/>
    <mergeCell ref="Q458:Q460"/>
    <mergeCell ref="R458:R460"/>
    <mergeCell ref="S458:S460"/>
    <mergeCell ref="G458:G460"/>
    <mergeCell ref="I458:I460"/>
    <mergeCell ref="J458:J460"/>
    <mergeCell ref="K458:K460"/>
    <mergeCell ref="L458:L460"/>
    <mergeCell ref="M458:M460"/>
    <mergeCell ref="A458:A460"/>
    <mergeCell ref="B458:B460"/>
    <mergeCell ref="C458:C460"/>
    <mergeCell ref="D458:D460"/>
    <mergeCell ref="E458:E460"/>
    <mergeCell ref="F458:F460"/>
    <mergeCell ref="S461:S465"/>
    <mergeCell ref="A466:A472"/>
    <mergeCell ref="B466:B472"/>
    <mergeCell ref="C466:C472"/>
    <mergeCell ref="D466:D472"/>
    <mergeCell ref="E466:E472"/>
    <mergeCell ref="F466:F472"/>
    <mergeCell ref="G466:G472"/>
    <mergeCell ref="H466:H472"/>
    <mergeCell ref="I466:I472"/>
    <mergeCell ref="M461:M465"/>
    <mergeCell ref="N461:N465"/>
    <mergeCell ref="O461:O465"/>
    <mergeCell ref="P461:P465"/>
    <mergeCell ref="Q461:Q465"/>
    <mergeCell ref="R461:R465"/>
    <mergeCell ref="G461:G465"/>
    <mergeCell ref="H461:H465"/>
    <mergeCell ref="I461:I465"/>
    <mergeCell ref="J461:J465"/>
    <mergeCell ref="K461:K465"/>
    <mergeCell ref="L461:L465"/>
    <mergeCell ref="A461:A465"/>
    <mergeCell ref="B461:B465"/>
    <mergeCell ref="C461:C465"/>
    <mergeCell ref="D461:D465"/>
    <mergeCell ref="E461:E465"/>
    <mergeCell ref="F461:F465"/>
    <mergeCell ref="G473:G475"/>
    <mergeCell ref="H473:H475"/>
    <mergeCell ref="I473:I475"/>
    <mergeCell ref="J473:J475"/>
    <mergeCell ref="K473:K475"/>
    <mergeCell ref="L473:L475"/>
    <mergeCell ref="P466:P472"/>
    <mergeCell ref="Q466:Q472"/>
    <mergeCell ref="R466:R472"/>
    <mergeCell ref="S466:S472"/>
    <mergeCell ref="A473:A475"/>
    <mergeCell ref="B473:B475"/>
    <mergeCell ref="C473:C475"/>
    <mergeCell ref="D473:D475"/>
    <mergeCell ref="E473:E475"/>
    <mergeCell ref="F473:F475"/>
    <mergeCell ref="J466:J472"/>
    <mergeCell ref="K466:K472"/>
    <mergeCell ref="L466:L472"/>
    <mergeCell ref="M466:M472"/>
    <mergeCell ref="N466:N472"/>
    <mergeCell ref="O466:O472"/>
    <mergeCell ref="P476:P478"/>
    <mergeCell ref="Q476:Q478"/>
    <mergeCell ref="R476:R478"/>
    <mergeCell ref="S476:S478"/>
    <mergeCell ref="A479:A481"/>
    <mergeCell ref="B479:B481"/>
    <mergeCell ref="C479:C481"/>
    <mergeCell ref="D479:D481"/>
    <mergeCell ref="E479:E481"/>
    <mergeCell ref="F479:F481"/>
    <mergeCell ref="J476:J478"/>
    <mergeCell ref="K476:K478"/>
    <mergeCell ref="L476:L478"/>
    <mergeCell ref="M476:M478"/>
    <mergeCell ref="N476:N478"/>
    <mergeCell ref="O476:O478"/>
    <mergeCell ref="S473:S475"/>
    <mergeCell ref="A476:A478"/>
    <mergeCell ref="B476:B478"/>
    <mergeCell ref="C476:C478"/>
    <mergeCell ref="D476:D478"/>
    <mergeCell ref="E476:E478"/>
    <mergeCell ref="F476:F478"/>
    <mergeCell ref="G476:G478"/>
    <mergeCell ref="H476:H478"/>
    <mergeCell ref="I476:I478"/>
    <mergeCell ref="M473:M475"/>
    <mergeCell ref="N473:N475"/>
    <mergeCell ref="O473:O475"/>
    <mergeCell ref="P473:P475"/>
    <mergeCell ref="Q473:Q475"/>
    <mergeCell ref="R473:R475"/>
    <mergeCell ref="S479:S481"/>
    <mergeCell ref="A482:A497"/>
    <mergeCell ref="B482:B497"/>
    <mergeCell ref="C482:C497"/>
    <mergeCell ref="D482:D497"/>
    <mergeCell ref="E482:E497"/>
    <mergeCell ref="F482:F497"/>
    <mergeCell ref="G482:G497"/>
    <mergeCell ref="I482:I497"/>
    <mergeCell ref="J482:J497"/>
    <mergeCell ref="M479:M481"/>
    <mergeCell ref="N479:N481"/>
    <mergeCell ref="O479:O481"/>
    <mergeCell ref="P479:P481"/>
    <mergeCell ref="Q479:Q481"/>
    <mergeCell ref="R479:R481"/>
    <mergeCell ref="G479:G481"/>
    <mergeCell ref="H479:H481"/>
    <mergeCell ref="I479:I481"/>
    <mergeCell ref="J479:J481"/>
    <mergeCell ref="K479:K481"/>
    <mergeCell ref="L479:L481"/>
    <mergeCell ref="N498:N500"/>
    <mergeCell ref="O498:O500"/>
    <mergeCell ref="P498:P500"/>
    <mergeCell ref="Q498:Q500"/>
    <mergeCell ref="R498:R500"/>
    <mergeCell ref="S498:S500"/>
    <mergeCell ref="H498:H500"/>
    <mergeCell ref="I498:I500"/>
    <mergeCell ref="J498:J500"/>
    <mergeCell ref="K498:K500"/>
    <mergeCell ref="L498:L500"/>
    <mergeCell ref="M498:M500"/>
    <mergeCell ref="Q482:Q497"/>
    <mergeCell ref="R482:R497"/>
    <mergeCell ref="S482:S497"/>
    <mergeCell ref="A498:A500"/>
    <mergeCell ref="B498:B500"/>
    <mergeCell ref="C498:C500"/>
    <mergeCell ref="D498:D500"/>
    <mergeCell ref="E498:E500"/>
    <mergeCell ref="F498:F500"/>
    <mergeCell ref="G498:G500"/>
    <mergeCell ref="K482:K497"/>
    <mergeCell ref="L482:L497"/>
    <mergeCell ref="M482:M497"/>
    <mergeCell ref="N482:N497"/>
    <mergeCell ref="O482:O497"/>
    <mergeCell ref="P482:P497"/>
    <mergeCell ref="S501:S503"/>
    <mergeCell ref="A505:A507"/>
    <mergeCell ref="B505:B507"/>
    <mergeCell ref="C505:C507"/>
    <mergeCell ref="D505:D507"/>
    <mergeCell ref="E505:E507"/>
    <mergeCell ref="F505:F507"/>
    <mergeCell ref="G505:G507"/>
    <mergeCell ref="H505:H507"/>
    <mergeCell ref="I505:I507"/>
    <mergeCell ref="M501:M503"/>
    <mergeCell ref="N501:N503"/>
    <mergeCell ref="O501:O503"/>
    <mergeCell ref="P501:P503"/>
    <mergeCell ref="Q501:Q503"/>
    <mergeCell ref="R501:R503"/>
    <mergeCell ref="G501:G503"/>
    <mergeCell ref="H501:H503"/>
    <mergeCell ref="I501:I503"/>
    <mergeCell ref="J501:J503"/>
    <mergeCell ref="K501:K503"/>
    <mergeCell ref="L501:L503"/>
    <mergeCell ref="A501:A503"/>
    <mergeCell ref="B501:B503"/>
    <mergeCell ref="C501:C503"/>
    <mergeCell ref="D501:D503"/>
    <mergeCell ref="E501:E503"/>
    <mergeCell ref="F501:F503"/>
    <mergeCell ref="N508:N516"/>
    <mergeCell ref="O508:O516"/>
    <mergeCell ref="P508:P516"/>
    <mergeCell ref="Q508:Q516"/>
    <mergeCell ref="R508:R516"/>
    <mergeCell ref="S508:S516"/>
    <mergeCell ref="G508:G516"/>
    <mergeCell ref="I508:I516"/>
    <mergeCell ref="J508:J516"/>
    <mergeCell ref="K508:K516"/>
    <mergeCell ref="L508:L516"/>
    <mergeCell ref="M508:M516"/>
    <mergeCell ref="P505:P507"/>
    <mergeCell ref="Q505:Q507"/>
    <mergeCell ref="R505:R507"/>
    <mergeCell ref="S505:S507"/>
    <mergeCell ref="A508:A516"/>
    <mergeCell ref="B508:B516"/>
    <mergeCell ref="C508:C516"/>
    <mergeCell ref="D508:D516"/>
    <mergeCell ref="E508:E516"/>
    <mergeCell ref="F508:F516"/>
    <mergeCell ref="J505:J507"/>
    <mergeCell ref="K505:K507"/>
    <mergeCell ref="L505:L507"/>
    <mergeCell ref="M505:M507"/>
    <mergeCell ref="N505:N507"/>
    <mergeCell ref="O505:O507"/>
    <mergeCell ref="N517:N525"/>
    <mergeCell ref="O517:O525"/>
    <mergeCell ref="P517:P525"/>
    <mergeCell ref="Q517:Q525"/>
    <mergeCell ref="R517:R525"/>
    <mergeCell ref="S517:S525"/>
    <mergeCell ref="G517:G525"/>
    <mergeCell ref="I517:I525"/>
    <mergeCell ref="J517:J525"/>
    <mergeCell ref="K517:K525"/>
    <mergeCell ref="L517:L525"/>
    <mergeCell ref="M517:M525"/>
    <mergeCell ref="A517:A525"/>
    <mergeCell ref="B517:B525"/>
    <mergeCell ref="C517:C525"/>
    <mergeCell ref="D517:D525"/>
    <mergeCell ref="E517:E525"/>
    <mergeCell ref="F517:F525"/>
    <mergeCell ref="S526:S528"/>
    <mergeCell ref="A529:A544"/>
    <mergeCell ref="B529:B544"/>
    <mergeCell ref="C529:C544"/>
    <mergeCell ref="D529:D544"/>
    <mergeCell ref="E529:E544"/>
    <mergeCell ref="F529:F544"/>
    <mergeCell ref="G529:G544"/>
    <mergeCell ref="I529:I544"/>
    <mergeCell ref="J529:J544"/>
    <mergeCell ref="M526:M528"/>
    <mergeCell ref="N526:N528"/>
    <mergeCell ref="O526:O528"/>
    <mergeCell ref="P526:P528"/>
    <mergeCell ref="Q526:Q528"/>
    <mergeCell ref="R526:R528"/>
    <mergeCell ref="G526:G528"/>
    <mergeCell ref="H526:H528"/>
    <mergeCell ref="I526:I528"/>
    <mergeCell ref="J526:J528"/>
    <mergeCell ref="K526:K528"/>
    <mergeCell ref="L526:L528"/>
    <mergeCell ref="A526:A528"/>
    <mergeCell ref="B526:B528"/>
    <mergeCell ref="C526:C528"/>
    <mergeCell ref="D526:D528"/>
    <mergeCell ref="E526:E528"/>
    <mergeCell ref="F526:F528"/>
    <mergeCell ref="N545:N547"/>
    <mergeCell ref="O545:O547"/>
    <mergeCell ref="P545:P547"/>
    <mergeCell ref="Q545:Q547"/>
    <mergeCell ref="R545:R547"/>
    <mergeCell ref="S545:S547"/>
    <mergeCell ref="H545:H547"/>
    <mergeCell ref="I545:I547"/>
    <mergeCell ref="J545:J547"/>
    <mergeCell ref="K545:K547"/>
    <mergeCell ref="L545:L547"/>
    <mergeCell ref="M545:M547"/>
    <mergeCell ref="Q529:Q544"/>
    <mergeCell ref="R529:R544"/>
    <mergeCell ref="S529:S544"/>
    <mergeCell ref="A545:A547"/>
    <mergeCell ref="B545:B547"/>
    <mergeCell ref="C545:C547"/>
    <mergeCell ref="D545:D547"/>
    <mergeCell ref="E545:E547"/>
    <mergeCell ref="F545:F547"/>
    <mergeCell ref="G545:G547"/>
    <mergeCell ref="K529:K544"/>
    <mergeCell ref="L529:L544"/>
    <mergeCell ref="M529:M544"/>
    <mergeCell ref="N529:N544"/>
    <mergeCell ref="O529:O544"/>
    <mergeCell ref="P529:P544"/>
    <mergeCell ref="N548:N553"/>
    <mergeCell ref="O548:O553"/>
    <mergeCell ref="P548:P553"/>
    <mergeCell ref="Q548:Q553"/>
    <mergeCell ref="R548:R553"/>
    <mergeCell ref="S548:S553"/>
    <mergeCell ref="G548:G553"/>
    <mergeCell ref="I548:I553"/>
    <mergeCell ref="J548:J553"/>
    <mergeCell ref="K548:K553"/>
    <mergeCell ref="L548:L553"/>
    <mergeCell ref="M548:M553"/>
    <mergeCell ref="A548:A553"/>
    <mergeCell ref="B548:B553"/>
    <mergeCell ref="C548:C553"/>
    <mergeCell ref="D548:D553"/>
    <mergeCell ref="E548:E553"/>
    <mergeCell ref="F548:F553"/>
    <mergeCell ref="S554:S556"/>
    <mergeCell ref="A557:A570"/>
    <mergeCell ref="B557:B570"/>
    <mergeCell ref="C557:C570"/>
    <mergeCell ref="D557:D570"/>
    <mergeCell ref="E557:E570"/>
    <mergeCell ref="F557:F570"/>
    <mergeCell ref="G557:G570"/>
    <mergeCell ref="I557:I570"/>
    <mergeCell ref="J557:J570"/>
    <mergeCell ref="M554:M556"/>
    <mergeCell ref="N554:N556"/>
    <mergeCell ref="O554:O556"/>
    <mergeCell ref="P554:P556"/>
    <mergeCell ref="Q554:Q556"/>
    <mergeCell ref="R554:R556"/>
    <mergeCell ref="G554:G556"/>
    <mergeCell ref="H554:H556"/>
    <mergeCell ref="I554:I556"/>
    <mergeCell ref="J554:J556"/>
    <mergeCell ref="K554:K556"/>
    <mergeCell ref="L554:L556"/>
    <mergeCell ref="A554:A556"/>
    <mergeCell ref="B554:B556"/>
    <mergeCell ref="C554:C556"/>
    <mergeCell ref="D554:D556"/>
    <mergeCell ref="E554:E556"/>
    <mergeCell ref="F554:F556"/>
    <mergeCell ref="O571:O575"/>
    <mergeCell ref="P571:P575"/>
    <mergeCell ref="Q571:Q575"/>
    <mergeCell ref="R571:R575"/>
    <mergeCell ref="S571:S575"/>
    <mergeCell ref="A576:A586"/>
    <mergeCell ref="B576:B586"/>
    <mergeCell ref="C576:C586"/>
    <mergeCell ref="D576:D586"/>
    <mergeCell ref="E576:E586"/>
    <mergeCell ref="I571:I575"/>
    <mergeCell ref="J571:J575"/>
    <mergeCell ref="K571:K575"/>
    <mergeCell ref="L571:L575"/>
    <mergeCell ref="M571:M575"/>
    <mergeCell ref="N571:N575"/>
    <mergeCell ref="Q557:Q570"/>
    <mergeCell ref="R557:R570"/>
    <mergeCell ref="S557:S570"/>
    <mergeCell ref="A571:A575"/>
    <mergeCell ref="B571:B575"/>
    <mergeCell ref="C571:C575"/>
    <mergeCell ref="D571:D575"/>
    <mergeCell ref="E571:E575"/>
    <mergeCell ref="F571:F575"/>
    <mergeCell ref="G571:G575"/>
    <mergeCell ref="K557:K570"/>
    <mergeCell ref="L557:L570"/>
    <mergeCell ref="M557:M570"/>
    <mergeCell ref="N557:N570"/>
    <mergeCell ref="O557:O570"/>
    <mergeCell ref="P557:P570"/>
    <mergeCell ref="S576:S586"/>
    <mergeCell ref="A587:A589"/>
    <mergeCell ref="B587:B589"/>
    <mergeCell ref="C587:C589"/>
    <mergeCell ref="D587:D589"/>
    <mergeCell ref="E587:E589"/>
    <mergeCell ref="F587:F589"/>
    <mergeCell ref="G587:G589"/>
    <mergeCell ref="H587:H589"/>
    <mergeCell ref="I587:I589"/>
    <mergeCell ref="M576:M586"/>
    <mergeCell ref="N576:N586"/>
    <mergeCell ref="O576:O586"/>
    <mergeCell ref="P576:P586"/>
    <mergeCell ref="Q576:Q586"/>
    <mergeCell ref="R576:R586"/>
    <mergeCell ref="F576:F586"/>
    <mergeCell ref="G576:G586"/>
    <mergeCell ref="I576:I586"/>
    <mergeCell ref="J576:J586"/>
    <mergeCell ref="K576:K586"/>
    <mergeCell ref="L576:L586"/>
    <mergeCell ref="N591:N592"/>
    <mergeCell ref="O591:O592"/>
    <mergeCell ref="P591:P592"/>
    <mergeCell ref="Q591:Q592"/>
    <mergeCell ref="R591:R592"/>
    <mergeCell ref="S591:S592"/>
    <mergeCell ref="G591:G592"/>
    <mergeCell ref="I591:I592"/>
    <mergeCell ref="J591:J592"/>
    <mergeCell ref="K591:K592"/>
    <mergeCell ref="L591:L592"/>
    <mergeCell ref="M591:M592"/>
    <mergeCell ref="P587:P589"/>
    <mergeCell ref="Q587:Q589"/>
    <mergeCell ref="R587:R589"/>
    <mergeCell ref="S587:S589"/>
    <mergeCell ref="A591:A592"/>
    <mergeCell ref="B591:B592"/>
    <mergeCell ref="C591:C592"/>
    <mergeCell ref="D591:D592"/>
    <mergeCell ref="E591:E592"/>
    <mergeCell ref="F591:F592"/>
    <mergeCell ref="J587:J589"/>
    <mergeCell ref="K587:K589"/>
    <mergeCell ref="L587:L589"/>
    <mergeCell ref="M587:M589"/>
    <mergeCell ref="N587:N589"/>
    <mergeCell ref="O587:O589"/>
    <mergeCell ref="S594:S595"/>
    <mergeCell ref="A596:A598"/>
    <mergeCell ref="B596:B598"/>
    <mergeCell ref="C596:C598"/>
    <mergeCell ref="D596:D598"/>
    <mergeCell ref="E596:E598"/>
    <mergeCell ref="F596:F598"/>
    <mergeCell ref="G596:G598"/>
    <mergeCell ref="H596:H598"/>
    <mergeCell ref="I596:I598"/>
    <mergeCell ref="M594:M595"/>
    <mergeCell ref="N594:N595"/>
    <mergeCell ref="O594:O595"/>
    <mergeCell ref="P594:P595"/>
    <mergeCell ref="Q594:Q595"/>
    <mergeCell ref="R594:R595"/>
    <mergeCell ref="G594:G595"/>
    <mergeCell ref="H594:H595"/>
    <mergeCell ref="I594:I595"/>
    <mergeCell ref="J594:J595"/>
    <mergeCell ref="K594:K595"/>
    <mergeCell ref="L594:L595"/>
    <mergeCell ref="A594:A595"/>
    <mergeCell ref="B594:B595"/>
    <mergeCell ref="C594:C595"/>
    <mergeCell ref="D594:D595"/>
    <mergeCell ref="E594:E595"/>
    <mergeCell ref="F594:F595"/>
    <mergeCell ref="S599:S600"/>
    <mergeCell ref="G599:G600"/>
    <mergeCell ref="I599:I600"/>
    <mergeCell ref="J599:J600"/>
    <mergeCell ref="K599:K600"/>
    <mergeCell ref="L599:L600"/>
    <mergeCell ref="M599:M600"/>
    <mergeCell ref="P596:P598"/>
    <mergeCell ref="Q596:Q598"/>
    <mergeCell ref="R596:R598"/>
    <mergeCell ref="S596:S598"/>
    <mergeCell ref="A599:A600"/>
    <mergeCell ref="B599:B600"/>
    <mergeCell ref="C599:C600"/>
    <mergeCell ref="D599:D600"/>
    <mergeCell ref="E599:E600"/>
    <mergeCell ref="F599:F600"/>
    <mergeCell ref="J596:J598"/>
    <mergeCell ref="K596:K598"/>
    <mergeCell ref="L596:L598"/>
    <mergeCell ref="M596:M598"/>
    <mergeCell ref="N596:N598"/>
    <mergeCell ref="O596:O598"/>
    <mergeCell ref="G602:G603"/>
    <mergeCell ref="H602:H603"/>
    <mergeCell ref="I602:I603"/>
    <mergeCell ref="J602:J603"/>
    <mergeCell ref="K602:K603"/>
    <mergeCell ref="L602:L603"/>
    <mergeCell ref="A602:A603"/>
    <mergeCell ref="B602:B603"/>
    <mergeCell ref="C602:C603"/>
    <mergeCell ref="D602:D603"/>
    <mergeCell ref="E602:E603"/>
    <mergeCell ref="F602:F603"/>
    <mergeCell ref="N599:N600"/>
    <mergeCell ref="O599:O600"/>
    <mergeCell ref="P599:P600"/>
    <mergeCell ref="Q599:Q600"/>
    <mergeCell ref="R599:R600"/>
    <mergeCell ref="Q604:Q606"/>
    <mergeCell ref="R604:R606"/>
    <mergeCell ref="S604:S606"/>
    <mergeCell ref="A607:A608"/>
    <mergeCell ref="B607:B608"/>
    <mergeCell ref="C607:C608"/>
    <mergeCell ref="D607:D608"/>
    <mergeCell ref="E607:E608"/>
    <mergeCell ref="F607:F608"/>
    <mergeCell ref="G607:G608"/>
    <mergeCell ref="K604:K606"/>
    <mergeCell ref="L604:L606"/>
    <mergeCell ref="M604:M606"/>
    <mergeCell ref="N604:N606"/>
    <mergeCell ref="O604:O606"/>
    <mergeCell ref="P604:P606"/>
    <mergeCell ref="S602:S603"/>
    <mergeCell ref="A604:A606"/>
    <mergeCell ref="B604:B606"/>
    <mergeCell ref="C604:C606"/>
    <mergeCell ref="D604:D606"/>
    <mergeCell ref="E604:E606"/>
    <mergeCell ref="F604:F606"/>
    <mergeCell ref="G604:G606"/>
    <mergeCell ref="I604:I606"/>
    <mergeCell ref="J604:J606"/>
    <mergeCell ref="M602:M603"/>
    <mergeCell ref="N602:N603"/>
    <mergeCell ref="O602:O603"/>
    <mergeCell ref="P602:P603"/>
    <mergeCell ref="Q602:Q603"/>
    <mergeCell ref="R602:R603"/>
    <mergeCell ref="F614:F616"/>
    <mergeCell ref="G614:G616"/>
    <mergeCell ref="I614:I616"/>
    <mergeCell ref="J614:J616"/>
    <mergeCell ref="K614:K616"/>
    <mergeCell ref="L614:L616"/>
    <mergeCell ref="O607:O608"/>
    <mergeCell ref="P607:P608"/>
    <mergeCell ref="Q607:Q608"/>
    <mergeCell ref="R607:R608"/>
    <mergeCell ref="S607:S608"/>
    <mergeCell ref="A614:A616"/>
    <mergeCell ref="B614:B616"/>
    <mergeCell ref="C614:C616"/>
    <mergeCell ref="D614:D616"/>
    <mergeCell ref="E614:E616"/>
    <mergeCell ref="I607:I608"/>
    <mergeCell ref="J607:J608"/>
    <mergeCell ref="K607:K608"/>
    <mergeCell ref="L607:L608"/>
    <mergeCell ref="M607:M608"/>
    <mergeCell ref="N607:N608"/>
    <mergeCell ref="P620:P626"/>
    <mergeCell ref="Q620:Q626"/>
    <mergeCell ref="R620:R626"/>
    <mergeCell ref="S620:S626"/>
    <mergeCell ref="T620:T626"/>
    <mergeCell ref="A642:A644"/>
    <mergeCell ref="B642:B644"/>
    <mergeCell ref="C642:C644"/>
    <mergeCell ref="D642:D644"/>
    <mergeCell ref="E642:E644"/>
    <mergeCell ref="J620:J626"/>
    <mergeCell ref="K620:K626"/>
    <mergeCell ref="L620:L626"/>
    <mergeCell ref="M620:M626"/>
    <mergeCell ref="N620:N626"/>
    <mergeCell ref="O620:O626"/>
    <mergeCell ref="S614:S616"/>
    <mergeCell ref="T614:T616"/>
    <mergeCell ref="A620:A626"/>
    <mergeCell ref="B620:B626"/>
    <mergeCell ref="C620:C626"/>
    <mergeCell ref="D620:D626"/>
    <mergeCell ref="E620:E626"/>
    <mergeCell ref="F620:F626"/>
    <mergeCell ref="G620:G626"/>
    <mergeCell ref="I620:I626"/>
    <mergeCell ref="M614:M616"/>
    <mergeCell ref="N614:N616"/>
    <mergeCell ref="O614:O616"/>
    <mergeCell ref="P614:P616"/>
    <mergeCell ref="Q614:Q616"/>
    <mergeCell ref="R614:R616"/>
    <mergeCell ref="S642:S644"/>
    <mergeCell ref="T642:T644"/>
    <mergeCell ref="A660:A703"/>
    <mergeCell ref="B660:B703"/>
    <mergeCell ref="C660:C703"/>
    <mergeCell ref="D660:D703"/>
    <mergeCell ref="E660:E703"/>
    <mergeCell ref="F660:F703"/>
    <mergeCell ref="G660:G703"/>
    <mergeCell ref="I660:I703"/>
    <mergeCell ref="M642:M644"/>
    <mergeCell ref="N642:N644"/>
    <mergeCell ref="O642:O644"/>
    <mergeCell ref="P642:P644"/>
    <mergeCell ref="Q642:Q644"/>
    <mergeCell ref="R642:R644"/>
    <mergeCell ref="F642:F644"/>
    <mergeCell ref="G642:G644"/>
    <mergeCell ref="I642:I644"/>
    <mergeCell ref="J642:J644"/>
    <mergeCell ref="K642:K644"/>
    <mergeCell ref="L642:L644"/>
    <mergeCell ref="N704:N708"/>
    <mergeCell ref="O704:O708"/>
    <mergeCell ref="P704:P708"/>
    <mergeCell ref="Q704:Q708"/>
    <mergeCell ref="R704:R708"/>
    <mergeCell ref="S704:S708"/>
    <mergeCell ref="G704:G708"/>
    <mergeCell ref="I704:I708"/>
    <mergeCell ref="J704:J708"/>
    <mergeCell ref="K704:K708"/>
    <mergeCell ref="L704:L708"/>
    <mergeCell ref="M704:M708"/>
    <mergeCell ref="P660:P703"/>
    <mergeCell ref="Q660:Q703"/>
    <mergeCell ref="R660:R703"/>
    <mergeCell ref="S660:S703"/>
    <mergeCell ref="A704:A708"/>
    <mergeCell ref="B704:B708"/>
    <mergeCell ref="C704:C708"/>
    <mergeCell ref="D704:D708"/>
    <mergeCell ref="E704:E708"/>
    <mergeCell ref="F704:F708"/>
    <mergeCell ref="J660:J703"/>
    <mergeCell ref="K660:K703"/>
    <mergeCell ref="L660:L703"/>
    <mergeCell ref="M660:M703"/>
    <mergeCell ref="N660:N703"/>
    <mergeCell ref="O660:O703"/>
    <mergeCell ref="N709:N714"/>
    <mergeCell ref="O709:O714"/>
    <mergeCell ref="P709:P714"/>
    <mergeCell ref="Q709:Q714"/>
    <mergeCell ref="R709:R714"/>
    <mergeCell ref="S709:S714"/>
    <mergeCell ref="G709:G714"/>
    <mergeCell ref="I709:I714"/>
    <mergeCell ref="J709:J714"/>
    <mergeCell ref="K709:K714"/>
    <mergeCell ref="L709:L714"/>
    <mergeCell ref="M709:M714"/>
    <mergeCell ref="A709:A714"/>
    <mergeCell ref="B709:B714"/>
    <mergeCell ref="C709:C714"/>
    <mergeCell ref="D709:D714"/>
    <mergeCell ref="E709:E714"/>
    <mergeCell ref="F709:F714"/>
    <mergeCell ref="N715:N717"/>
    <mergeCell ref="O715:O717"/>
    <mergeCell ref="P715:P717"/>
    <mergeCell ref="Q715:Q717"/>
    <mergeCell ref="R715:R717"/>
    <mergeCell ref="S715:S717"/>
    <mergeCell ref="G715:G717"/>
    <mergeCell ref="I715:I717"/>
    <mergeCell ref="J715:J717"/>
    <mergeCell ref="K715:K717"/>
    <mergeCell ref="L715:L717"/>
    <mergeCell ref="M715:M717"/>
    <mergeCell ref="A715:A717"/>
    <mergeCell ref="B715:B717"/>
    <mergeCell ref="C715:C717"/>
    <mergeCell ref="D715:D717"/>
    <mergeCell ref="E715:E717"/>
    <mergeCell ref="F715:F717"/>
    <mergeCell ref="N718:N722"/>
    <mergeCell ref="O718:O722"/>
    <mergeCell ref="P718:P722"/>
    <mergeCell ref="Q718:Q722"/>
    <mergeCell ref="R718:R722"/>
    <mergeCell ref="S718:S722"/>
    <mergeCell ref="G718:G722"/>
    <mergeCell ref="I718:I722"/>
    <mergeCell ref="J718:J722"/>
    <mergeCell ref="K718:K722"/>
    <mergeCell ref="L718:L722"/>
    <mergeCell ref="M718:M722"/>
    <mergeCell ref="A718:A722"/>
    <mergeCell ref="B718:B722"/>
    <mergeCell ref="C718:C722"/>
    <mergeCell ref="D718:D722"/>
    <mergeCell ref="E718:E722"/>
    <mergeCell ref="F718:F722"/>
    <mergeCell ref="N723:N727"/>
    <mergeCell ref="O723:O727"/>
    <mergeCell ref="P723:P727"/>
    <mergeCell ref="Q723:Q727"/>
    <mergeCell ref="R723:R727"/>
    <mergeCell ref="S723:S727"/>
    <mergeCell ref="G723:G727"/>
    <mergeCell ref="I723:I727"/>
    <mergeCell ref="J723:J727"/>
    <mergeCell ref="K723:K727"/>
    <mergeCell ref="L723:L727"/>
    <mergeCell ref="M723:M727"/>
    <mergeCell ref="A723:A727"/>
    <mergeCell ref="B723:B727"/>
    <mergeCell ref="C723:C727"/>
    <mergeCell ref="D723:D727"/>
    <mergeCell ref="E723:E727"/>
    <mergeCell ref="F723:F727"/>
    <mergeCell ref="T728:T742"/>
    <mergeCell ref="A743:A747"/>
    <mergeCell ref="B743:B747"/>
    <mergeCell ref="C743:C747"/>
    <mergeCell ref="D743:D747"/>
    <mergeCell ref="E743:E747"/>
    <mergeCell ref="F743:F747"/>
    <mergeCell ref="G743:G747"/>
    <mergeCell ref="I743:I747"/>
    <mergeCell ref="J743:J747"/>
    <mergeCell ref="N728:N742"/>
    <mergeCell ref="O728:O742"/>
    <mergeCell ref="P728:P742"/>
    <mergeCell ref="Q728:Q742"/>
    <mergeCell ref="R728:R742"/>
    <mergeCell ref="S728:S742"/>
    <mergeCell ref="G728:G742"/>
    <mergeCell ref="I728:I742"/>
    <mergeCell ref="J728:J742"/>
    <mergeCell ref="K728:K742"/>
    <mergeCell ref="L728:L742"/>
    <mergeCell ref="M728:M742"/>
    <mergeCell ref="A728:A742"/>
    <mergeCell ref="B728:B742"/>
    <mergeCell ref="C728:C742"/>
    <mergeCell ref="D728:D742"/>
    <mergeCell ref="E728:E742"/>
    <mergeCell ref="F728:F742"/>
    <mergeCell ref="O748:O773"/>
    <mergeCell ref="P748:P773"/>
    <mergeCell ref="Q748:Q773"/>
    <mergeCell ref="R748:R773"/>
    <mergeCell ref="S748:S773"/>
    <mergeCell ref="A774:A776"/>
    <mergeCell ref="B774:B776"/>
    <mergeCell ref="C774:C776"/>
    <mergeCell ref="D774:D776"/>
    <mergeCell ref="E774:E776"/>
    <mergeCell ref="I748:I773"/>
    <mergeCell ref="J748:J773"/>
    <mergeCell ref="K748:K773"/>
    <mergeCell ref="L748:L773"/>
    <mergeCell ref="M748:M773"/>
    <mergeCell ref="N748:N773"/>
    <mergeCell ref="Q743:Q747"/>
    <mergeCell ref="R743:R747"/>
    <mergeCell ref="S743:S747"/>
    <mergeCell ref="A748:A773"/>
    <mergeCell ref="B748:B773"/>
    <mergeCell ref="C748:C773"/>
    <mergeCell ref="D748:D773"/>
    <mergeCell ref="E748:E773"/>
    <mergeCell ref="F748:F773"/>
    <mergeCell ref="G748:G773"/>
    <mergeCell ref="K743:K747"/>
    <mergeCell ref="L743:L747"/>
    <mergeCell ref="M743:M747"/>
    <mergeCell ref="N743:N747"/>
    <mergeCell ref="O743:O747"/>
    <mergeCell ref="P743:P747"/>
    <mergeCell ref="S774:S776"/>
    <mergeCell ref="A777:A780"/>
    <mergeCell ref="B777:B780"/>
    <mergeCell ref="C777:C780"/>
    <mergeCell ref="D777:D780"/>
    <mergeCell ref="E777:E780"/>
    <mergeCell ref="F777:F780"/>
    <mergeCell ref="G777:G780"/>
    <mergeCell ref="I777:I780"/>
    <mergeCell ref="J777:J780"/>
    <mergeCell ref="M774:M776"/>
    <mergeCell ref="N774:N776"/>
    <mergeCell ref="O774:O776"/>
    <mergeCell ref="P774:P776"/>
    <mergeCell ref="Q774:Q776"/>
    <mergeCell ref="R774:R776"/>
    <mergeCell ref="F774:F776"/>
    <mergeCell ref="G774:G776"/>
    <mergeCell ref="I774:I776"/>
    <mergeCell ref="J774:J776"/>
    <mergeCell ref="K774:K776"/>
    <mergeCell ref="L774:L776"/>
    <mergeCell ref="O781:O793"/>
    <mergeCell ref="P781:P793"/>
    <mergeCell ref="Q781:Q793"/>
    <mergeCell ref="R781:R793"/>
    <mergeCell ref="S781:S793"/>
    <mergeCell ref="A794:A803"/>
    <mergeCell ref="B794:B803"/>
    <mergeCell ref="C794:C803"/>
    <mergeCell ref="D794:D803"/>
    <mergeCell ref="E794:E803"/>
    <mergeCell ref="I781:I793"/>
    <mergeCell ref="J781:J793"/>
    <mergeCell ref="K781:K793"/>
    <mergeCell ref="L781:L793"/>
    <mergeCell ref="M781:M793"/>
    <mergeCell ref="N781:N793"/>
    <mergeCell ref="Q777:Q780"/>
    <mergeCell ref="R777:R780"/>
    <mergeCell ref="S777:S780"/>
    <mergeCell ref="A781:A793"/>
    <mergeCell ref="B781:B793"/>
    <mergeCell ref="C781:C793"/>
    <mergeCell ref="D781:D793"/>
    <mergeCell ref="E781:E793"/>
    <mergeCell ref="F781:F793"/>
    <mergeCell ref="G781:G793"/>
    <mergeCell ref="K777:K780"/>
    <mergeCell ref="L777:L780"/>
    <mergeCell ref="M777:M780"/>
    <mergeCell ref="N777:N780"/>
    <mergeCell ref="O777:O780"/>
    <mergeCell ref="P777:P780"/>
    <mergeCell ref="S794:S803"/>
    <mergeCell ref="A804:A852"/>
    <mergeCell ref="B804:B852"/>
    <mergeCell ref="C804:C852"/>
    <mergeCell ref="D804:D852"/>
    <mergeCell ref="E804:E852"/>
    <mergeCell ref="F804:F852"/>
    <mergeCell ref="G804:G852"/>
    <mergeCell ref="I804:I852"/>
    <mergeCell ref="J804:J852"/>
    <mergeCell ref="M794:M803"/>
    <mergeCell ref="N794:N803"/>
    <mergeCell ref="O794:O803"/>
    <mergeCell ref="P794:P803"/>
    <mergeCell ref="Q794:Q803"/>
    <mergeCell ref="R794:R803"/>
    <mergeCell ref="F794:F803"/>
    <mergeCell ref="G794:G803"/>
    <mergeCell ref="I794:I803"/>
    <mergeCell ref="J794:J803"/>
    <mergeCell ref="K794:K803"/>
    <mergeCell ref="L794:L803"/>
    <mergeCell ref="O853:O855"/>
    <mergeCell ref="P853:P855"/>
    <mergeCell ref="Q853:Q855"/>
    <mergeCell ref="R853:R855"/>
    <mergeCell ref="S853:S855"/>
    <mergeCell ref="A856:A891"/>
    <mergeCell ref="B856:B891"/>
    <mergeCell ref="C856:C891"/>
    <mergeCell ref="D856:D891"/>
    <mergeCell ref="E856:E891"/>
    <mergeCell ref="I853:I855"/>
    <mergeCell ref="J853:J855"/>
    <mergeCell ref="K853:K855"/>
    <mergeCell ref="L853:L855"/>
    <mergeCell ref="M853:M855"/>
    <mergeCell ref="N853:N855"/>
    <mergeCell ref="Q804:Q852"/>
    <mergeCell ref="R804:R852"/>
    <mergeCell ref="S804:S852"/>
    <mergeCell ref="A853:A855"/>
    <mergeCell ref="B853:B855"/>
    <mergeCell ref="C853:C855"/>
    <mergeCell ref="D853:D855"/>
    <mergeCell ref="E853:E855"/>
    <mergeCell ref="F853:F855"/>
    <mergeCell ref="G853:G855"/>
    <mergeCell ref="K804:K852"/>
    <mergeCell ref="L804:L852"/>
    <mergeCell ref="M804:M852"/>
    <mergeCell ref="N804:N852"/>
    <mergeCell ref="O804:O852"/>
    <mergeCell ref="P804:P852"/>
    <mergeCell ref="S856:S891"/>
    <mergeCell ref="A892:A896"/>
    <mergeCell ref="B892:B896"/>
    <mergeCell ref="C892:C896"/>
    <mergeCell ref="D892:D896"/>
    <mergeCell ref="E892:E896"/>
    <mergeCell ref="F892:F896"/>
    <mergeCell ref="G892:G896"/>
    <mergeCell ref="I892:I896"/>
    <mergeCell ref="J892:J896"/>
    <mergeCell ref="M856:M891"/>
    <mergeCell ref="N856:N891"/>
    <mergeCell ref="O856:O891"/>
    <mergeCell ref="P856:P891"/>
    <mergeCell ref="Q856:Q891"/>
    <mergeCell ref="R856:R891"/>
    <mergeCell ref="F856:F891"/>
    <mergeCell ref="G856:G891"/>
    <mergeCell ref="I856:I891"/>
    <mergeCell ref="J856:J891"/>
    <mergeCell ref="K856:K891"/>
    <mergeCell ref="L856:L891"/>
    <mergeCell ref="Q892:Q896"/>
    <mergeCell ref="R892:R896"/>
    <mergeCell ref="S892:S896"/>
    <mergeCell ref="K892:K896"/>
    <mergeCell ref="L892:L896"/>
    <mergeCell ref="M892:M896"/>
    <mergeCell ref="N892:N896"/>
    <mergeCell ref="O892:O896"/>
    <mergeCell ref="P892:P896"/>
    <mergeCell ref="R938:R940"/>
    <mergeCell ref="S938:S940"/>
    <mergeCell ref="L938:L940"/>
    <mergeCell ref="M938:M940"/>
    <mergeCell ref="N938:N940"/>
    <mergeCell ref="O938:O940"/>
    <mergeCell ref="P938:P940"/>
    <mergeCell ref="Q938:Q940"/>
    <mergeCell ref="F938:F940"/>
    <mergeCell ref="G938:G940"/>
    <mergeCell ref="H938:H940"/>
    <mergeCell ref="I938:I940"/>
    <mergeCell ref="J938:J940"/>
    <mergeCell ref="K938:K940"/>
    <mergeCell ref="O897:O909"/>
    <mergeCell ref="P897:P909"/>
    <mergeCell ref="Q897:Q909"/>
    <mergeCell ref="R897:R909"/>
    <mergeCell ref="S897:S909"/>
    <mergeCell ref="A938:A940"/>
    <mergeCell ref="B938:B940"/>
    <mergeCell ref="C938:C940"/>
    <mergeCell ref="D938:D940"/>
    <mergeCell ref="E938:E940"/>
    <mergeCell ref="I897:I909"/>
    <mergeCell ref="J897:J909"/>
    <mergeCell ref="K897:K909"/>
    <mergeCell ref="L897:L909"/>
    <mergeCell ref="M897:M909"/>
    <mergeCell ref="N897:N909"/>
    <mergeCell ref="A897:A909"/>
    <mergeCell ref="B897:B909"/>
    <mergeCell ref="C897:C909"/>
    <mergeCell ref="D897:D909"/>
    <mergeCell ref="E897:E909"/>
    <mergeCell ref="F897:F909"/>
    <mergeCell ref="G897:G909"/>
  </mergeCells>
  <hyperlinks>
    <hyperlink ref="T9" r:id="rId1" display="http://www.metallograf.de/start.htm?werkstoffkartei/0037/0037.htm"/>
    <hyperlink ref="T49" r:id="rId2" display="http://www.metallograf.de/start.htm?werkstoffkartei/0116/0116.htm"/>
    <hyperlink ref="T178" r:id="rId3" display="http://www.kummetat.de/download/DIN488-1.pdf"/>
    <hyperlink ref="T284" r:id="rId4" display="http://www.metallograf.de/start.htm?werkstoffkartei/0511/0511.htm"/>
    <hyperlink ref="T420" r:id="rId5" display="http://www.metallograf.de/start.htm?werkstoffkartei/0562/0562.htm"/>
    <hyperlink ref="T449" r:id="rId6" display="http://www.metallograf.de/start.htm?werkstoffkartei/0569/0569.htm"/>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E13" sqref="E13"/>
    </sheetView>
  </sheetViews>
  <sheetFormatPr defaultRowHeight="14.4"/>
  <cols>
    <col min="1" max="1" width="14.21875" customWidth="1"/>
    <col min="2" max="2" width="14.88671875" customWidth="1"/>
    <col min="3" max="3" width="8.77734375" style="157" customWidth="1"/>
    <col min="4" max="4" width="14.88671875" style="157" customWidth="1"/>
    <col min="5" max="5" width="9.109375" customWidth="1"/>
  </cols>
  <sheetData>
    <row r="1" spans="1:12">
      <c r="A1" t="s">
        <v>2336</v>
      </c>
      <c r="B1" s="157" t="s">
        <v>2337</v>
      </c>
      <c r="C1" s="157" t="s">
        <v>688</v>
      </c>
      <c r="D1" s="157" t="s">
        <v>2344</v>
      </c>
      <c r="E1" t="s">
        <v>2338</v>
      </c>
      <c r="F1" t="s">
        <v>2347</v>
      </c>
      <c r="G1" t="s">
        <v>2353</v>
      </c>
      <c r="H1" t="s">
        <v>2354</v>
      </c>
    </row>
    <row r="2" spans="1:12" s="157" customFormat="1">
      <c r="C2" s="157" t="s">
        <v>2343</v>
      </c>
      <c r="D2" s="208" t="s">
        <v>622</v>
      </c>
      <c r="E2" s="157" t="s">
        <v>2343</v>
      </c>
      <c r="F2" s="157" t="s">
        <v>2348</v>
      </c>
      <c r="G2" s="157" t="s">
        <v>647</v>
      </c>
      <c r="H2" s="157" t="s">
        <v>2355</v>
      </c>
      <c r="I2" s="157" t="s">
        <v>2356</v>
      </c>
    </row>
    <row r="3" spans="1:12">
      <c r="A3" t="s">
        <v>2351</v>
      </c>
      <c r="B3" t="s">
        <v>2339</v>
      </c>
      <c r="D3" s="157">
        <v>2</v>
      </c>
      <c r="E3">
        <v>200</v>
      </c>
      <c r="F3">
        <v>50</v>
      </c>
      <c r="G3">
        <v>24</v>
      </c>
      <c r="H3">
        <f>D3*E3*G3/1000</f>
        <v>9.6</v>
      </c>
    </row>
    <row r="4" spans="1:12">
      <c r="A4" t="s">
        <v>2350</v>
      </c>
      <c r="B4" t="s">
        <v>2340</v>
      </c>
      <c r="D4" s="157">
        <v>2</v>
      </c>
      <c r="E4">
        <v>360</v>
      </c>
      <c r="F4">
        <v>125</v>
      </c>
      <c r="G4">
        <v>24</v>
      </c>
      <c r="H4" s="157">
        <f t="shared" ref="H4:H8" si="0">D4*E4*G4/1000</f>
        <v>17.28</v>
      </c>
      <c r="I4" s="157">
        <f t="shared" ref="I4:I8" si="1">F4*D4*G4</f>
        <v>6000</v>
      </c>
    </row>
    <row r="5" spans="1:12">
      <c r="A5" t="s">
        <v>2352</v>
      </c>
      <c r="B5" s="157" t="s">
        <v>2341</v>
      </c>
      <c r="D5" s="157">
        <v>2</v>
      </c>
      <c r="E5">
        <v>25</v>
      </c>
      <c r="F5">
        <v>20</v>
      </c>
      <c r="G5">
        <v>24</v>
      </c>
      <c r="H5" s="157">
        <f t="shared" si="0"/>
        <v>1.2</v>
      </c>
      <c r="I5" s="157">
        <f t="shared" si="1"/>
        <v>960</v>
      </c>
      <c r="L5" s="157"/>
    </row>
    <row r="6" spans="1:12">
      <c r="A6" t="s">
        <v>2351</v>
      </c>
      <c r="B6" s="157" t="s">
        <v>2346</v>
      </c>
      <c r="D6" s="157">
        <v>1</v>
      </c>
      <c r="E6">
        <v>40</v>
      </c>
      <c r="F6">
        <v>30</v>
      </c>
      <c r="G6">
        <v>24</v>
      </c>
      <c r="H6" s="157">
        <f t="shared" si="0"/>
        <v>0.96</v>
      </c>
      <c r="I6" s="157">
        <f t="shared" si="1"/>
        <v>720</v>
      </c>
    </row>
    <row r="7" spans="1:12">
      <c r="A7" t="s">
        <v>2350</v>
      </c>
      <c r="B7" s="157" t="s">
        <v>2345</v>
      </c>
      <c r="D7" s="157">
        <v>1</v>
      </c>
      <c r="E7">
        <v>96</v>
      </c>
      <c r="F7">
        <v>12</v>
      </c>
      <c r="G7">
        <v>24</v>
      </c>
      <c r="H7" s="157">
        <f t="shared" si="0"/>
        <v>2.3039999999999998</v>
      </c>
      <c r="I7" s="157">
        <f t="shared" si="1"/>
        <v>288</v>
      </c>
    </row>
    <row r="8" spans="1:12">
      <c r="A8" t="s">
        <v>2349</v>
      </c>
      <c r="B8" s="157" t="s">
        <v>2342</v>
      </c>
      <c r="D8" s="157">
        <v>2</v>
      </c>
      <c r="E8">
        <v>140</v>
      </c>
      <c r="F8">
        <v>15</v>
      </c>
      <c r="G8">
        <v>24</v>
      </c>
      <c r="H8" s="157">
        <f t="shared" si="0"/>
        <v>6.72</v>
      </c>
      <c r="I8" s="157">
        <f t="shared" si="1"/>
        <v>720</v>
      </c>
    </row>
    <row r="13" spans="1:12">
      <c r="A13" s="157" t="s">
        <v>2351</v>
      </c>
      <c r="B13">
        <f>H3+H6</f>
        <v>10.559999999999999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9" sqref="D19"/>
    </sheetView>
  </sheetViews>
  <sheetFormatPr defaultRowHeight="14.4"/>
  <cols>
    <col min="1" max="2" width="19.44140625" customWidth="1"/>
  </cols>
  <sheetData>
    <row r="1" spans="1:2" ht="13.2" customHeight="1">
      <c r="A1" s="548" t="s">
        <v>2359</v>
      </c>
    </row>
    <row r="2" spans="1:2" ht="13.2" customHeight="1">
      <c r="A2" s="548"/>
    </row>
    <row r="3" spans="1:2" ht="13.2" customHeight="1" thickBot="1">
      <c r="A3" s="548" t="s">
        <v>2360</v>
      </c>
    </row>
    <row r="4" spans="1:2" ht="13.2" customHeight="1" thickBot="1">
      <c r="A4" s="549" t="s">
        <v>2361</v>
      </c>
      <c r="B4" s="550" t="s">
        <v>2362</v>
      </c>
    </row>
    <row r="5" spans="1:2" ht="13.2" customHeight="1" thickBot="1">
      <c r="A5" s="551" t="s">
        <v>2363</v>
      </c>
      <c r="B5" s="552" t="s">
        <v>2364</v>
      </c>
    </row>
    <row r="6" spans="1:2" ht="13.2" customHeight="1" thickBot="1">
      <c r="A6" s="551" t="s">
        <v>2365</v>
      </c>
      <c r="B6" s="552" t="s">
        <v>2366</v>
      </c>
    </row>
    <row r="7" spans="1:2" ht="13.2" customHeight="1" thickBot="1">
      <c r="A7" s="551" t="s">
        <v>2367</v>
      </c>
      <c r="B7" s="552" t="s">
        <v>2368</v>
      </c>
    </row>
    <row r="8" spans="1:2" ht="13.2" customHeight="1" thickBot="1">
      <c r="A8" s="551" t="s">
        <v>2369</v>
      </c>
      <c r="B8" s="552" t="s">
        <v>2370</v>
      </c>
    </row>
    <row r="9" spans="1:2" ht="13.2" customHeight="1" thickBot="1">
      <c r="A9" s="551" t="s">
        <v>2371</v>
      </c>
      <c r="B9" s="552" t="s">
        <v>2372</v>
      </c>
    </row>
    <row r="10" spans="1:2" ht="13.2" customHeight="1" thickBot="1">
      <c r="A10" s="551" t="s">
        <v>2373</v>
      </c>
      <c r="B10" s="552" t="s">
        <v>2374</v>
      </c>
    </row>
    <row r="11" spans="1:2" ht="13.2" customHeight="1" thickBot="1">
      <c r="A11" s="551" t="s">
        <v>2375</v>
      </c>
      <c r="B11" s="552" t="s">
        <v>2376</v>
      </c>
    </row>
    <row r="12" spans="1:2" ht="13.2" customHeight="1"/>
  </sheetData>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6"/>
  <sheetViews>
    <sheetView workbookViewId="0">
      <selection activeCell="A20" sqref="A20:B21"/>
    </sheetView>
  </sheetViews>
  <sheetFormatPr defaultRowHeight="14.4"/>
  <cols>
    <col min="1" max="1" width="16.44140625" customWidth="1"/>
  </cols>
  <sheetData>
    <row r="1" spans="1:7">
      <c r="A1" t="s">
        <v>12</v>
      </c>
      <c r="B1" t="s">
        <v>16</v>
      </c>
      <c r="C1" t="s">
        <v>21</v>
      </c>
      <c r="D1" t="s">
        <v>22</v>
      </c>
      <c r="E1" t="s">
        <v>17</v>
      </c>
      <c r="F1" t="s">
        <v>18</v>
      </c>
      <c r="G1" t="s">
        <v>28</v>
      </c>
    </row>
    <row r="2" spans="1:7">
      <c r="A2" t="s">
        <v>19</v>
      </c>
      <c r="B2" t="s">
        <v>13</v>
      </c>
      <c r="C2" t="s">
        <v>23</v>
      </c>
      <c r="D2" t="s">
        <v>24</v>
      </c>
      <c r="E2" t="s">
        <v>14</v>
      </c>
      <c r="F2" t="s">
        <v>15</v>
      </c>
      <c r="G2" t="s">
        <v>29</v>
      </c>
    </row>
    <row r="3" spans="1:7">
      <c r="A3" t="s">
        <v>20</v>
      </c>
      <c r="B3">
        <v>1600</v>
      </c>
      <c r="C3">
        <v>630</v>
      </c>
      <c r="D3">
        <v>60</v>
      </c>
      <c r="E3">
        <v>80</v>
      </c>
      <c r="F3">
        <v>3.8</v>
      </c>
      <c r="G3" s="13">
        <f>F3/E3*100</f>
        <v>4.75</v>
      </c>
    </row>
    <row r="4" spans="1:7">
      <c r="A4" t="s">
        <v>25</v>
      </c>
      <c r="B4">
        <v>2100</v>
      </c>
      <c r="C4">
        <v>630</v>
      </c>
      <c r="D4">
        <v>50</v>
      </c>
      <c r="E4">
        <v>92</v>
      </c>
      <c r="F4">
        <v>4.4000000000000004</v>
      </c>
      <c r="G4" s="13">
        <f>F4/E4*100</f>
        <v>4.7826086956521738</v>
      </c>
    </row>
    <row r="5" spans="1:7">
      <c r="A5" t="s">
        <v>26</v>
      </c>
      <c r="B5">
        <v>2200</v>
      </c>
      <c r="C5">
        <v>630</v>
      </c>
      <c r="D5">
        <v>40</v>
      </c>
      <c r="E5">
        <v>92</v>
      </c>
      <c r="F5">
        <v>4.3</v>
      </c>
      <c r="G5" s="13">
        <f>F5/E5*100</f>
        <v>4.6739130434782608</v>
      </c>
    </row>
    <row r="6" spans="1:7">
      <c r="A6" t="s">
        <v>27</v>
      </c>
      <c r="B6">
        <v>1200</v>
      </c>
      <c r="C6">
        <v>690</v>
      </c>
      <c r="D6">
        <v>50</v>
      </c>
      <c r="E6">
        <v>31.6</v>
      </c>
      <c r="F6">
        <v>1.7</v>
      </c>
      <c r="G6" s="13">
        <f>F6/E6*100</f>
        <v>5.3797468354430373</v>
      </c>
    </row>
    <row r="16" spans="1:7">
      <c r="A16" t="s">
        <v>30</v>
      </c>
      <c r="B16" s="2">
        <v>1515</v>
      </c>
      <c r="F16" s="2">
        <f>4.261*LN(B16)-28.2</f>
        <v>3.004030429157126</v>
      </c>
    </row>
  </sheetData>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8"/>
  <sheetViews>
    <sheetView workbookViewId="0">
      <selection activeCell="C29" sqref="C29"/>
    </sheetView>
  </sheetViews>
  <sheetFormatPr defaultRowHeight="14.4"/>
  <sheetData>
    <row r="1" spans="1:2" ht="66" customHeight="1" thickBot="1">
      <c r="A1" s="564" t="s">
        <v>31</v>
      </c>
      <c r="B1" s="565"/>
    </row>
    <row r="2" spans="1:2" ht="27" thickBot="1">
      <c r="A2" s="14" t="s">
        <v>32</v>
      </c>
      <c r="B2" s="15" t="s">
        <v>33</v>
      </c>
    </row>
    <row r="3" spans="1:2" ht="15" thickBot="1">
      <c r="A3" s="16">
        <v>15</v>
      </c>
      <c r="B3" s="17">
        <v>97</v>
      </c>
    </row>
    <row r="4" spans="1:2" ht="15" thickBot="1">
      <c r="A4" s="16">
        <v>30</v>
      </c>
      <c r="B4" s="17">
        <v>97.5</v>
      </c>
    </row>
    <row r="5" spans="1:2" ht="15" thickBot="1">
      <c r="A5" s="16">
        <v>45</v>
      </c>
      <c r="B5" s="17">
        <v>97.7</v>
      </c>
    </row>
    <row r="6" spans="1:2" ht="15" thickBot="1">
      <c r="A6" s="16">
        <v>75</v>
      </c>
      <c r="B6" s="17">
        <v>98</v>
      </c>
    </row>
    <row r="7" spans="1:2" ht="15" thickBot="1">
      <c r="A7" s="16">
        <v>112.5</v>
      </c>
      <c r="B7" s="17">
        <v>98.2</v>
      </c>
    </row>
    <row r="8" spans="1:2" ht="15" thickBot="1">
      <c r="A8" s="16">
        <v>150</v>
      </c>
      <c r="B8" s="17">
        <v>98.3</v>
      </c>
    </row>
    <row r="9" spans="1:2" ht="15" thickBot="1">
      <c r="A9" s="16">
        <v>225</v>
      </c>
      <c r="B9" s="17">
        <v>98.5</v>
      </c>
    </row>
    <row r="10" spans="1:2" ht="15" thickBot="1">
      <c r="A10" s="16">
        <v>300</v>
      </c>
      <c r="B10" s="17">
        <v>98.6</v>
      </c>
    </row>
    <row r="11" spans="1:2" ht="15" thickBot="1">
      <c r="A11" s="16">
        <v>500</v>
      </c>
      <c r="B11" s="17">
        <v>98.7</v>
      </c>
    </row>
    <row r="12" spans="1:2" ht="15" thickBot="1">
      <c r="A12" s="16">
        <v>750</v>
      </c>
      <c r="B12" s="17">
        <v>98.8</v>
      </c>
    </row>
    <row r="13" spans="1:2" ht="15" thickBot="1">
      <c r="A13" s="16">
        <v>1000</v>
      </c>
      <c r="B13" s="17">
        <v>98.9</v>
      </c>
    </row>
    <row r="14" spans="1:2" ht="15" thickBot="1"/>
    <row r="15" spans="1:2" ht="15" thickBot="1">
      <c r="A15" s="556" t="s">
        <v>34</v>
      </c>
      <c r="B15" s="558"/>
    </row>
    <row r="16" spans="1:2" ht="15" thickBot="1">
      <c r="A16" s="18">
        <v>750</v>
      </c>
      <c r="B16" s="19">
        <f>IF(A16&gt;2000,"power!",IF(A16&gt;0,0.4359*LN(A16)+96.027,"-"))</f>
        <v>98.912689910726584</v>
      </c>
    </row>
    <row r="17" spans="1:2" ht="15" thickBot="1"/>
    <row r="18" spans="1:2" ht="15" thickBot="1">
      <c r="A18" t="s">
        <v>35</v>
      </c>
      <c r="B18" s="20">
        <f>(100-B16)*A16/100</f>
        <v>8.1548256695506183</v>
      </c>
    </row>
  </sheetData>
  <mergeCells count="2">
    <mergeCell ref="A1:B1"/>
    <mergeCell ref="A15:B15"/>
  </mergeCells>
  <pageMargins left="0.7" right="0.7" top="0.75" bottom="0.75" header="0.3" footer="0.3"/>
  <pageSetup paperSize="9" orientation="portrait" horizont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6"/>
  <sheetViews>
    <sheetView workbookViewId="0">
      <selection activeCell="G16" sqref="G16"/>
    </sheetView>
  </sheetViews>
  <sheetFormatPr defaultRowHeight="14.4" customHeight="1"/>
  <cols>
    <col min="1" max="1" width="31.33203125" style="26" customWidth="1"/>
    <col min="2" max="2" width="8.88671875" style="27"/>
    <col min="3" max="3" width="8.88671875" style="25"/>
    <col min="4" max="4" width="11" style="49" customWidth="1"/>
    <col min="5" max="16384" width="8.88671875" style="25"/>
  </cols>
  <sheetData>
    <row r="1" spans="1:7" ht="14.4" customHeight="1" thickBot="1">
      <c r="A1" s="566" t="s">
        <v>51</v>
      </c>
      <c r="B1" s="568" t="s">
        <v>52</v>
      </c>
      <c r="C1" s="568"/>
      <c r="D1" s="45" t="s">
        <v>170</v>
      </c>
    </row>
    <row r="2" spans="1:7" ht="30.6" customHeight="1">
      <c r="A2" s="567"/>
      <c r="B2" s="38" t="s">
        <v>167</v>
      </c>
      <c r="C2" s="38" t="s">
        <v>168</v>
      </c>
      <c r="D2" s="46" t="s">
        <v>171</v>
      </c>
      <c r="F2" s="28" t="s">
        <v>170</v>
      </c>
      <c r="G2" s="29" t="s">
        <v>172</v>
      </c>
    </row>
    <row r="3" spans="1:7" ht="14.4" customHeight="1">
      <c r="A3" s="41" t="s">
        <v>53</v>
      </c>
      <c r="B3" s="39">
        <v>175</v>
      </c>
      <c r="C3" s="40">
        <v>347</v>
      </c>
      <c r="D3" s="47" t="str">
        <f>IF(B3&lt;=G$8,F$8,IF(B3&lt;=G$7,F$7,IF(B3&lt;=G$6,F$6,IF(B3&lt;=G$5,F$5,IF(B3&lt;=G$4,F$4,IF(B3&lt;=G$3,F$3,"none"))))))</f>
        <v>T3</v>
      </c>
      <c r="F3" s="37" t="s">
        <v>161</v>
      </c>
      <c r="G3" s="30">
        <v>450</v>
      </c>
    </row>
    <row r="4" spans="1:7" ht="14.4" customHeight="1">
      <c r="A4" s="41" t="s">
        <v>54</v>
      </c>
      <c r="B4" s="39">
        <v>427</v>
      </c>
      <c r="C4" s="40">
        <v>801</v>
      </c>
      <c r="D4" s="47" t="str">
        <f t="shared" ref="D4:D67" si="0">IF(B4&lt;=G$8,F$8,IF(B4&lt;=G$7,F$7,IF(B4&lt;=G$6,F$6,IF(B4&lt;=G$5,F$5,IF(B4&lt;=G$4,F$4,IF(B4&lt;=G$3,F$3,"none"))))))</f>
        <v>T1</v>
      </c>
      <c r="F4" s="35" t="s">
        <v>162</v>
      </c>
      <c r="G4" s="30">
        <v>300</v>
      </c>
    </row>
    <row r="5" spans="1:7" ht="14.4" customHeight="1">
      <c r="A5" s="41" t="s">
        <v>55</v>
      </c>
      <c r="B5" s="39">
        <v>465</v>
      </c>
      <c r="C5" s="40">
        <v>869</v>
      </c>
      <c r="D5" s="47" t="str">
        <f t="shared" si="0"/>
        <v>none</v>
      </c>
      <c r="F5" s="34" t="s">
        <v>163</v>
      </c>
      <c r="G5" s="30">
        <v>200</v>
      </c>
    </row>
    <row r="6" spans="1:7" ht="14.4" customHeight="1">
      <c r="A6" s="41" t="s">
        <v>56</v>
      </c>
      <c r="B6" s="39">
        <v>305</v>
      </c>
      <c r="C6" s="40">
        <v>581</v>
      </c>
      <c r="D6" s="47" t="str">
        <f t="shared" si="0"/>
        <v>T1</v>
      </c>
      <c r="F6" s="33" t="s">
        <v>164</v>
      </c>
      <c r="G6" s="30">
        <v>135</v>
      </c>
    </row>
    <row r="7" spans="1:7" ht="14.4" customHeight="1">
      <c r="A7" s="41" t="s">
        <v>57</v>
      </c>
      <c r="B7" s="39">
        <v>600</v>
      </c>
      <c r="C7" s="40">
        <v>1112</v>
      </c>
      <c r="D7" s="47" t="str">
        <f t="shared" si="0"/>
        <v>none</v>
      </c>
      <c r="F7" s="32" t="s">
        <v>165</v>
      </c>
      <c r="G7" s="30">
        <v>100</v>
      </c>
    </row>
    <row r="8" spans="1:7" ht="14.4" customHeight="1" thickBot="1">
      <c r="A8" s="41" t="s">
        <v>58</v>
      </c>
      <c r="B8" s="39">
        <v>560</v>
      </c>
      <c r="C8" s="40">
        <v>1040</v>
      </c>
      <c r="D8" s="47" t="str">
        <f t="shared" si="0"/>
        <v>none</v>
      </c>
      <c r="F8" s="36" t="s">
        <v>166</v>
      </c>
      <c r="G8" s="31">
        <v>85</v>
      </c>
    </row>
    <row r="9" spans="1:7" ht="14.4" customHeight="1">
      <c r="A9" s="41" t="s">
        <v>59</v>
      </c>
      <c r="B9" s="39">
        <v>454</v>
      </c>
      <c r="C9" s="40">
        <v>850</v>
      </c>
      <c r="D9" s="47" t="str">
        <f t="shared" si="0"/>
        <v>none</v>
      </c>
    </row>
    <row r="10" spans="1:7" ht="14.4" customHeight="1">
      <c r="A10" s="41" t="s">
        <v>60</v>
      </c>
      <c r="B10" s="39">
        <v>405</v>
      </c>
      <c r="C10" s="40">
        <v>761</v>
      </c>
      <c r="D10" s="47" t="str">
        <f t="shared" si="0"/>
        <v>T1</v>
      </c>
    </row>
    <row r="11" spans="1:7" ht="14.4" customHeight="1">
      <c r="A11" s="41" t="s">
        <v>61</v>
      </c>
      <c r="B11" s="39">
        <v>421</v>
      </c>
      <c r="C11" s="40">
        <v>790</v>
      </c>
      <c r="D11" s="47" t="str">
        <f t="shared" si="0"/>
        <v>T1</v>
      </c>
    </row>
    <row r="12" spans="1:7" ht="14.4" customHeight="1">
      <c r="A12" s="41" t="s">
        <v>62</v>
      </c>
      <c r="B12" s="39">
        <v>345</v>
      </c>
      <c r="C12" s="40">
        <v>653</v>
      </c>
      <c r="D12" s="47" t="str">
        <f t="shared" si="0"/>
        <v>T1</v>
      </c>
    </row>
    <row r="13" spans="1:7" ht="14.4" customHeight="1">
      <c r="A13" s="41" t="s">
        <v>63</v>
      </c>
      <c r="B13" s="39">
        <v>423</v>
      </c>
      <c r="C13" s="40">
        <v>793</v>
      </c>
      <c r="D13" s="47" t="str">
        <f t="shared" si="0"/>
        <v>T1</v>
      </c>
    </row>
    <row r="14" spans="1:7" ht="14.4" customHeight="1">
      <c r="A14" s="41" t="s">
        <v>64</v>
      </c>
      <c r="B14" s="39">
        <v>700</v>
      </c>
      <c r="C14" s="40">
        <v>1292</v>
      </c>
      <c r="D14" s="47" t="str">
        <f t="shared" si="0"/>
        <v>none</v>
      </c>
    </row>
    <row r="15" spans="1:7" ht="14.4" customHeight="1">
      <c r="A15" s="41" t="s">
        <v>169</v>
      </c>
      <c r="B15" s="39">
        <v>90</v>
      </c>
      <c r="C15" s="40">
        <v>194</v>
      </c>
      <c r="D15" s="47" t="str">
        <f t="shared" si="0"/>
        <v>T5</v>
      </c>
    </row>
    <row r="16" spans="1:7" ht="14.4" customHeight="1">
      <c r="A16" s="41" t="s">
        <v>65</v>
      </c>
      <c r="B16" s="39">
        <v>609</v>
      </c>
      <c r="C16" s="40">
        <v>1128</v>
      </c>
      <c r="D16" s="47" t="str">
        <f t="shared" si="0"/>
        <v>none</v>
      </c>
    </row>
    <row r="17" spans="1:4" ht="14.4" customHeight="1">
      <c r="A17" s="41" t="s">
        <v>66</v>
      </c>
      <c r="B17" s="39">
        <v>349</v>
      </c>
      <c r="C17" s="40">
        <v>660</v>
      </c>
      <c r="D17" s="47" t="str">
        <f t="shared" si="0"/>
        <v>T1</v>
      </c>
    </row>
    <row r="18" spans="1:4" ht="14.4" customHeight="1">
      <c r="A18" s="41" t="s">
        <v>67</v>
      </c>
      <c r="B18" s="39">
        <v>580</v>
      </c>
      <c r="C18" s="40">
        <v>1076</v>
      </c>
      <c r="D18" s="47" t="str">
        <f t="shared" si="0"/>
        <v>none</v>
      </c>
    </row>
    <row r="19" spans="1:4" ht="14.4" customHeight="1">
      <c r="A19" s="41" t="s">
        <v>68</v>
      </c>
      <c r="B19" s="39">
        <v>700</v>
      </c>
      <c r="C19" s="40">
        <v>1292</v>
      </c>
      <c r="D19" s="47" t="str">
        <f t="shared" si="0"/>
        <v>none</v>
      </c>
    </row>
    <row r="20" spans="1:4" ht="14.4" customHeight="1">
      <c r="A20" s="41" t="s">
        <v>69</v>
      </c>
      <c r="B20" s="39">
        <v>245</v>
      </c>
      <c r="C20" s="40">
        <v>473</v>
      </c>
      <c r="D20" s="47" t="str">
        <f t="shared" si="0"/>
        <v>T2</v>
      </c>
    </row>
    <row r="21" spans="1:4" ht="14.4" customHeight="1">
      <c r="A21" s="41" t="s">
        <v>70</v>
      </c>
      <c r="B21" s="39">
        <v>300</v>
      </c>
      <c r="C21" s="40">
        <v>572</v>
      </c>
      <c r="D21" s="47" t="str">
        <f t="shared" si="0"/>
        <v>T2</v>
      </c>
    </row>
    <row r="22" spans="1:4" ht="14.4" customHeight="1">
      <c r="A22" s="41" t="s">
        <v>71</v>
      </c>
      <c r="B22" s="39">
        <v>420</v>
      </c>
      <c r="C22" s="40">
        <v>788</v>
      </c>
      <c r="D22" s="47" t="str">
        <f t="shared" si="0"/>
        <v>T1</v>
      </c>
    </row>
    <row r="23" spans="1:4" ht="14.4" customHeight="1">
      <c r="A23" s="41" t="s">
        <v>72</v>
      </c>
      <c r="B23" s="39">
        <v>600</v>
      </c>
      <c r="C23" s="40">
        <v>1112</v>
      </c>
      <c r="D23" s="47" t="str">
        <f t="shared" si="0"/>
        <v>none</v>
      </c>
    </row>
    <row r="24" spans="1:4" ht="14.4" customHeight="1">
      <c r="A24" s="41" t="s">
        <v>73</v>
      </c>
      <c r="B24" s="39">
        <v>312</v>
      </c>
      <c r="C24" s="40">
        <v>594</v>
      </c>
      <c r="D24" s="47" t="str">
        <f t="shared" si="0"/>
        <v>T1</v>
      </c>
    </row>
    <row r="25" spans="1:4" ht="14.4" customHeight="1">
      <c r="A25" s="41" t="s">
        <v>74</v>
      </c>
      <c r="B25" s="39">
        <v>160</v>
      </c>
      <c r="C25" s="40">
        <v>320</v>
      </c>
      <c r="D25" s="47" t="str">
        <f t="shared" si="0"/>
        <v>T3</v>
      </c>
    </row>
    <row r="26" spans="1:4" ht="14.4" customHeight="1">
      <c r="A26" s="41" t="s">
        <v>75</v>
      </c>
      <c r="B26" s="39">
        <v>662</v>
      </c>
      <c r="C26" s="40">
        <v>1224</v>
      </c>
      <c r="D26" s="47" t="str">
        <f t="shared" si="0"/>
        <v>none</v>
      </c>
    </row>
    <row r="27" spans="1:4" ht="14.4" customHeight="1">
      <c r="A27" s="41" t="s">
        <v>76</v>
      </c>
      <c r="B27" s="39">
        <v>210</v>
      </c>
      <c r="C27" s="40">
        <v>410</v>
      </c>
      <c r="D27" s="47" t="str">
        <f t="shared" si="0"/>
        <v>T2</v>
      </c>
    </row>
    <row r="28" spans="1:4" ht="14.4" customHeight="1">
      <c r="A28" s="41" t="s">
        <v>77</v>
      </c>
      <c r="B28" s="39">
        <v>396</v>
      </c>
      <c r="C28" s="40">
        <v>745</v>
      </c>
      <c r="D28" s="47" t="str">
        <f t="shared" si="0"/>
        <v>T1</v>
      </c>
    </row>
    <row r="29" spans="1:4" ht="14.4" customHeight="1">
      <c r="A29" s="41" t="s">
        <v>78</v>
      </c>
      <c r="B29" s="39">
        <v>443</v>
      </c>
      <c r="C29" s="40">
        <v>829</v>
      </c>
      <c r="D29" s="47" t="str">
        <f t="shared" si="0"/>
        <v>T1</v>
      </c>
    </row>
    <row r="30" spans="1:4" ht="14.4" customHeight="1">
      <c r="A30" s="41" t="s">
        <v>79</v>
      </c>
      <c r="B30" s="39">
        <v>215</v>
      </c>
      <c r="C30" s="40">
        <v>419</v>
      </c>
      <c r="D30" s="47" t="str">
        <f t="shared" si="0"/>
        <v>T2</v>
      </c>
    </row>
    <row r="31" spans="1:4" ht="14.4" customHeight="1">
      <c r="A31" s="41" t="s">
        <v>80</v>
      </c>
      <c r="B31" s="39">
        <v>203</v>
      </c>
      <c r="C31" s="40">
        <v>397</v>
      </c>
      <c r="D31" s="47" t="str">
        <f t="shared" si="0"/>
        <v>T2</v>
      </c>
    </row>
    <row r="32" spans="1:4" ht="14.4" customHeight="1">
      <c r="A32" s="41" t="s">
        <v>81</v>
      </c>
      <c r="B32" s="39">
        <v>416</v>
      </c>
      <c r="C32" s="40">
        <v>781</v>
      </c>
      <c r="D32" s="47" t="str">
        <f t="shared" si="0"/>
        <v>T1</v>
      </c>
    </row>
    <row r="33" spans="1:4" ht="14.4" customHeight="1">
      <c r="A33" s="41" t="s">
        <v>82</v>
      </c>
      <c r="B33" s="39">
        <v>515</v>
      </c>
      <c r="C33" s="40">
        <v>959</v>
      </c>
      <c r="D33" s="47" t="str">
        <f t="shared" si="0"/>
        <v>none</v>
      </c>
    </row>
    <row r="34" spans="1:4" ht="14.4" customHeight="1">
      <c r="A34" s="41" t="s">
        <v>83</v>
      </c>
      <c r="B34" s="39">
        <v>490</v>
      </c>
      <c r="C34" s="40">
        <v>914</v>
      </c>
      <c r="D34" s="47" t="str">
        <f t="shared" si="0"/>
        <v>none</v>
      </c>
    </row>
    <row r="35" spans="1:4" ht="14.4" customHeight="1">
      <c r="A35" s="41" t="s">
        <v>84</v>
      </c>
      <c r="B35" s="39">
        <v>410</v>
      </c>
      <c r="C35" s="40">
        <v>770</v>
      </c>
      <c r="D35" s="47" t="str">
        <f t="shared" si="0"/>
        <v>T1</v>
      </c>
    </row>
    <row r="36" spans="1:4" ht="14.4" customHeight="1">
      <c r="A36" s="41" t="s">
        <v>85</v>
      </c>
      <c r="B36" s="39">
        <v>365</v>
      </c>
      <c r="C36" s="40">
        <v>689</v>
      </c>
      <c r="D36" s="47" t="str">
        <f t="shared" si="0"/>
        <v>T1</v>
      </c>
    </row>
    <row r="37" spans="1:4" ht="14.4" customHeight="1">
      <c r="A37" s="41" t="s">
        <v>86</v>
      </c>
      <c r="B37" s="39">
        <v>210</v>
      </c>
      <c r="C37" s="40">
        <v>410</v>
      </c>
      <c r="D37" s="47" t="str">
        <f t="shared" si="0"/>
        <v>T2</v>
      </c>
    </row>
    <row r="38" spans="1:4" ht="14.4" customHeight="1">
      <c r="A38" s="41" t="s">
        <v>87</v>
      </c>
      <c r="B38" s="39">
        <v>256</v>
      </c>
      <c r="C38" s="40">
        <v>494</v>
      </c>
      <c r="D38" s="47" t="str">
        <f t="shared" si="0"/>
        <v>T2</v>
      </c>
    </row>
    <row r="39" spans="1:4" ht="14.4" customHeight="1">
      <c r="A39" s="41" t="s">
        <v>88</v>
      </c>
      <c r="B39" s="39">
        <v>262</v>
      </c>
      <c r="C39" s="40">
        <v>505</v>
      </c>
      <c r="D39" s="47" t="str">
        <f t="shared" si="0"/>
        <v>T2</v>
      </c>
    </row>
    <row r="40" spans="1:4" ht="14.4" customHeight="1">
      <c r="A40" s="41" t="s">
        <v>89</v>
      </c>
      <c r="B40" s="39">
        <v>316</v>
      </c>
      <c r="C40" s="40">
        <v>601</v>
      </c>
      <c r="D40" s="47" t="str">
        <f t="shared" si="0"/>
        <v>T1</v>
      </c>
    </row>
    <row r="41" spans="1:4" ht="14.4" customHeight="1">
      <c r="A41" s="41" t="s">
        <v>90</v>
      </c>
      <c r="B41" s="39">
        <v>750</v>
      </c>
      <c r="C41" s="40">
        <v>1382</v>
      </c>
      <c r="D41" s="47" t="str">
        <f t="shared" si="0"/>
        <v>none</v>
      </c>
    </row>
    <row r="42" spans="1:4" ht="14.4" customHeight="1">
      <c r="A42" s="41" t="s">
        <v>91</v>
      </c>
      <c r="B42" s="39">
        <v>204</v>
      </c>
      <c r="C42" s="40">
        <v>399</v>
      </c>
      <c r="D42" s="47" t="str">
        <f t="shared" si="0"/>
        <v>T2</v>
      </c>
    </row>
    <row r="43" spans="1:4" ht="14.4" customHeight="1">
      <c r="A43" s="41" t="s">
        <v>92</v>
      </c>
      <c r="B43" s="39">
        <v>223</v>
      </c>
      <c r="C43" s="40">
        <v>433</v>
      </c>
      <c r="D43" s="47" t="str">
        <f t="shared" si="0"/>
        <v>T2</v>
      </c>
    </row>
    <row r="44" spans="1:4" ht="14.4" customHeight="1">
      <c r="A44" s="41" t="s">
        <v>93</v>
      </c>
      <c r="B44" s="39">
        <v>202</v>
      </c>
      <c r="C44" s="40">
        <v>396</v>
      </c>
      <c r="D44" s="47" t="str">
        <f t="shared" si="0"/>
        <v>T2</v>
      </c>
    </row>
    <row r="45" spans="1:4" ht="14.4" customHeight="1">
      <c r="A45" s="41" t="s">
        <v>94</v>
      </c>
      <c r="B45" s="39">
        <v>500</v>
      </c>
      <c r="C45" s="40">
        <v>932</v>
      </c>
      <c r="D45" s="47" t="str">
        <f t="shared" si="0"/>
        <v>none</v>
      </c>
    </row>
    <row r="46" spans="1:4" ht="14.4" customHeight="1">
      <c r="A46" s="41" t="s">
        <v>95</v>
      </c>
      <c r="B46" s="39">
        <v>336</v>
      </c>
      <c r="C46" s="40">
        <v>637</v>
      </c>
      <c r="D46" s="47" t="str">
        <f t="shared" si="0"/>
        <v>T1</v>
      </c>
    </row>
    <row r="47" spans="1:4" ht="14.4" customHeight="1">
      <c r="A47" s="41" t="s">
        <v>96</v>
      </c>
      <c r="B47" s="39" t="s">
        <v>97</v>
      </c>
      <c r="C47" s="40" t="s">
        <v>98</v>
      </c>
      <c r="D47" s="47" t="str">
        <f t="shared" si="0"/>
        <v>none</v>
      </c>
    </row>
    <row r="48" spans="1:4" ht="14.4" customHeight="1">
      <c r="A48" s="41" t="s">
        <v>99</v>
      </c>
      <c r="B48" s="39">
        <v>370</v>
      </c>
      <c r="C48" s="40">
        <v>698</v>
      </c>
      <c r="D48" s="47" t="str">
        <f t="shared" si="0"/>
        <v>T1</v>
      </c>
    </row>
    <row r="49" spans="1:4" ht="14.4" customHeight="1">
      <c r="A49" s="41" t="s">
        <v>100</v>
      </c>
      <c r="B49" s="39">
        <v>221</v>
      </c>
      <c r="C49" s="40">
        <v>430</v>
      </c>
      <c r="D49" s="47" t="str">
        <f t="shared" si="0"/>
        <v>T2</v>
      </c>
    </row>
    <row r="50" spans="1:4" ht="14.4" customHeight="1">
      <c r="A50" s="41" t="s">
        <v>101</v>
      </c>
      <c r="B50" s="39">
        <v>295</v>
      </c>
      <c r="C50" s="40">
        <v>563</v>
      </c>
      <c r="D50" s="47" t="str">
        <f t="shared" si="0"/>
        <v>T2</v>
      </c>
    </row>
    <row r="51" spans="1:4" ht="14.4" customHeight="1">
      <c r="A51" s="41" t="s">
        <v>102</v>
      </c>
      <c r="B51" s="39">
        <v>462</v>
      </c>
      <c r="C51" s="40">
        <v>864</v>
      </c>
      <c r="D51" s="47" t="str">
        <f t="shared" si="0"/>
        <v>none</v>
      </c>
    </row>
    <row r="52" spans="1:4" ht="14.4" customHeight="1">
      <c r="A52" s="41" t="s">
        <v>103</v>
      </c>
      <c r="B52" s="39">
        <v>465</v>
      </c>
      <c r="C52" s="40">
        <v>869</v>
      </c>
      <c r="D52" s="47" t="str">
        <f t="shared" si="0"/>
        <v>none</v>
      </c>
    </row>
    <row r="53" spans="1:4" ht="14.4" customHeight="1">
      <c r="A53" s="41" t="s">
        <v>104</v>
      </c>
      <c r="B53" s="39">
        <v>426</v>
      </c>
      <c r="C53" s="40">
        <v>799</v>
      </c>
      <c r="D53" s="47" t="str">
        <f t="shared" si="0"/>
        <v>T1</v>
      </c>
    </row>
    <row r="54" spans="1:4" ht="14.4" customHeight="1">
      <c r="A54" s="41" t="s">
        <v>105</v>
      </c>
      <c r="B54" s="39">
        <v>447</v>
      </c>
      <c r="C54" s="40">
        <v>837</v>
      </c>
      <c r="D54" s="47" t="str">
        <f t="shared" si="0"/>
        <v>T1</v>
      </c>
    </row>
    <row r="55" spans="1:4" ht="14.4" customHeight="1">
      <c r="A55" s="41" t="s">
        <v>106</v>
      </c>
      <c r="B55" s="39">
        <v>420</v>
      </c>
      <c r="C55" s="40">
        <v>788</v>
      </c>
      <c r="D55" s="47" t="str">
        <f t="shared" si="0"/>
        <v>T1</v>
      </c>
    </row>
    <row r="56" spans="1:4" ht="14.4" customHeight="1">
      <c r="A56" s="41" t="s">
        <v>107</v>
      </c>
      <c r="B56" s="39">
        <v>399</v>
      </c>
      <c r="C56" s="40">
        <v>750</v>
      </c>
      <c r="D56" s="47" t="str">
        <f t="shared" si="0"/>
        <v>T1</v>
      </c>
    </row>
    <row r="57" spans="1:4" ht="14.4" customHeight="1">
      <c r="A57" s="41" t="s">
        <v>108</v>
      </c>
      <c r="B57" s="39">
        <v>460</v>
      </c>
      <c r="C57" s="40">
        <v>860</v>
      </c>
      <c r="D57" s="47" t="str">
        <f t="shared" si="0"/>
        <v>none</v>
      </c>
    </row>
    <row r="58" spans="1:4" ht="14.4" customHeight="1">
      <c r="A58" s="41" t="s">
        <v>109</v>
      </c>
      <c r="B58" s="39">
        <v>264</v>
      </c>
      <c r="C58" s="40">
        <v>507</v>
      </c>
      <c r="D58" s="47" t="str">
        <f t="shared" si="0"/>
        <v>T2</v>
      </c>
    </row>
    <row r="59" spans="1:4" ht="14.4" customHeight="1">
      <c r="A59" s="41" t="s">
        <v>110</v>
      </c>
      <c r="B59" s="39">
        <v>227</v>
      </c>
      <c r="C59" s="40">
        <v>440</v>
      </c>
      <c r="D59" s="47" t="str">
        <f t="shared" si="0"/>
        <v>T2</v>
      </c>
    </row>
    <row r="60" spans="1:4" ht="14.4" customHeight="1">
      <c r="A60" s="41" t="s">
        <v>111</v>
      </c>
      <c r="B60" s="39">
        <v>399</v>
      </c>
      <c r="C60" s="40">
        <v>750</v>
      </c>
      <c r="D60" s="47" t="str">
        <f t="shared" si="0"/>
        <v>T1</v>
      </c>
    </row>
    <row r="61" spans="1:4" ht="14.4" customHeight="1">
      <c r="A61" s="41" t="s">
        <v>112</v>
      </c>
      <c r="B61" s="39">
        <v>600</v>
      </c>
      <c r="C61" s="40">
        <v>1112</v>
      </c>
      <c r="D61" s="47" t="str">
        <f t="shared" si="0"/>
        <v>none</v>
      </c>
    </row>
    <row r="62" spans="1:4" ht="14.4" customHeight="1">
      <c r="A62" s="41" t="s">
        <v>113</v>
      </c>
      <c r="B62" s="39">
        <v>650</v>
      </c>
      <c r="C62" s="40">
        <v>1202</v>
      </c>
      <c r="D62" s="47" t="str">
        <f t="shared" si="0"/>
        <v>none</v>
      </c>
    </row>
    <row r="63" spans="1:4" ht="14.4" customHeight="1">
      <c r="A63" s="41" t="s">
        <v>114</v>
      </c>
      <c r="B63" s="39">
        <v>526</v>
      </c>
      <c r="C63" s="40">
        <v>979</v>
      </c>
      <c r="D63" s="47" t="str">
        <f t="shared" si="0"/>
        <v>none</v>
      </c>
    </row>
    <row r="64" spans="1:4" ht="14.4" customHeight="1">
      <c r="A64" s="41" t="s">
        <v>115</v>
      </c>
      <c r="B64" s="39">
        <v>473</v>
      </c>
      <c r="C64" s="40">
        <v>883</v>
      </c>
      <c r="D64" s="47" t="str">
        <f t="shared" si="0"/>
        <v>none</v>
      </c>
    </row>
    <row r="65" spans="1:4" ht="14.4" customHeight="1">
      <c r="A65" s="41" t="s">
        <v>116</v>
      </c>
      <c r="B65" s="39">
        <v>580</v>
      </c>
      <c r="C65" s="40">
        <v>1076</v>
      </c>
      <c r="D65" s="47" t="str">
        <f t="shared" si="0"/>
        <v>none</v>
      </c>
    </row>
    <row r="66" spans="1:4" ht="14.4" customHeight="1">
      <c r="A66" s="41" t="s">
        <v>117</v>
      </c>
      <c r="B66" s="39">
        <v>470</v>
      </c>
      <c r="C66" s="40">
        <v>878</v>
      </c>
      <c r="D66" s="47" t="str">
        <f t="shared" si="0"/>
        <v>none</v>
      </c>
    </row>
    <row r="67" spans="1:4" ht="14.4" customHeight="1">
      <c r="A67" s="41" t="s">
        <v>118</v>
      </c>
      <c r="B67" s="39">
        <v>455</v>
      </c>
      <c r="C67" s="40">
        <v>851</v>
      </c>
      <c r="D67" s="47" t="str">
        <f t="shared" si="0"/>
        <v>none</v>
      </c>
    </row>
    <row r="68" spans="1:4" ht="14.4" customHeight="1">
      <c r="A68" s="41" t="s">
        <v>119</v>
      </c>
      <c r="B68" s="39">
        <v>516</v>
      </c>
      <c r="C68" s="40">
        <v>961</v>
      </c>
      <c r="D68" s="47" t="str">
        <f t="shared" ref="D68:D106" si="1">IF(B68&lt;=G$8,F$8,IF(B68&lt;=G$7,F$7,IF(B68&lt;=G$6,F$6,IF(B68&lt;=G$5,F$5,IF(B68&lt;=G$4,F$4,IF(B68&lt;=G$3,F$3,"none"))))))</f>
        <v>none</v>
      </c>
    </row>
    <row r="69" spans="1:4" ht="14.4" customHeight="1">
      <c r="A69" s="41" t="s">
        <v>120</v>
      </c>
      <c r="B69" s="39">
        <v>225</v>
      </c>
      <c r="C69" s="40">
        <v>437</v>
      </c>
      <c r="D69" s="47" t="str">
        <f t="shared" si="1"/>
        <v>T2</v>
      </c>
    </row>
    <row r="70" spans="1:4" ht="14.4" customHeight="1">
      <c r="A70" s="41" t="s">
        <v>121</v>
      </c>
      <c r="B70" s="39">
        <v>425</v>
      </c>
      <c r="C70" s="40">
        <v>797</v>
      </c>
      <c r="D70" s="47" t="str">
        <f t="shared" si="1"/>
        <v>T1</v>
      </c>
    </row>
    <row r="71" spans="1:4" ht="14.4" customHeight="1">
      <c r="A71" s="41" t="s">
        <v>122</v>
      </c>
      <c r="B71" s="39">
        <v>450</v>
      </c>
      <c r="C71" s="40">
        <v>842</v>
      </c>
      <c r="D71" s="47" t="str">
        <f t="shared" si="1"/>
        <v>T1</v>
      </c>
    </row>
    <row r="72" spans="1:4" ht="14.4" customHeight="1">
      <c r="A72" s="41" t="s">
        <v>123</v>
      </c>
      <c r="B72" s="39">
        <v>482</v>
      </c>
      <c r="C72" s="40"/>
      <c r="D72" s="47" t="str">
        <f t="shared" si="1"/>
        <v>none</v>
      </c>
    </row>
    <row r="73" spans="1:4" ht="14.4" customHeight="1">
      <c r="A73" s="41" t="s">
        <v>124</v>
      </c>
      <c r="B73" s="39">
        <v>254</v>
      </c>
      <c r="C73" s="40">
        <v>490</v>
      </c>
      <c r="D73" s="47" t="str">
        <f t="shared" si="1"/>
        <v>T2</v>
      </c>
    </row>
    <row r="74" spans="1:4" ht="14.4" customHeight="1">
      <c r="A74" s="41" t="s">
        <v>125</v>
      </c>
      <c r="B74" s="39">
        <v>405</v>
      </c>
      <c r="C74" s="40">
        <v>761</v>
      </c>
      <c r="D74" s="47" t="str">
        <f t="shared" si="1"/>
        <v>T1</v>
      </c>
    </row>
    <row r="75" spans="1:4" ht="14.4" customHeight="1">
      <c r="A75" s="41" t="s">
        <v>126</v>
      </c>
      <c r="B75" s="39">
        <v>215</v>
      </c>
      <c r="C75" s="40">
        <v>419</v>
      </c>
      <c r="D75" s="47" t="str">
        <f t="shared" si="1"/>
        <v>T2</v>
      </c>
    </row>
    <row r="76" spans="1:4" ht="14.4" customHeight="1">
      <c r="A76" s="41" t="s">
        <v>127</v>
      </c>
      <c r="B76" s="39">
        <v>225</v>
      </c>
      <c r="C76" s="40">
        <v>437</v>
      </c>
      <c r="D76" s="47" t="str">
        <f t="shared" si="1"/>
        <v>T2</v>
      </c>
    </row>
    <row r="77" spans="1:4" ht="14.4" customHeight="1">
      <c r="A77" s="41" t="s">
        <v>128</v>
      </c>
      <c r="B77" s="39">
        <v>220</v>
      </c>
      <c r="C77" s="40">
        <v>428</v>
      </c>
      <c r="D77" s="47" t="str">
        <f t="shared" si="1"/>
        <v>T2</v>
      </c>
    </row>
    <row r="78" spans="1:4" ht="14.4" customHeight="1">
      <c r="A78" s="41" t="s">
        <v>129</v>
      </c>
      <c r="B78" s="39">
        <v>260</v>
      </c>
      <c r="C78" s="40">
        <v>500</v>
      </c>
      <c r="D78" s="47" t="str">
        <f t="shared" si="1"/>
        <v>T2</v>
      </c>
    </row>
    <row r="79" spans="1:4" ht="14.4" customHeight="1">
      <c r="A79" s="41" t="s">
        <v>130</v>
      </c>
      <c r="B79" s="39">
        <v>298</v>
      </c>
      <c r="C79" s="40">
        <v>569</v>
      </c>
      <c r="D79" s="47" t="str">
        <f t="shared" si="1"/>
        <v>T2</v>
      </c>
    </row>
    <row r="80" spans="1:4" ht="14.4" customHeight="1">
      <c r="A80" s="41" t="s">
        <v>131</v>
      </c>
      <c r="B80" s="39">
        <v>482</v>
      </c>
      <c r="C80" s="40">
        <v>900</v>
      </c>
      <c r="D80" s="47" t="str">
        <f t="shared" si="1"/>
        <v>none</v>
      </c>
    </row>
    <row r="81" spans="1:4" ht="14.4" customHeight="1">
      <c r="A81" s="41" t="s">
        <v>132</v>
      </c>
      <c r="B81" s="39" t="s">
        <v>133</v>
      </c>
      <c r="C81" s="40" t="s">
        <v>134</v>
      </c>
      <c r="D81" s="47" t="str">
        <f t="shared" si="1"/>
        <v>none</v>
      </c>
    </row>
    <row r="82" spans="1:4" ht="14.4" customHeight="1">
      <c r="A82" s="41" t="s">
        <v>135</v>
      </c>
      <c r="B82" s="39">
        <v>227</v>
      </c>
      <c r="C82" s="40">
        <v>440</v>
      </c>
      <c r="D82" s="47" t="str">
        <f t="shared" si="1"/>
        <v>T2</v>
      </c>
    </row>
    <row r="83" spans="1:4" ht="14.4" customHeight="1">
      <c r="A83" s="41" t="s">
        <v>136</v>
      </c>
      <c r="B83" s="39">
        <v>400</v>
      </c>
      <c r="C83" s="40">
        <v>752</v>
      </c>
      <c r="D83" s="47" t="str">
        <f t="shared" si="1"/>
        <v>T1</v>
      </c>
    </row>
    <row r="84" spans="1:4" ht="14.4" customHeight="1">
      <c r="A84" s="41" t="s">
        <v>137</v>
      </c>
      <c r="B84" s="39">
        <v>427</v>
      </c>
      <c r="C84" s="40">
        <v>800</v>
      </c>
      <c r="D84" s="47" t="str">
        <f t="shared" si="1"/>
        <v>T1</v>
      </c>
    </row>
    <row r="85" spans="1:4" ht="14.4" customHeight="1">
      <c r="A85" s="41" t="s">
        <v>138</v>
      </c>
      <c r="B85" s="39">
        <v>260</v>
      </c>
      <c r="C85" s="40">
        <v>500</v>
      </c>
      <c r="D85" s="47" t="str">
        <f t="shared" si="1"/>
        <v>T2</v>
      </c>
    </row>
    <row r="86" spans="1:4" ht="14.4" customHeight="1">
      <c r="A86" s="41" t="s">
        <v>139</v>
      </c>
      <c r="B86" s="39">
        <v>49</v>
      </c>
      <c r="C86" s="40">
        <v>120</v>
      </c>
      <c r="D86" s="47" t="str">
        <f t="shared" si="1"/>
        <v>T6</v>
      </c>
    </row>
    <row r="87" spans="1:4" ht="14.4" customHeight="1">
      <c r="A87" s="41" t="s">
        <v>140</v>
      </c>
      <c r="B87" s="39">
        <v>34</v>
      </c>
      <c r="C87" s="40">
        <v>93</v>
      </c>
      <c r="D87" s="47" t="str">
        <f t="shared" si="1"/>
        <v>T6</v>
      </c>
    </row>
    <row r="88" spans="1:4" ht="14.4" customHeight="1">
      <c r="A88" s="41" t="s">
        <v>141</v>
      </c>
      <c r="B88" s="39">
        <v>750</v>
      </c>
      <c r="C88" s="40">
        <v>1382</v>
      </c>
      <c r="D88" s="47" t="str">
        <f t="shared" si="1"/>
        <v>none</v>
      </c>
    </row>
    <row r="89" spans="1:4" ht="14.4" customHeight="1">
      <c r="A89" s="41" t="s">
        <v>142</v>
      </c>
      <c r="B89" s="39">
        <v>470</v>
      </c>
      <c r="C89" s="40">
        <v>878</v>
      </c>
      <c r="D89" s="47" t="str">
        <f t="shared" si="1"/>
        <v>none</v>
      </c>
    </row>
    <row r="90" spans="1:4" ht="14.4" customHeight="1">
      <c r="A90" s="41" t="s">
        <v>143</v>
      </c>
      <c r="B90" s="39">
        <v>450</v>
      </c>
      <c r="C90" s="40">
        <v>842</v>
      </c>
      <c r="D90" s="47" t="str">
        <f t="shared" si="1"/>
        <v>T1</v>
      </c>
    </row>
    <row r="91" spans="1:4" ht="14.4" customHeight="1">
      <c r="A91" s="41" t="s">
        <v>144</v>
      </c>
      <c r="B91" s="39">
        <v>458</v>
      </c>
      <c r="C91" s="40">
        <v>856</v>
      </c>
      <c r="D91" s="47" t="str">
        <f t="shared" si="1"/>
        <v>none</v>
      </c>
    </row>
    <row r="92" spans="1:4" ht="14.4" customHeight="1">
      <c r="A92" s="41" t="s">
        <v>145</v>
      </c>
      <c r="B92" s="39">
        <v>482</v>
      </c>
      <c r="C92" s="40">
        <v>900</v>
      </c>
      <c r="D92" s="47" t="str">
        <f t="shared" si="1"/>
        <v>none</v>
      </c>
    </row>
    <row r="93" spans="1:4" ht="14.4" customHeight="1">
      <c r="A93" s="41" t="s">
        <v>146</v>
      </c>
      <c r="B93" s="39">
        <v>530</v>
      </c>
      <c r="C93" s="40">
        <v>986</v>
      </c>
      <c r="D93" s="47" t="str">
        <f t="shared" si="1"/>
        <v>none</v>
      </c>
    </row>
    <row r="94" spans="1:4" ht="14.4" customHeight="1">
      <c r="A94" s="41" t="s">
        <v>147</v>
      </c>
      <c r="B94" s="39">
        <v>288</v>
      </c>
      <c r="C94" s="40">
        <v>550</v>
      </c>
      <c r="D94" s="47" t="str">
        <f t="shared" si="1"/>
        <v>T2</v>
      </c>
    </row>
    <row r="95" spans="1:4" ht="14.4" customHeight="1">
      <c r="A95" s="41" t="s">
        <v>148</v>
      </c>
      <c r="B95" s="39">
        <v>-20</v>
      </c>
      <c r="C95" s="40">
        <v>-4</v>
      </c>
      <c r="D95" s="47" t="str">
        <f t="shared" si="1"/>
        <v>T6</v>
      </c>
    </row>
    <row r="96" spans="1:4" ht="14.4" customHeight="1">
      <c r="A96" s="41" t="s">
        <v>149</v>
      </c>
      <c r="B96" s="39">
        <v>535</v>
      </c>
      <c r="C96" s="40">
        <v>995</v>
      </c>
      <c r="D96" s="47" t="str">
        <f t="shared" si="1"/>
        <v>none</v>
      </c>
    </row>
    <row r="97" spans="1:4" ht="14.4" customHeight="1">
      <c r="A97" s="41" t="s">
        <v>150</v>
      </c>
      <c r="B97" s="39">
        <v>400</v>
      </c>
      <c r="C97" s="40">
        <v>752</v>
      </c>
      <c r="D97" s="47" t="str">
        <f t="shared" si="1"/>
        <v>T1</v>
      </c>
    </row>
    <row r="98" spans="1:4" ht="14.4" customHeight="1">
      <c r="A98" s="41" t="s">
        <v>151</v>
      </c>
      <c r="B98" s="39">
        <v>527</v>
      </c>
      <c r="C98" s="40">
        <v>980</v>
      </c>
      <c r="D98" s="47" t="str">
        <f t="shared" si="1"/>
        <v>none</v>
      </c>
    </row>
    <row r="99" spans="1:4" ht="14.4" customHeight="1">
      <c r="A99" s="41" t="s">
        <v>152</v>
      </c>
      <c r="B99" s="39" t="s">
        <v>153</v>
      </c>
      <c r="C99" s="40" t="s">
        <v>154</v>
      </c>
      <c r="D99" s="47" t="str">
        <f t="shared" si="1"/>
        <v>none</v>
      </c>
    </row>
    <row r="100" spans="1:4" ht="14.4" customHeight="1">
      <c r="A100" s="41" t="s">
        <v>155</v>
      </c>
      <c r="B100" s="39">
        <v>490</v>
      </c>
      <c r="C100" s="40">
        <v>914</v>
      </c>
      <c r="D100" s="47" t="str">
        <f t="shared" si="1"/>
        <v>none</v>
      </c>
    </row>
    <row r="101" spans="1:4" ht="14.4" customHeight="1">
      <c r="A101" s="41" t="s">
        <v>156</v>
      </c>
      <c r="B101" s="39">
        <v>243</v>
      </c>
      <c r="C101" s="40">
        <v>470</v>
      </c>
      <c r="D101" s="47" t="str">
        <f t="shared" si="1"/>
        <v>T2</v>
      </c>
    </row>
    <row r="102" spans="1:4" ht="14.4" customHeight="1">
      <c r="A102" s="41" t="s">
        <v>157</v>
      </c>
      <c r="B102" s="39">
        <v>321</v>
      </c>
      <c r="C102" s="40">
        <v>610</v>
      </c>
      <c r="D102" s="47" t="str">
        <f t="shared" si="1"/>
        <v>T1</v>
      </c>
    </row>
    <row r="103" spans="1:4" ht="14.4" customHeight="1">
      <c r="A103" s="41" t="s">
        <v>149</v>
      </c>
      <c r="B103" s="39">
        <v>530</v>
      </c>
      <c r="C103" s="40">
        <v>986</v>
      </c>
      <c r="D103" s="47" t="str">
        <f t="shared" si="1"/>
        <v>none</v>
      </c>
    </row>
    <row r="104" spans="1:4" ht="14.4" customHeight="1">
      <c r="A104" s="41" t="s">
        <v>158</v>
      </c>
      <c r="B104" s="39">
        <v>420</v>
      </c>
      <c r="C104" s="40">
        <v>788</v>
      </c>
      <c r="D104" s="47" t="str">
        <f t="shared" si="1"/>
        <v>T1</v>
      </c>
    </row>
    <row r="105" spans="1:4" ht="14.4" customHeight="1">
      <c r="A105" s="41" t="s">
        <v>159</v>
      </c>
      <c r="B105" s="39">
        <v>300</v>
      </c>
      <c r="C105" s="40">
        <v>572</v>
      </c>
      <c r="D105" s="47" t="str">
        <f t="shared" si="1"/>
        <v>T2</v>
      </c>
    </row>
    <row r="106" spans="1:4" ht="14.4" customHeight="1" thickBot="1">
      <c r="A106" s="42" t="s">
        <v>160</v>
      </c>
      <c r="B106" s="43">
        <v>463</v>
      </c>
      <c r="C106" s="44">
        <v>867</v>
      </c>
      <c r="D106" s="48" t="str">
        <f t="shared" si="1"/>
        <v>none</v>
      </c>
    </row>
  </sheetData>
  <mergeCells count="2">
    <mergeCell ref="A1:A2"/>
    <mergeCell ref="B1:C1"/>
  </mergeCells>
  <pageMargins left="0.7" right="0.7" top="0.75" bottom="0.75" header="0.3" footer="0.3"/>
  <pageSetup paperSize="9"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2"/>
  <sheetViews>
    <sheetView zoomScale="80" zoomScaleNormal="80" workbookViewId="0">
      <selection activeCell="K34" sqref="K34"/>
    </sheetView>
  </sheetViews>
  <sheetFormatPr defaultRowHeight="14.4"/>
  <cols>
    <col min="4" max="4" width="9.5546875" bestFit="1" customWidth="1"/>
  </cols>
  <sheetData>
    <row r="1" spans="1:17" ht="15" thickBot="1">
      <c r="D1" s="570" t="s">
        <v>173</v>
      </c>
      <c r="E1" s="570"/>
      <c r="G1" s="570" t="s">
        <v>516</v>
      </c>
      <c r="H1" s="570"/>
      <c r="J1" s="569"/>
      <c r="K1" s="569"/>
      <c r="M1" s="61">
        <f>$E$13/2+$E$13/2*SIN(N1)</f>
        <v>2.0811290125533524</v>
      </c>
      <c r="N1" s="61">
        <f>N2-PI()/50</f>
        <v>-0.25132741228718347</v>
      </c>
      <c r="O1" s="61">
        <f>N1/PI()*$E$12/2</f>
        <v>-0.48</v>
      </c>
      <c r="P1" s="61"/>
    </row>
    <row r="2" spans="1:17" ht="15" thickBot="1">
      <c r="A2" s="79"/>
      <c r="D2" s="1" t="s">
        <v>177</v>
      </c>
      <c r="E2" s="62">
        <v>111.7</v>
      </c>
      <c r="G2" s="1" t="s">
        <v>517</v>
      </c>
      <c r="H2" s="91">
        <f>E2*E13</f>
        <v>618.81799999999998</v>
      </c>
      <c r="J2" s="93"/>
      <c r="K2" s="61"/>
      <c r="M2" s="61">
        <f t="shared" ref="M2:M65" si="0">$E$13/2+$E$13/2*SIN(N2)</f>
        <v>2.250953758597543</v>
      </c>
      <c r="N2" s="61">
        <f>N3-PI()/50</f>
        <v>-0.1884955592153876</v>
      </c>
      <c r="O2" s="61">
        <f t="shared" ref="O2:O65" si="1">N2/PI()*$E$12/2</f>
        <v>-0.36000000000000004</v>
      </c>
      <c r="P2" s="61">
        <f>(M2-M1)/(N2-N1)</f>
        <v>2.7028447792258734</v>
      </c>
      <c r="Q2">
        <f>(M2-M1)/(O2-O1)</f>
        <v>1.4152062170349227</v>
      </c>
    </row>
    <row r="3" spans="1:17" ht="15" thickBot="1">
      <c r="A3" s="61"/>
      <c r="D3" s="1" t="s">
        <v>175</v>
      </c>
      <c r="E3" s="62">
        <v>13.5</v>
      </c>
      <c r="G3" s="1" t="s">
        <v>518</v>
      </c>
      <c r="H3" s="91">
        <f>H2*1</f>
        <v>618.81799999999998</v>
      </c>
      <c r="J3" s="93"/>
      <c r="K3" s="61"/>
      <c r="M3" s="61">
        <f t="shared" si="0"/>
        <v>2.4228269430268772</v>
      </c>
      <c r="N3" s="61">
        <f>N4-PI()/50</f>
        <v>-0.12566370614359174</v>
      </c>
      <c r="O3" s="61">
        <f t="shared" si="1"/>
        <v>-0.24</v>
      </c>
      <c r="P3" s="61">
        <f t="shared" ref="P3:P66" si="2">(M3-M2)/(N3-N2)</f>
        <v>2.7354466886873512</v>
      </c>
      <c r="Q3">
        <f>(M3-M2)/(O3-O2)</f>
        <v>1.4322765369111177</v>
      </c>
    </row>
    <row r="4" spans="1:17">
      <c r="A4" s="61"/>
      <c r="J4" s="92"/>
      <c r="K4" s="92"/>
      <c r="M4" s="61">
        <f t="shared" si="0"/>
        <v>2.5960702609038018</v>
      </c>
      <c r="N4" s="61">
        <f>N5-PI()/50</f>
        <v>-6.2831853071795868E-2</v>
      </c>
      <c r="O4" s="61">
        <f t="shared" si="1"/>
        <v>-0.12</v>
      </c>
      <c r="P4" s="61">
        <f t="shared" si="2"/>
        <v>2.7572530397753066</v>
      </c>
      <c r="Q4">
        <f t="shared" ref="Q4:Q66" si="3">(M4-M3)/(O4-O3)</f>
        <v>1.4436943156410385</v>
      </c>
    </row>
    <row r="5" spans="1:17" ht="15" thickBot="1">
      <c r="A5" s="61"/>
      <c r="E5" s="77" t="s">
        <v>186</v>
      </c>
      <c r="F5" s="52" t="s">
        <v>187</v>
      </c>
      <c r="G5" s="52" t="s">
        <v>188</v>
      </c>
      <c r="H5" s="52" t="s">
        <v>189</v>
      </c>
      <c r="I5" s="52" t="s">
        <v>190</v>
      </c>
      <c r="J5" s="52" t="s">
        <v>191</v>
      </c>
      <c r="M5" s="61">
        <f t="shared" si="0"/>
        <v>2.77</v>
      </c>
      <c r="N5" s="61">
        <v>0</v>
      </c>
      <c r="O5" s="61">
        <f t="shared" si="1"/>
        <v>0</v>
      </c>
      <c r="P5" s="61">
        <f t="shared" si="2"/>
        <v>2.7681777727843633</v>
      </c>
      <c r="Q5">
        <f t="shared" si="3"/>
        <v>1.4494144924683188</v>
      </c>
    </row>
    <row r="6" spans="1:17">
      <c r="A6" s="61"/>
      <c r="D6" s="1" t="s">
        <v>196</v>
      </c>
      <c r="E6" s="70" t="s">
        <v>197</v>
      </c>
      <c r="F6" s="71" t="s">
        <v>198</v>
      </c>
      <c r="G6" s="72"/>
      <c r="H6" s="72"/>
      <c r="I6" s="72"/>
      <c r="J6" s="72"/>
      <c r="M6" s="61">
        <f t="shared" si="0"/>
        <v>2.9439297390961983</v>
      </c>
      <c r="N6" s="61">
        <f>N5+PI()/50</f>
        <v>6.2831853071795868E-2</v>
      </c>
      <c r="O6" s="61">
        <f t="shared" si="1"/>
        <v>0.12</v>
      </c>
      <c r="P6" s="61">
        <f t="shared" si="2"/>
        <v>2.7681777727843633</v>
      </c>
      <c r="Q6">
        <f t="shared" si="3"/>
        <v>1.4494144924683188</v>
      </c>
    </row>
    <row r="7" spans="1:17">
      <c r="A7" s="61"/>
      <c r="D7" s="1" t="s">
        <v>195</v>
      </c>
      <c r="E7" s="73" t="s">
        <v>194</v>
      </c>
      <c r="F7" s="71" t="s">
        <v>199</v>
      </c>
      <c r="G7" s="72" t="s">
        <v>194</v>
      </c>
      <c r="H7" s="72"/>
      <c r="I7" s="72"/>
      <c r="J7" s="72"/>
      <c r="M7" s="61">
        <f t="shared" si="0"/>
        <v>3.1171730569731229</v>
      </c>
      <c r="N7" s="61">
        <f t="shared" ref="N7:N70" si="4">N6+PI()/50</f>
        <v>0.12566370614359174</v>
      </c>
      <c r="O7" s="61">
        <f t="shared" si="1"/>
        <v>0.24</v>
      </c>
      <c r="P7" s="61">
        <f t="shared" si="2"/>
        <v>2.7572530397753066</v>
      </c>
      <c r="Q7">
        <f t="shared" si="3"/>
        <v>1.4436943156410385</v>
      </c>
    </row>
    <row r="8" spans="1:17">
      <c r="A8" s="61"/>
      <c r="D8" s="65" t="s">
        <v>200</v>
      </c>
      <c r="E8" s="74">
        <v>180</v>
      </c>
      <c r="F8" s="69">
        <v>180</v>
      </c>
      <c r="G8" s="68">
        <v>180</v>
      </c>
      <c r="H8" s="68"/>
      <c r="I8" s="68"/>
      <c r="J8" s="68"/>
      <c r="M8" s="61">
        <f t="shared" si="0"/>
        <v>3.289046241402457</v>
      </c>
      <c r="N8" s="61">
        <f t="shared" si="4"/>
        <v>0.1884955592153876</v>
      </c>
      <c r="O8" s="61">
        <f t="shared" si="1"/>
        <v>0.36000000000000004</v>
      </c>
      <c r="P8" s="61">
        <f t="shared" si="2"/>
        <v>2.7354466886873512</v>
      </c>
      <c r="Q8">
        <f t="shared" si="3"/>
        <v>1.4322765369111177</v>
      </c>
    </row>
    <row r="9" spans="1:17">
      <c r="A9" s="61"/>
      <c r="D9" s="1" t="s">
        <v>192</v>
      </c>
      <c r="E9" s="74">
        <v>4</v>
      </c>
      <c r="F9" s="69">
        <v>8</v>
      </c>
      <c r="G9" s="68">
        <v>0</v>
      </c>
      <c r="H9" s="68"/>
      <c r="I9" s="68"/>
      <c r="J9" s="68"/>
      <c r="M9" s="61">
        <f t="shared" si="0"/>
        <v>3.4588709874466477</v>
      </c>
      <c r="N9" s="61">
        <f t="shared" si="4"/>
        <v>0.25132741228718347</v>
      </c>
      <c r="O9" s="61">
        <f t="shared" si="1"/>
        <v>0.48</v>
      </c>
      <c r="P9" s="61">
        <f t="shared" si="2"/>
        <v>2.7028447792258734</v>
      </c>
      <c r="Q9">
        <f t="shared" si="3"/>
        <v>1.4152062170349227</v>
      </c>
    </row>
    <row r="10" spans="1:17">
      <c r="A10" s="61"/>
      <c r="D10" s="1" t="s">
        <v>193</v>
      </c>
      <c r="E10" s="74">
        <v>1.4</v>
      </c>
      <c r="F10" s="69">
        <v>0.73</v>
      </c>
      <c r="G10" s="68">
        <v>1.1499999999999999</v>
      </c>
      <c r="H10" s="68"/>
      <c r="I10" s="68"/>
      <c r="J10" s="68"/>
      <c r="M10" s="61">
        <f t="shared" si="0"/>
        <v>3.6259770744186044</v>
      </c>
      <c r="N10" s="61">
        <f t="shared" si="4"/>
        <v>0.31415926535897931</v>
      </c>
      <c r="O10" s="61">
        <f t="shared" si="1"/>
        <v>0.60000000000000009</v>
      </c>
      <c r="P10" s="61">
        <f t="shared" si="2"/>
        <v>2.6595759762331097</v>
      </c>
      <c r="Q10">
        <f t="shared" si="3"/>
        <v>1.3925507247663047</v>
      </c>
    </row>
    <row r="11" spans="1:17">
      <c r="A11" s="61"/>
      <c r="D11" s="1" t="s">
        <v>202</v>
      </c>
      <c r="E11" s="74">
        <v>6.5</v>
      </c>
      <c r="F11" s="69">
        <v>4.5</v>
      </c>
      <c r="G11" s="68">
        <v>6.5</v>
      </c>
      <c r="H11" s="68"/>
      <c r="I11" s="68"/>
      <c r="J11" s="68"/>
      <c r="M11" s="61">
        <f t="shared" si="0"/>
        <v>3.789705010936558</v>
      </c>
      <c r="N11" s="61">
        <f t="shared" si="4"/>
        <v>0.37699111843077515</v>
      </c>
      <c r="O11" s="61">
        <f t="shared" si="1"/>
        <v>0.72</v>
      </c>
      <c r="P11" s="61">
        <f t="shared" si="2"/>
        <v>2.6058110419068368</v>
      </c>
      <c r="Q11">
        <f t="shared" si="3"/>
        <v>1.3643994709829479</v>
      </c>
    </row>
    <row r="12" spans="1:17">
      <c r="A12" s="61"/>
      <c r="D12" s="1" t="s">
        <v>176</v>
      </c>
      <c r="E12" s="74">
        <v>12</v>
      </c>
      <c r="F12" s="69">
        <v>10.5</v>
      </c>
      <c r="G12" s="68">
        <v>12</v>
      </c>
      <c r="H12" s="68"/>
      <c r="I12" s="68"/>
      <c r="J12" s="68"/>
      <c r="M12" s="61">
        <f t="shared" si="0"/>
        <v>3.9494086376352513</v>
      </c>
      <c r="N12" s="61">
        <f t="shared" si="4"/>
        <v>0.43982297150257099</v>
      </c>
      <c r="O12" s="61">
        <f t="shared" si="1"/>
        <v>0.83999999999999986</v>
      </c>
      <c r="P12" s="61">
        <f t="shared" si="2"/>
        <v>2.5417621618799839</v>
      </c>
      <c r="Q12">
        <f t="shared" si="3"/>
        <v>1.3308635558224455</v>
      </c>
    </row>
    <row r="13" spans="1:17" ht="15" thickBot="1">
      <c r="A13" s="61"/>
      <c r="D13" s="1" t="s">
        <v>201</v>
      </c>
      <c r="E13" s="78">
        <v>5.54</v>
      </c>
      <c r="F13" s="75">
        <v>2.3199999999999998</v>
      </c>
      <c r="G13" s="76">
        <v>4.1500000000000004</v>
      </c>
      <c r="H13" s="76">
        <f>4*H10</f>
        <v>0</v>
      </c>
      <c r="I13" s="76">
        <f>4*I10</f>
        <v>0</v>
      </c>
      <c r="J13" s="76">
        <f>4*J10</f>
        <v>0</v>
      </c>
      <c r="M13" s="61">
        <f t="shared" si="0"/>
        <v>4.1044576772617507</v>
      </c>
      <c r="N13" s="61">
        <f t="shared" si="4"/>
        <v>0.50265482457436683</v>
      </c>
      <c r="O13" s="61">
        <f t="shared" si="1"/>
        <v>0.95999999999999985</v>
      </c>
      <c r="P13" s="61">
        <f t="shared" si="2"/>
        <v>2.4676821078208548</v>
      </c>
      <c r="Q13">
        <f t="shared" si="3"/>
        <v>1.2920753302208285</v>
      </c>
    </row>
    <row r="14" spans="1:17">
      <c r="A14" s="61"/>
      <c r="D14" s="1"/>
      <c r="E14" s="66"/>
      <c r="F14" s="67"/>
      <c r="G14" s="67"/>
      <c r="M14" s="61">
        <f t="shared" si="0"/>
        <v>4.2542402220918207</v>
      </c>
      <c r="N14" s="61">
        <f t="shared" si="4"/>
        <v>0.56548667764616267</v>
      </c>
      <c r="O14" s="61">
        <f t="shared" si="1"/>
        <v>1.0799999999999998</v>
      </c>
      <c r="P14" s="61">
        <f t="shared" si="2"/>
        <v>2.3838632398589068</v>
      </c>
      <c r="Q14">
        <f t="shared" si="3"/>
        <v>1.2481878735839169</v>
      </c>
    </row>
    <row r="15" spans="1:17">
      <c r="A15" s="61"/>
      <c r="D15" s="570" t="s">
        <v>179</v>
      </c>
      <c r="E15" s="570"/>
      <c r="G15" s="570" t="s">
        <v>178</v>
      </c>
      <c r="H15" s="570"/>
      <c r="M15" s="61">
        <f t="shared" si="0"/>
        <v>4.3981651488501505</v>
      </c>
      <c r="N15" s="61">
        <f t="shared" si="4"/>
        <v>0.62831853071795851</v>
      </c>
      <c r="O15" s="61">
        <f t="shared" si="1"/>
        <v>1.1999999999999997</v>
      </c>
      <c r="P15" s="61">
        <f t="shared" si="2"/>
        <v>2.2906363527727192</v>
      </c>
      <c r="Q15">
        <f t="shared" si="3"/>
        <v>1.1993743896527496</v>
      </c>
    </row>
    <row r="16" spans="1:17">
      <c r="A16" s="61"/>
      <c r="D16" s="1" t="s">
        <v>184</v>
      </c>
      <c r="E16" s="63">
        <f>E13/E12*2</f>
        <v>0.92333333333333334</v>
      </c>
      <c r="G16" s="1" t="s">
        <v>184</v>
      </c>
      <c r="H16" s="63">
        <f>Q5</f>
        <v>1.4494144924683188</v>
      </c>
      <c r="J16" s="64">
        <f>E16/H16</f>
        <v>0.6370388443963455</v>
      </c>
      <c r="M16" s="61">
        <f t="shared" si="0"/>
        <v>4.5356644516038704</v>
      </c>
      <c r="N16" s="61">
        <f t="shared" si="4"/>
        <v>0.69115038378975435</v>
      </c>
      <c r="O16" s="61">
        <f t="shared" si="1"/>
        <v>1.3199999999999996</v>
      </c>
      <c r="P16" s="61">
        <f t="shared" si="2"/>
        <v>2.188369370494359</v>
      </c>
      <c r="Q16">
        <f t="shared" si="3"/>
        <v>1.1458275229476671</v>
      </c>
    </row>
    <row r="17" spans="1:17">
      <c r="A17" s="61"/>
      <c r="D17" s="1" t="s">
        <v>185</v>
      </c>
      <c r="E17" s="63">
        <f>E2*E16</f>
        <v>103.13633333333334</v>
      </c>
      <c r="G17" s="1" t="s">
        <v>185</v>
      </c>
      <c r="H17" s="63">
        <f>E2*H16</f>
        <v>161.8995988087112</v>
      </c>
      <c r="M17" s="61">
        <f t="shared" si="0"/>
        <v>4.6661954834224675</v>
      </c>
      <c r="N17" s="61">
        <f t="shared" si="4"/>
        <v>0.75398223686155019</v>
      </c>
      <c r="O17" s="61">
        <f t="shared" si="1"/>
        <v>1.4399999999999997</v>
      </c>
      <c r="P17" s="61">
        <f t="shared" si="2"/>
        <v>2.07746589408152</v>
      </c>
      <c r="Q17">
        <f t="shared" si="3"/>
        <v>1.0877585984883078</v>
      </c>
    </row>
    <row r="18" spans="1:17">
      <c r="A18" s="61"/>
      <c r="D18" s="1"/>
      <c r="M18" s="61">
        <f t="shared" si="0"/>
        <v>4.7892430979573088</v>
      </c>
      <c r="N18" s="61">
        <f t="shared" si="4"/>
        <v>0.81681408993334603</v>
      </c>
      <c r="O18" s="61">
        <f t="shared" si="1"/>
        <v>1.5599999999999996</v>
      </c>
      <c r="P18" s="61">
        <f t="shared" si="2"/>
        <v>1.9583636088886158</v>
      </c>
      <c r="Q18">
        <f t="shared" si="3"/>
        <v>1.0253967877903456</v>
      </c>
    </row>
    <row r="19" spans="1:17">
      <c r="A19" s="61"/>
      <c r="D19" s="570" t="s">
        <v>174</v>
      </c>
      <c r="E19" s="570"/>
      <c r="G19" s="570" t="s">
        <v>174</v>
      </c>
      <c r="H19" s="570"/>
      <c r="M19" s="61">
        <f t="shared" si="0"/>
        <v>4.904321682488936</v>
      </c>
      <c r="N19" s="61">
        <f t="shared" si="4"/>
        <v>0.87964594300514187</v>
      </c>
      <c r="O19" s="61">
        <f t="shared" si="1"/>
        <v>1.6799999999999995</v>
      </c>
      <c r="P19" s="61">
        <f t="shared" si="2"/>
        <v>1.8315325572226988</v>
      </c>
      <c r="Q19">
        <f t="shared" si="3"/>
        <v>0.95898820443022692</v>
      </c>
    </row>
    <row r="20" spans="1:17" ht="15" thickBot="1">
      <c r="M20" s="61">
        <f t="shared" si="0"/>
        <v>5.0109770744186033</v>
      </c>
      <c r="N20" s="61">
        <f t="shared" si="4"/>
        <v>0.94247779607693771</v>
      </c>
      <c r="O20" s="61">
        <f t="shared" si="1"/>
        <v>1.7999999999999996</v>
      </c>
      <c r="P20" s="61">
        <f t="shared" si="2"/>
        <v>1.6974732833010004</v>
      </c>
      <c r="Q20">
        <f t="shared" si="3"/>
        <v>0.88879493274722698</v>
      </c>
    </row>
    <row r="21" spans="1:17" ht="15" thickBot="1">
      <c r="D21" s="56">
        <v>7</v>
      </c>
      <c r="E21" s="55" t="s">
        <v>182</v>
      </c>
      <c r="G21" s="56">
        <v>7</v>
      </c>
      <c r="H21" s="55" t="s">
        <v>182</v>
      </c>
      <c r="M21" s="61">
        <f t="shared" si="0"/>
        <v>5.1087883536405814</v>
      </c>
      <c r="N21" s="61">
        <f t="shared" si="4"/>
        <v>1.0053096491487337</v>
      </c>
      <c r="O21" s="61">
        <f t="shared" si="1"/>
        <v>1.9199999999999997</v>
      </c>
      <c r="P21" s="61">
        <f t="shared" si="2"/>
        <v>1.5567148578319383</v>
      </c>
      <c r="Q21">
        <f t="shared" si="3"/>
        <v>0.81509399351648326</v>
      </c>
    </row>
    <row r="22" spans="1:17">
      <c r="A22" s="61"/>
      <c r="D22" s="51">
        <v>450</v>
      </c>
      <c r="E22" s="53" t="s">
        <v>181</v>
      </c>
      <c r="G22" s="51">
        <v>450</v>
      </c>
      <c r="H22" s="53" t="s">
        <v>181</v>
      </c>
      <c r="M22" s="61">
        <f t="shared" si="0"/>
        <v>5.197369503721502</v>
      </c>
      <c r="N22" s="61">
        <f t="shared" si="4"/>
        <v>1.0681415022205296</v>
      </c>
      <c r="O22" s="61">
        <f t="shared" si="1"/>
        <v>2.04</v>
      </c>
      <c r="P22" s="61">
        <f t="shared" si="2"/>
        <v>1.4098127900143538</v>
      </c>
      <c r="Q22">
        <f t="shared" si="3"/>
        <v>0.73817625067433634</v>
      </c>
    </row>
    <row r="23" spans="1:17" ht="15" thickBot="1">
      <c r="A23" s="61"/>
      <c r="D23" s="50"/>
      <c r="E23" s="58"/>
      <c r="G23" s="50"/>
      <c r="H23" s="58"/>
      <c r="M23" s="61">
        <f t="shared" si="0"/>
        <v>5.2763709353308741</v>
      </c>
      <c r="N23" s="61">
        <f t="shared" si="4"/>
        <v>1.1309733552923256</v>
      </c>
      <c r="O23" s="61">
        <f t="shared" si="1"/>
        <v>2.16</v>
      </c>
      <c r="P23" s="61">
        <f t="shared" si="2"/>
        <v>1.2573468351967865</v>
      </c>
      <c r="Q23">
        <f t="shared" si="3"/>
        <v>0.65834526341143373</v>
      </c>
    </row>
    <row r="24" spans="1:17" ht="15" thickBot="1">
      <c r="A24" s="61"/>
      <c r="B24" s="91">
        <f>D24/D21</f>
        <v>53041.542857142864</v>
      </c>
      <c r="D24" s="57">
        <f>E17*3600</f>
        <v>371290.80000000005</v>
      </c>
      <c r="E24" s="60">
        <f>IF(D22&gt;0,D24/(((D22/1000)^2*PI()/4)*D21)/3600,D24/(((D23/1000)*(E23/1000)*D21))/3600)</f>
        <v>92.640040986939923</v>
      </c>
      <c r="G24" s="57">
        <f>H17*3600</f>
        <v>582838.5557113603</v>
      </c>
      <c r="H24" s="60">
        <f>IF(G22&gt;0,G24/(((G22/1000)^2*PI()/4)*G21)/3600,G24/(((G23/1000)*(H23/1000)*G21))/3600)</f>
        <v>145.4229075696712</v>
      </c>
      <c r="M24" s="61">
        <f t="shared" si="0"/>
        <v>5.3454808659104565</v>
      </c>
      <c r="N24" s="61">
        <f t="shared" si="4"/>
        <v>1.1938052083641215</v>
      </c>
      <c r="O24" s="61">
        <f t="shared" si="1"/>
        <v>2.2800000000000002</v>
      </c>
      <c r="P24" s="61">
        <f t="shared" si="2"/>
        <v>1.0999187068478253</v>
      </c>
      <c r="Q24">
        <f t="shared" si="3"/>
        <v>0.57591608816318585</v>
      </c>
    </row>
    <row r="25" spans="1:17" ht="15" thickBot="1">
      <c r="A25" s="61"/>
      <c r="D25" s="54" t="s">
        <v>180</v>
      </c>
      <c r="E25" s="59" t="s">
        <v>183</v>
      </c>
      <c r="G25" s="54" t="s">
        <v>180</v>
      </c>
      <c r="H25" s="59" t="s">
        <v>183</v>
      </c>
      <c r="M25" s="61">
        <f t="shared" si="0"/>
        <v>5.4044265501375754</v>
      </c>
      <c r="N25" s="61">
        <f t="shared" si="4"/>
        <v>1.2566370614359175</v>
      </c>
      <c r="O25" s="61">
        <f t="shared" si="1"/>
        <v>2.4000000000000004</v>
      </c>
      <c r="P25" s="61">
        <f t="shared" si="2"/>
        <v>0.93814970186799418</v>
      </c>
      <c r="Q25">
        <f t="shared" si="3"/>
        <v>0.49121403522599111</v>
      </c>
    </row>
    <row r="26" spans="1:17">
      <c r="A26" s="61"/>
      <c r="M26" s="61">
        <f t="shared" si="0"/>
        <v>5.4529753563263084</v>
      </c>
      <c r="N26" s="61">
        <f t="shared" si="4"/>
        <v>1.3194689145077134</v>
      </c>
      <c r="O26" s="61">
        <f t="shared" si="1"/>
        <v>2.5200000000000005</v>
      </c>
      <c r="P26" s="61">
        <f t="shared" si="2"/>
        <v>0.77267824861472334</v>
      </c>
      <c r="Q26">
        <f t="shared" si="3"/>
        <v>0.40457338490610728</v>
      </c>
    </row>
    <row r="27" spans="1:17">
      <c r="A27" s="61"/>
      <c r="M27" s="61">
        <f t="shared" si="0"/>
        <v>5.4909356845184671</v>
      </c>
      <c r="N27" s="61">
        <f t="shared" si="4"/>
        <v>1.3823007675795094</v>
      </c>
      <c r="O27" s="61">
        <f t="shared" si="1"/>
        <v>2.6400000000000006</v>
      </c>
      <c r="P27" s="61">
        <f t="shared" si="2"/>
        <v>0.6041573873172692</v>
      </c>
      <c r="Q27">
        <f t="shared" si="3"/>
        <v>0.31633606826798955</v>
      </c>
    </row>
    <row r="28" spans="1:17">
      <c r="A28" s="61"/>
      <c r="M28" s="61">
        <f t="shared" si="0"/>
        <v>5.5181577226411038</v>
      </c>
      <c r="N28" s="61">
        <f t="shared" si="4"/>
        <v>1.4451326206513053</v>
      </c>
      <c r="O28" s="61">
        <f t="shared" si="1"/>
        <v>2.7600000000000007</v>
      </c>
      <c r="P28" s="61">
        <f t="shared" si="2"/>
        <v>0.43325219282536404</v>
      </c>
      <c r="Q28">
        <f t="shared" si="3"/>
        <v>0.22685031768863881</v>
      </c>
    </row>
    <row r="29" spans="1:17">
      <c r="A29" s="61"/>
      <c r="M29" s="61">
        <f t="shared" si="0"/>
        <v>5.5345340377463117</v>
      </c>
      <c r="N29" s="61">
        <f t="shared" si="4"/>
        <v>1.5079644737231013</v>
      </c>
      <c r="O29" s="61">
        <f t="shared" si="1"/>
        <v>2.8800000000000012</v>
      </c>
      <c r="P29" s="61">
        <f t="shared" si="2"/>
        <v>0.26063714986243014</v>
      </c>
      <c r="Q29">
        <f t="shared" si="3"/>
        <v>0.13646929254339832</v>
      </c>
    </row>
    <row r="30" spans="1:17">
      <c r="A30" s="61"/>
      <c r="M30" s="61">
        <f t="shared" si="0"/>
        <v>5.54</v>
      </c>
      <c r="N30" s="61">
        <f t="shared" si="4"/>
        <v>1.5707963267948972</v>
      </c>
      <c r="O30" s="61">
        <f t="shared" si="1"/>
        <v>3.0000000000000013</v>
      </c>
      <c r="P30" s="61">
        <f t="shared" si="2"/>
        <v>8.6993491142821441E-2</v>
      </c>
      <c r="Q30">
        <f t="shared" si="3"/>
        <v>4.5549685447402788E-2</v>
      </c>
    </row>
    <row r="31" spans="1:17">
      <c r="A31" s="61"/>
      <c r="M31" s="61">
        <f t="shared" si="0"/>
        <v>5.5345340377463117</v>
      </c>
      <c r="N31" s="61">
        <f t="shared" si="4"/>
        <v>1.6336281798666932</v>
      </c>
      <c r="O31" s="61">
        <f t="shared" si="1"/>
        <v>3.1200000000000014</v>
      </c>
      <c r="P31" s="61">
        <f t="shared" si="2"/>
        <v>-8.6993491142821441E-2</v>
      </c>
      <c r="Q31">
        <f t="shared" si="3"/>
        <v>-4.5549685447402788E-2</v>
      </c>
    </row>
    <row r="32" spans="1:17">
      <c r="A32" s="61"/>
      <c r="M32" s="61">
        <f t="shared" si="0"/>
        <v>5.5181577226411029</v>
      </c>
      <c r="N32" s="61">
        <f t="shared" si="4"/>
        <v>1.6964600329384891</v>
      </c>
      <c r="O32" s="61">
        <f t="shared" si="1"/>
        <v>3.2400000000000015</v>
      </c>
      <c r="P32" s="61">
        <f t="shared" si="2"/>
        <v>-0.2606371498624443</v>
      </c>
      <c r="Q32">
        <f t="shared" si="3"/>
        <v>-0.13646929254340623</v>
      </c>
    </row>
    <row r="33" spans="1:17">
      <c r="A33" s="61"/>
      <c r="M33" s="61">
        <f t="shared" si="0"/>
        <v>5.4909356845184671</v>
      </c>
      <c r="N33" s="61">
        <f t="shared" si="4"/>
        <v>1.7592918860102851</v>
      </c>
      <c r="O33" s="61">
        <f t="shared" si="1"/>
        <v>3.3600000000000017</v>
      </c>
      <c r="P33" s="61">
        <f t="shared" si="2"/>
        <v>-0.43325219282534994</v>
      </c>
      <c r="Q33">
        <f t="shared" si="3"/>
        <v>-0.22685031768863143</v>
      </c>
    </row>
    <row r="34" spans="1:17">
      <c r="A34" s="61"/>
      <c r="M34" s="61">
        <f t="shared" si="0"/>
        <v>5.4529753563263075</v>
      </c>
      <c r="N34" s="61">
        <f t="shared" si="4"/>
        <v>1.822123739082081</v>
      </c>
      <c r="O34" s="61">
        <f t="shared" si="1"/>
        <v>3.4800000000000018</v>
      </c>
      <c r="P34" s="61">
        <f t="shared" si="2"/>
        <v>-0.6041573873172833</v>
      </c>
      <c r="Q34">
        <f t="shared" si="3"/>
        <v>-0.31633606826799693</v>
      </c>
    </row>
    <row r="35" spans="1:17">
      <c r="A35" s="61"/>
      <c r="M35" s="61">
        <f t="shared" si="0"/>
        <v>5.4044265501375746</v>
      </c>
      <c r="N35" s="61">
        <f t="shared" si="4"/>
        <v>1.884955592153877</v>
      </c>
      <c r="O35" s="61">
        <f t="shared" si="1"/>
        <v>3.6000000000000019</v>
      </c>
      <c r="P35" s="61">
        <f t="shared" si="2"/>
        <v>-0.77267824861472334</v>
      </c>
      <c r="Q35">
        <f t="shared" si="3"/>
        <v>-0.40457338490610728</v>
      </c>
    </row>
    <row r="36" spans="1:17">
      <c r="A36" s="61"/>
      <c r="M36" s="61">
        <f t="shared" si="0"/>
        <v>5.3454808659104547</v>
      </c>
      <c r="N36" s="61">
        <f t="shared" si="4"/>
        <v>1.9477874452256729</v>
      </c>
      <c r="O36" s="61">
        <f t="shared" si="1"/>
        <v>3.720000000000002</v>
      </c>
      <c r="P36" s="61">
        <f t="shared" si="2"/>
        <v>-0.93814970186800839</v>
      </c>
      <c r="Q36">
        <f t="shared" si="3"/>
        <v>-0.49121403522599855</v>
      </c>
    </row>
    <row r="37" spans="1:17">
      <c r="A37" s="61"/>
      <c r="M37" s="61">
        <f t="shared" si="0"/>
        <v>5.2763709353308732</v>
      </c>
      <c r="N37" s="61">
        <f t="shared" si="4"/>
        <v>2.0106192982974687</v>
      </c>
      <c r="O37" s="61">
        <f t="shared" si="1"/>
        <v>3.8400000000000021</v>
      </c>
      <c r="P37" s="61">
        <f t="shared" si="2"/>
        <v>-1.0999187068478151</v>
      </c>
      <c r="Q37">
        <f t="shared" si="3"/>
        <v>-0.57591608816317852</v>
      </c>
    </row>
    <row r="38" spans="1:17">
      <c r="A38" s="61"/>
      <c r="M38" s="61">
        <f t="shared" si="0"/>
        <v>5.1973695037215002</v>
      </c>
      <c r="N38" s="61">
        <f t="shared" si="4"/>
        <v>2.0734511513692646</v>
      </c>
      <c r="O38" s="61">
        <f t="shared" si="1"/>
        <v>3.9600000000000022</v>
      </c>
      <c r="P38" s="61">
        <f t="shared" si="2"/>
        <v>-1.2573468351968005</v>
      </c>
      <c r="Q38">
        <f t="shared" si="3"/>
        <v>-0.65834526341144117</v>
      </c>
    </row>
    <row r="39" spans="1:17">
      <c r="A39" s="61"/>
      <c r="M39" s="61">
        <f t="shared" si="0"/>
        <v>5.1087883536405805</v>
      </c>
      <c r="N39" s="61">
        <f t="shared" si="4"/>
        <v>2.1362830044410606</v>
      </c>
      <c r="O39" s="61">
        <f t="shared" si="1"/>
        <v>4.0800000000000018</v>
      </c>
      <c r="P39" s="61">
        <f t="shared" si="2"/>
        <v>-1.4098127900143398</v>
      </c>
      <c r="Q39">
        <f t="shared" si="3"/>
        <v>-0.73817625067433301</v>
      </c>
    </row>
    <row r="40" spans="1:17">
      <c r="A40" s="61"/>
      <c r="M40" s="61">
        <f t="shared" si="0"/>
        <v>5.0109770744186024</v>
      </c>
      <c r="N40" s="61">
        <f t="shared" si="4"/>
        <v>2.1991148575128565</v>
      </c>
      <c r="O40" s="61">
        <f t="shared" si="1"/>
        <v>4.2000000000000028</v>
      </c>
      <c r="P40" s="61">
        <f t="shared" si="2"/>
        <v>-1.5567148578319383</v>
      </c>
      <c r="Q40">
        <f t="shared" si="3"/>
        <v>-0.81509399351647716</v>
      </c>
    </row>
    <row r="41" spans="1:17">
      <c r="A41" s="61"/>
      <c r="M41" s="61">
        <f t="shared" si="0"/>
        <v>4.9043216824889342</v>
      </c>
      <c r="N41" s="61">
        <f t="shared" si="4"/>
        <v>2.2619467105846525</v>
      </c>
      <c r="O41" s="61">
        <f t="shared" si="1"/>
        <v>4.3200000000000021</v>
      </c>
      <c r="P41" s="61">
        <f t="shared" si="2"/>
        <v>-1.6974732833010115</v>
      </c>
      <c r="Q41">
        <f t="shared" si="3"/>
        <v>-0.88879493274724097</v>
      </c>
    </row>
    <row r="42" spans="1:17">
      <c r="A42" s="61"/>
      <c r="M42" s="61">
        <f t="shared" si="0"/>
        <v>4.7892430979573071</v>
      </c>
      <c r="N42" s="61">
        <f t="shared" si="4"/>
        <v>2.3247785636564484</v>
      </c>
      <c r="O42" s="61">
        <f t="shared" si="1"/>
        <v>4.4400000000000031</v>
      </c>
      <c r="P42" s="61">
        <f t="shared" si="2"/>
        <v>-1.8315325572226955</v>
      </c>
      <c r="Q42">
        <f t="shared" si="3"/>
        <v>-0.95898820443021804</v>
      </c>
    </row>
    <row r="43" spans="1:17">
      <c r="A43" s="61"/>
      <c r="M43" s="61">
        <f t="shared" si="0"/>
        <v>4.6661954834224648</v>
      </c>
      <c r="N43" s="61">
        <f t="shared" si="4"/>
        <v>2.3876104167282444</v>
      </c>
      <c r="O43" s="61">
        <f t="shared" si="1"/>
        <v>4.5600000000000032</v>
      </c>
      <c r="P43" s="61">
        <f t="shared" si="2"/>
        <v>-1.9583636088886265</v>
      </c>
      <c r="Q43">
        <f t="shared" si="3"/>
        <v>-1.0253967877903511</v>
      </c>
    </row>
    <row r="44" spans="1:17">
      <c r="A44" s="61"/>
      <c r="M44" s="61">
        <f t="shared" si="0"/>
        <v>4.5356644516038678</v>
      </c>
      <c r="N44" s="61">
        <f t="shared" si="4"/>
        <v>2.4504422698000403</v>
      </c>
      <c r="O44" s="61">
        <f t="shared" si="1"/>
        <v>4.6800000000000033</v>
      </c>
      <c r="P44" s="61">
        <f t="shared" si="2"/>
        <v>-2.0774658940815165</v>
      </c>
      <c r="Q44">
        <f t="shared" si="3"/>
        <v>-1.0877585984883078</v>
      </c>
    </row>
    <row r="45" spans="1:17">
      <c r="A45" s="61"/>
      <c r="M45" s="61">
        <f t="shared" si="0"/>
        <v>4.398165148850147</v>
      </c>
      <c r="N45" s="61">
        <f t="shared" si="4"/>
        <v>2.5132741228718363</v>
      </c>
      <c r="O45" s="61">
        <f t="shared" si="1"/>
        <v>4.8000000000000034</v>
      </c>
      <c r="P45" s="61">
        <f t="shared" si="2"/>
        <v>-2.1883693704943692</v>
      </c>
      <c r="Q45">
        <f t="shared" si="3"/>
        <v>-1.1458275229476722</v>
      </c>
    </row>
    <row r="46" spans="1:17">
      <c r="A46" s="61"/>
      <c r="M46" s="61">
        <f t="shared" si="0"/>
        <v>4.2542402220918163</v>
      </c>
      <c r="N46" s="61">
        <f t="shared" si="4"/>
        <v>2.5761059759436322</v>
      </c>
      <c r="O46" s="61">
        <f t="shared" si="1"/>
        <v>4.9200000000000035</v>
      </c>
      <c r="P46" s="61">
        <f t="shared" si="2"/>
        <v>-2.2906363527727294</v>
      </c>
      <c r="Q46">
        <f t="shared" si="3"/>
        <v>-1.1993743896527547</v>
      </c>
    </row>
    <row r="47" spans="1:17">
      <c r="A47" s="61"/>
      <c r="M47" s="61">
        <f t="shared" si="0"/>
        <v>4.1044576772617472</v>
      </c>
      <c r="N47" s="61">
        <f t="shared" si="4"/>
        <v>2.6389378290154282</v>
      </c>
      <c r="O47" s="61">
        <f t="shared" si="1"/>
        <v>5.0400000000000036</v>
      </c>
      <c r="P47" s="61">
        <f t="shared" si="2"/>
        <v>-2.3838632398588882</v>
      </c>
      <c r="Q47">
        <f t="shared" si="3"/>
        <v>-1.2481878735839085</v>
      </c>
    </row>
    <row r="48" spans="1:17">
      <c r="A48" s="61"/>
      <c r="M48" s="61">
        <f t="shared" si="0"/>
        <v>3.9494086376352464</v>
      </c>
      <c r="N48" s="61">
        <f t="shared" si="4"/>
        <v>2.7017696820872241</v>
      </c>
      <c r="O48" s="61">
        <f t="shared" si="1"/>
        <v>5.1600000000000037</v>
      </c>
      <c r="P48" s="61">
        <f t="shared" si="2"/>
        <v>-2.4676821078208717</v>
      </c>
      <c r="Q48">
        <f t="shared" si="3"/>
        <v>-1.2920753302208383</v>
      </c>
    </row>
    <row r="49" spans="1:17">
      <c r="A49" s="61"/>
      <c r="M49" s="61">
        <f t="shared" si="0"/>
        <v>3.7897050109365527</v>
      </c>
      <c r="N49" s="61">
        <f t="shared" si="4"/>
        <v>2.7646015351590201</v>
      </c>
      <c r="O49" s="61">
        <f t="shared" si="1"/>
        <v>5.2800000000000038</v>
      </c>
      <c r="P49" s="61">
        <f t="shared" si="2"/>
        <v>-2.5417621618799866</v>
      </c>
      <c r="Q49">
        <f t="shared" si="3"/>
        <v>-1.3308635558224469</v>
      </c>
    </row>
    <row r="50" spans="1:17">
      <c r="M50" s="61">
        <f t="shared" si="0"/>
        <v>3.6259770744185986</v>
      </c>
      <c r="N50" s="61">
        <f t="shared" si="4"/>
        <v>2.827433388230816</v>
      </c>
      <c r="O50" s="61">
        <f t="shared" si="1"/>
        <v>5.4000000000000039</v>
      </c>
      <c r="P50" s="61">
        <f t="shared" si="2"/>
        <v>-2.605811041906839</v>
      </c>
      <c r="Q50">
        <f t="shared" si="3"/>
        <v>-1.364399470982949</v>
      </c>
    </row>
    <row r="51" spans="1:17">
      <c r="M51" s="61">
        <f t="shared" si="0"/>
        <v>3.4588709874466419</v>
      </c>
      <c r="N51" s="61">
        <f t="shared" si="4"/>
        <v>2.890265241302612</v>
      </c>
      <c r="O51" s="61">
        <f t="shared" si="1"/>
        <v>5.520000000000004</v>
      </c>
      <c r="P51" s="61">
        <f t="shared" si="2"/>
        <v>-2.6595759762331048</v>
      </c>
      <c r="Q51">
        <f t="shared" si="3"/>
        <v>-1.3925507247663047</v>
      </c>
    </row>
    <row r="52" spans="1:17">
      <c r="M52" s="61">
        <f t="shared" si="0"/>
        <v>3.2890462414024508</v>
      </c>
      <c r="N52" s="61">
        <f t="shared" si="4"/>
        <v>2.9530970943744079</v>
      </c>
      <c r="O52" s="61">
        <f t="shared" si="1"/>
        <v>5.6400000000000041</v>
      </c>
      <c r="P52" s="61">
        <f t="shared" si="2"/>
        <v>-2.702844779225877</v>
      </c>
      <c r="Q52">
        <f t="shared" si="3"/>
        <v>-1.4152062170349242</v>
      </c>
    </row>
    <row r="53" spans="1:17">
      <c r="M53" s="61">
        <f t="shared" si="0"/>
        <v>3.1171730569731162</v>
      </c>
      <c r="N53" s="61">
        <f t="shared" si="4"/>
        <v>3.0159289474462039</v>
      </c>
      <c r="O53" s="61">
        <f t="shared" si="1"/>
        <v>5.7600000000000042</v>
      </c>
      <c r="P53" s="61">
        <f t="shared" si="2"/>
        <v>-2.7354466886873547</v>
      </c>
      <c r="Q53">
        <f t="shared" si="3"/>
        <v>-1.4322765369111208</v>
      </c>
    </row>
    <row r="54" spans="1:17">
      <c r="M54" s="61">
        <f t="shared" si="0"/>
        <v>2.9439297390961912</v>
      </c>
      <c r="N54" s="61">
        <f t="shared" si="4"/>
        <v>3.0787608005179998</v>
      </c>
      <c r="O54" s="61">
        <f t="shared" si="1"/>
        <v>5.8800000000000052</v>
      </c>
      <c r="P54" s="61">
        <f t="shared" si="2"/>
        <v>-2.7572530397753101</v>
      </c>
      <c r="Q54">
        <f t="shared" si="3"/>
        <v>-1.44369431564103</v>
      </c>
    </row>
    <row r="55" spans="1:17">
      <c r="M55" s="61">
        <f t="shared" si="0"/>
        <v>2.7699999999999929</v>
      </c>
      <c r="N55" s="61">
        <f t="shared" si="4"/>
        <v>3.1415926535897958</v>
      </c>
      <c r="O55" s="61">
        <f t="shared" si="1"/>
        <v>6.0000000000000053</v>
      </c>
      <c r="P55" s="61">
        <f t="shared" si="2"/>
        <v>-2.7681777727843597</v>
      </c>
      <c r="Q55">
        <f t="shared" si="3"/>
        <v>-1.4494144924683174</v>
      </c>
    </row>
    <row r="56" spans="1:17">
      <c r="M56" s="61">
        <f t="shared" si="0"/>
        <v>2.5960702609037947</v>
      </c>
      <c r="N56" s="61">
        <f t="shared" si="4"/>
        <v>3.2044245066615917</v>
      </c>
      <c r="O56" s="61">
        <f t="shared" si="1"/>
        <v>6.1200000000000054</v>
      </c>
      <c r="P56" s="61">
        <f t="shared" si="2"/>
        <v>-2.7681777727843597</v>
      </c>
      <c r="Q56">
        <f t="shared" si="3"/>
        <v>-1.4494144924683174</v>
      </c>
    </row>
    <row r="57" spans="1:17">
      <c r="M57" s="61">
        <f t="shared" si="0"/>
        <v>2.4228269430268696</v>
      </c>
      <c r="N57" s="61">
        <f t="shared" si="4"/>
        <v>3.2672563597333877</v>
      </c>
      <c r="O57" s="61">
        <f t="shared" si="1"/>
        <v>6.2400000000000055</v>
      </c>
      <c r="P57" s="61">
        <f t="shared" si="2"/>
        <v>-2.7572530397753101</v>
      </c>
      <c r="Q57">
        <f t="shared" si="3"/>
        <v>-1.4436943156410407</v>
      </c>
    </row>
    <row r="58" spans="1:17">
      <c r="M58" s="61">
        <f t="shared" si="0"/>
        <v>2.250953758597535</v>
      </c>
      <c r="N58" s="61">
        <f t="shared" si="4"/>
        <v>3.3300882128051836</v>
      </c>
      <c r="O58" s="61">
        <f t="shared" si="1"/>
        <v>6.3600000000000056</v>
      </c>
      <c r="P58" s="61">
        <f t="shared" si="2"/>
        <v>-2.7354466886873547</v>
      </c>
      <c r="Q58">
        <f t="shared" si="3"/>
        <v>-1.4322765369111208</v>
      </c>
    </row>
    <row r="59" spans="1:17">
      <c r="M59" s="61">
        <f t="shared" si="0"/>
        <v>2.0811290125533444</v>
      </c>
      <c r="N59" s="61">
        <f t="shared" si="4"/>
        <v>3.3929200658769796</v>
      </c>
      <c r="O59" s="61">
        <f t="shared" si="1"/>
        <v>6.4800000000000058</v>
      </c>
      <c r="P59" s="61">
        <f t="shared" si="2"/>
        <v>-2.7028447792258699</v>
      </c>
      <c r="Q59">
        <f t="shared" si="3"/>
        <v>-1.4152062170349207</v>
      </c>
    </row>
    <row r="60" spans="1:17">
      <c r="M60" s="61">
        <f t="shared" si="0"/>
        <v>1.9140229255813879</v>
      </c>
      <c r="N60" s="61">
        <f t="shared" si="4"/>
        <v>3.4557519189487755</v>
      </c>
      <c r="O60" s="61">
        <f t="shared" si="1"/>
        <v>6.6000000000000059</v>
      </c>
      <c r="P60" s="61">
        <f t="shared" si="2"/>
        <v>-2.6595759762331013</v>
      </c>
      <c r="Q60">
        <f t="shared" si="3"/>
        <v>-1.3925507247663029</v>
      </c>
    </row>
    <row r="61" spans="1:17">
      <c r="M61" s="61">
        <f t="shared" si="0"/>
        <v>1.7502949890634343</v>
      </c>
      <c r="N61" s="61">
        <f t="shared" si="4"/>
        <v>3.5185837720205715</v>
      </c>
      <c r="O61" s="61">
        <f t="shared" si="1"/>
        <v>6.720000000000006</v>
      </c>
      <c r="P61" s="61">
        <f t="shared" si="2"/>
        <v>-2.6058110419068319</v>
      </c>
      <c r="Q61">
        <f t="shared" si="3"/>
        <v>-1.3643994709829455</v>
      </c>
    </row>
    <row r="62" spans="1:17">
      <c r="M62" s="61">
        <f t="shared" si="0"/>
        <v>1.590591362364741</v>
      </c>
      <c r="N62" s="61">
        <f t="shared" si="4"/>
        <v>3.5814156250923674</v>
      </c>
      <c r="O62" s="61">
        <f t="shared" si="1"/>
        <v>6.8400000000000061</v>
      </c>
      <c r="P62" s="61">
        <f t="shared" si="2"/>
        <v>-2.5417621618799795</v>
      </c>
      <c r="Q62">
        <f t="shared" si="3"/>
        <v>-1.3308635558224431</v>
      </c>
    </row>
    <row r="63" spans="1:17">
      <c r="M63" s="61">
        <f t="shared" si="0"/>
        <v>1.4355423227382409</v>
      </c>
      <c r="N63" s="61">
        <f t="shared" si="4"/>
        <v>3.6442474781641634</v>
      </c>
      <c r="O63" s="61">
        <f t="shared" si="1"/>
        <v>6.9600000000000062</v>
      </c>
      <c r="P63" s="61">
        <f t="shared" si="2"/>
        <v>-2.4676821078208611</v>
      </c>
      <c r="Q63">
        <f t="shared" si="3"/>
        <v>-1.2920753302208328</v>
      </c>
    </row>
    <row r="64" spans="1:17">
      <c r="M64" s="61">
        <f t="shared" si="0"/>
        <v>1.2857597779081715</v>
      </c>
      <c r="N64" s="61">
        <f t="shared" si="4"/>
        <v>3.7070793312359593</v>
      </c>
      <c r="O64" s="61">
        <f t="shared" si="1"/>
        <v>7.0800000000000063</v>
      </c>
      <c r="P64" s="61">
        <f t="shared" si="2"/>
        <v>-2.3838632398588917</v>
      </c>
      <c r="Q64">
        <f t="shared" si="3"/>
        <v>-1.2481878735839103</v>
      </c>
    </row>
    <row r="65" spans="13:17">
      <c r="M65" s="61">
        <f t="shared" si="0"/>
        <v>1.1418348511498417</v>
      </c>
      <c r="N65" s="61">
        <f t="shared" si="4"/>
        <v>3.7699111843077553</v>
      </c>
      <c r="O65" s="61">
        <f t="shared" si="1"/>
        <v>7.2000000000000064</v>
      </c>
      <c r="P65" s="61">
        <f t="shared" si="2"/>
        <v>-2.2906363527727152</v>
      </c>
      <c r="Q65">
        <f t="shared" si="3"/>
        <v>-1.1993743896527473</v>
      </c>
    </row>
    <row r="66" spans="13:17">
      <c r="M66" s="61">
        <f t="shared" ref="M66:M109" si="5">$E$13/2+$E$13/2*SIN(N66)</f>
        <v>1.004335548396122</v>
      </c>
      <c r="N66" s="61">
        <f t="shared" si="4"/>
        <v>3.8327430373795512</v>
      </c>
      <c r="O66" s="61">
        <f t="shared" ref="O66:O109" si="6">N66/PI()*$E$12/2</f>
        <v>7.3200000000000065</v>
      </c>
      <c r="P66" s="61">
        <f t="shared" si="2"/>
        <v>-2.1883693704943514</v>
      </c>
      <c r="Q66">
        <f t="shared" si="3"/>
        <v>-1.1458275229476631</v>
      </c>
    </row>
    <row r="67" spans="13:17">
      <c r="M67" s="61">
        <f t="shared" si="5"/>
        <v>0.87380451657752523</v>
      </c>
      <c r="N67" s="61">
        <f t="shared" si="4"/>
        <v>3.8955748904513472</v>
      </c>
      <c r="O67" s="61">
        <f t="shared" si="6"/>
        <v>7.4400000000000066</v>
      </c>
      <c r="P67" s="61">
        <f t="shared" ref="P67:P109" si="7">(M67-M66)/(N67-N66)</f>
        <v>-2.0774658940815129</v>
      </c>
      <c r="Q67">
        <f t="shared" ref="Q67:Q109" si="8">(M67-M66)/(O67-O66)</f>
        <v>-1.0877585984883058</v>
      </c>
    </row>
    <row r="68" spans="13:17">
      <c r="M68" s="61">
        <f t="shared" si="5"/>
        <v>0.75075690204268319</v>
      </c>
      <c r="N68" s="61">
        <f t="shared" si="4"/>
        <v>3.9584067435231431</v>
      </c>
      <c r="O68" s="61">
        <f t="shared" si="6"/>
        <v>7.5600000000000067</v>
      </c>
      <c r="P68" s="61">
        <f t="shared" si="7"/>
        <v>-1.9583636088886229</v>
      </c>
      <c r="Q68">
        <f t="shared" si="8"/>
        <v>-1.0253967877903494</v>
      </c>
    </row>
    <row r="69" spans="13:17">
      <c r="M69" s="61">
        <f t="shared" si="5"/>
        <v>0.63567831751105741</v>
      </c>
      <c r="N69" s="61">
        <f t="shared" si="4"/>
        <v>4.0212385965949391</v>
      </c>
      <c r="O69" s="61">
        <f t="shared" si="6"/>
        <v>7.6800000000000068</v>
      </c>
      <c r="P69" s="61">
        <f t="shared" si="7"/>
        <v>-1.8315325572226744</v>
      </c>
      <c r="Q69">
        <f t="shared" si="8"/>
        <v>-0.95898820443021404</v>
      </c>
    </row>
    <row r="70" spans="13:17">
      <c r="M70" s="61">
        <f t="shared" si="5"/>
        <v>0.52902292558139008</v>
      </c>
      <c r="N70" s="61">
        <f t="shared" si="4"/>
        <v>4.0840704496667346</v>
      </c>
      <c r="O70" s="61">
        <f t="shared" si="6"/>
        <v>7.8000000000000069</v>
      </c>
      <c r="P70" s="61">
        <f t="shared" si="7"/>
        <v>-1.6974732833010093</v>
      </c>
      <c r="Q70">
        <f t="shared" si="8"/>
        <v>-0.88879493274722698</v>
      </c>
    </row>
    <row r="71" spans="13:17">
      <c r="M71" s="61">
        <f t="shared" si="5"/>
        <v>0.43121164635941378</v>
      </c>
      <c r="N71" s="61">
        <f t="shared" ref="N71:N109" si="9">N70+PI()/50</f>
        <v>4.1469023027385301</v>
      </c>
      <c r="O71" s="61">
        <f t="shared" si="6"/>
        <v>7.9200000000000053</v>
      </c>
      <c r="P71" s="61">
        <f t="shared" si="7"/>
        <v>-1.5567148578319212</v>
      </c>
      <c r="Q71">
        <f t="shared" si="8"/>
        <v>-0.81509399351648049</v>
      </c>
    </row>
    <row r="72" spans="13:17">
      <c r="M72" s="61">
        <f t="shared" si="5"/>
        <v>0.34263049627849407</v>
      </c>
      <c r="N72" s="61">
        <f t="shared" si="9"/>
        <v>4.2097341558103256</v>
      </c>
      <c r="O72" s="61">
        <f t="shared" si="6"/>
        <v>8.0400000000000063</v>
      </c>
      <c r="P72" s="61">
        <f t="shared" si="7"/>
        <v>-1.4098127900143498</v>
      </c>
      <c r="Q72">
        <f t="shared" si="8"/>
        <v>-0.7381762506743248</v>
      </c>
    </row>
    <row r="73" spans="13:17">
      <c r="M73" s="61">
        <f t="shared" si="5"/>
        <v>0.26362906466912328</v>
      </c>
      <c r="N73" s="61">
        <f t="shared" si="9"/>
        <v>4.2725660088821211</v>
      </c>
      <c r="O73" s="61">
        <f t="shared" si="6"/>
        <v>8.1600000000000037</v>
      </c>
      <c r="P73" s="61">
        <f t="shared" si="7"/>
        <v>-1.257346835196774</v>
      </c>
      <c r="Q73">
        <f t="shared" si="8"/>
        <v>-0.65834526341143729</v>
      </c>
    </row>
    <row r="74" spans="13:17">
      <c r="M74" s="61">
        <f t="shared" si="5"/>
        <v>0.1945191340895418</v>
      </c>
      <c r="N74" s="61">
        <f t="shared" si="9"/>
        <v>4.3353978619539166</v>
      </c>
      <c r="O74" s="61">
        <f t="shared" si="6"/>
        <v>8.2800000000000047</v>
      </c>
      <c r="P74" s="61">
        <f t="shared" si="7"/>
        <v>-1.0999187068478191</v>
      </c>
      <c r="Q74">
        <f t="shared" si="8"/>
        <v>-0.57591608816317419</v>
      </c>
    </row>
    <row r="75" spans="13:17">
      <c r="M75" s="61">
        <f t="shared" si="5"/>
        <v>0.13557344986242326</v>
      </c>
      <c r="N75" s="61">
        <f t="shared" si="9"/>
        <v>4.3982297150257121</v>
      </c>
      <c r="O75" s="61">
        <f t="shared" si="6"/>
        <v>8.4000000000000039</v>
      </c>
      <c r="P75" s="61">
        <f t="shared" si="7"/>
        <v>-0.93814970186799373</v>
      </c>
      <c r="Q75">
        <f t="shared" si="8"/>
        <v>-0.49121403522599105</v>
      </c>
    </row>
    <row r="76" spans="13:17">
      <c r="M76" s="61">
        <f t="shared" si="5"/>
        <v>8.7024643673690782E-2</v>
      </c>
      <c r="N76" s="61">
        <f t="shared" si="9"/>
        <v>4.4610615680975076</v>
      </c>
      <c r="O76" s="61">
        <f t="shared" si="6"/>
        <v>8.5200000000000031</v>
      </c>
      <c r="P76" s="61">
        <f t="shared" si="7"/>
        <v>-0.77267824861472167</v>
      </c>
      <c r="Q76">
        <f t="shared" si="8"/>
        <v>-0.40457338490610656</v>
      </c>
    </row>
    <row r="77" spans="13:17">
      <c r="M77" s="61">
        <f t="shared" si="5"/>
        <v>4.9064315481532006E-2</v>
      </c>
      <c r="N77" s="61">
        <f t="shared" si="9"/>
        <v>4.5238934211693032</v>
      </c>
      <c r="O77" s="61">
        <f t="shared" si="6"/>
        <v>8.6400000000000023</v>
      </c>
      <c r="P77" s="61">
        <f t="shared" si="7"/>
        <v>-0.60415738731727342</v>
      </c>
      <c r="Q77">
        <f t="shared" si="8"/>
        <v>-0.31633606826799188</v>
      </c>
    </row>
    <row r="78" spans="13:17">
      <c r="M78" s="61">
        <f t="shared" si="5"/>
        <v>2.1842277358896212E-2</v>
      </c>
      <c r="N78" s="61">
        <f t="shared" si="9"/>
        <v>4.5867252742410987</v>
      </c>
      <c r="O78" s="61">
        <f t="shared" si="6"/>
        <v>8.7600000000000016</v>
      </c>
      <c r="P78" s="61">
        <f t="shared" si="7"/>
        <v>-0.43325219282535299</v>
      </c>
      <c r="Q78">
        <f t="shared" si="8"/>
        <v>-0.22685031768863309</v>
      </c>
    </row>
    <row r="79" spans="13:17">
      <c r="M79" s="61">
        <f t="shared" si="5"/>
        <v>5.4659622536878949E-3</v>
      </c>
      <c r="N79" s="61">
        <f t="shared" si="9"/>
        <v>4.6495571273128942</v>
      </c>
      <c r="O79" s="61">
        <f t="shared" si="6"/>
        <v>8.8800000000000008</v>
      </c>
      <c r="P79" s="61">
        <f t="shared" si="7"/>
        <v>-0.26063714986243902</v>
      </c>
      <c r="Q79">
        <f t="shared" si="8"/>
        <v>-0.13646929254340354</v>
      </c>
    </row>
    <row r="80" spans="13:17">
      <c r="M80" s="61">
        <f t="shared" si="5"/>
        <v>0</v>
      </c>
      <c r="N80" s="61">
        <f t="shared" si="9"/>
        <v>4.7123889803846897</v>
      </c>
      <c r="O80" s="61">
        <f t="shared" si="6"/>
        <v>9</v>
      </c>
      <c r="P80" s="61">
        <f t="shared" si="7"/>
        <v>-8.6993491142814988E-2</v>
      </c>
      <c r="Q80">
        <f t="shared" si="8"/>
        <v>-4.5549685447399423E-2</v>
      </c>
    </row>
    <row r="81" spans="13:17">
      <c r="M81" s="61">
        <f t="shared" si="5"/>
        <v>5.4659622536878949E-3</v>
      </c>
      <c r="N81" s="61">
        <f t="shared" si="9"/>
        <v>4.7752208334564852</v>
      </c>
      <c r="O81" s="61">
        <f t="shared" si="6"/>
        <v>9.1199999999999992</v>
      </c>
      <c r="P81" s="61">
        <f t="shared" si="7"/>
        <v>8.6993491142814988E-2</v>
      </c>
      <c r="Q81">
        <f t="shared" si="8"/>
        <v>4.5549685447399423E-2</v>
      </c>
    </row>
    <row r="82" spans="13:17">
      <c r="M82" s="61">
        <f t="shared" si="5"/>
        <v>2.1842277358895767E-2</v>
      </c>
      <c r="N82" s="61">
        <f t="shared" si="9"/>
        <v>4.8380526865282807</v>
      </c>
      <c r="O82" s="61">
        <f t="shared" si="6"/>
        <v>9.2399999999999984</v>
      </c>
      <c r="P82" s="61">
        <f t="shared" si="7"/>
        <v>0.26063714986243197</v>
      </c>
      <c r="Q82">
        <f t="shared" si="8"/>
        <v>0.13646929254339982</v>
      </c>
    </row>
    <row r="83" spans="13:17">
      <c r="M83" s="61">
        <f t="shared" si="5"/>
        <v>4.9064315481531562E-2</v>
      </c>
      <c r="N83" s="61">
        <f t="shared" si="9"/>
        <v>4.9008845396000762</v>
      </c>
      <c r="O83" s="61">
        <f t="shared" si="6"/>
        <v>9.3599999999999977</v>
      </c>
      <c r="P83" s="61">
        <f t="shared" si="7"/>
        <v>0.43325219282535299</v>
      </c>
      <c r="Q83">
        <f t="shared" si="8"/>
        <v>0.22685031768863309</v>
      </c>
    </row>
    <row r="84" spans="13:17">
      <c r="M84" s="61">
        <f t="shared" si="5"/>
        <v>8.7024643673690782E-2</v>
      </c>
      <c r="N84" s="61">
        <f t="shared" si="9"/>
        <v>4.9637163926718717</v>
      </c>
      <c r="O84" s="61">
        <f t="shared" si="6"/>
        <v>9.4799999999999969</v>
      </c>
      <c r="P84" s="61">
        <f t="shared" si="7"/>
        <v>0.60415738731728053</v>
      </c>
      <c r="Q84">
        <f t="shared" si="8"/>
        <v>0.31633606826799554</v>
      </c>
    </row>
    <row r="85" spans="13:17">
      <c r="M85" s="61">
        <f t="shared" si="5"/>
        <v>0.13557344986242281</v>
      </c>
      <c r="N85" s="61">
        <f t="shared" si="9"/>
        <v>5.0265482457436672</v>
      </c>
      <c r="O85" s="61">
        <f t="shared" si="6"/>
        <v>9.5999999999999961</v>
      </c>
      <c r="P85" s="61">
        <f t="shared" si="7"/>
        <v>0.77267824861471468</v>
      </c>
      <c r="Q85">
        <f t="shared" si="8"/>
        <v>0.4045733849061029</v>
      </c>
    </row>
    <row r="86" spans="13:17">
      <c r="M86" s="61">
        <f t="shared" si="5"/>
        <v>0.19451913408954136</v>
      </c>
      <c r="N86" s="61">
        <f t="shared" si="9"/>
        <v>5.0893800988154627</v>
      </c>
      <c r="O86" s="61">
        <f t="shared" si="6"/>
        <v>9.7199999999999953</v>
      </c>
      <c r="P86" s="61">
        <f t="shared" si="7"/>
        <v>0.93814970186799373</v>
      </c>
      <c r="Q86">
        <f t="shared" si="8"/>
        <v>0.49121403522599105</v>
      </c>
    </row>
    <row r="87" spans="13:17">
      <c r="M87" s="61">
        <f t="shared" si="5"/>
        <v>0.26362906466912284</v>
      </c>
      <c r="N87" s="61">
        <f t="shared" si="9"/>
        <v>5.1522119518872582</v>
      </c>
      <c r="O87" s="61">
        <f t="shared" si="6"/>
        <v>9.8399999999999963</v>
      </c>
      <c r="P87" s="61">
        <f t="shared" si="7"/>
        <v>1.0999187068478191</v>
      </c>
      <c r="Q87">
        <f t="shared" si="8"/>
        <v>0.57591608816317419</v>
      </c>
    </row>
    <row r="88" spans="13:17">
      <c r="M88" s="61">
        <f t="shared" si="5"/>
        <v>0.34263049627849407</v>
      </c>
      <c r="N88" s="61">
        <f t="shared" si="9"/>
        <v>5.2150438049590537</v>
      </c>
      <c r="O88" s="61">
        <f t="shared" si="6"/>
        <v>9.9599999999999937</v>
      </c>
      <c r="P88" s="61">
        <f t="shared" si="7"/>
        <v>1.2573468351967811</v>
      </c>
      <c r="Q88">
        <f t="shared" si="8"/>
        <v>0.65834526341144095</v>
      </c>
    </row>
    <row r="89" spans="13:17">
      <c r="M89" s="61">
        <f t="shared" si="5"/>
        <v>0.43121164635941334</v>
      </c>
      <c r="N89" s="61">
        <f t="shared" si="9"/>
        <v>5.2778756580308492</v>
      </c>
      <c r="O89" s="61">
        <f t="shared" si="6"/>
        <v>10.079999999999995</v>
      </c>
      <c r="P89" s="61">
        <f t="shared" si="7"/>
        <v>1.4098127900143427</v>
      </c>
      <c r="Q89">
        <f t="shared" si="8"/>
        <v>0.73817625067432113</v>
      </c>
    </row>
    <row r="90" spans="13:17">
      <c r="M90" s="61">
        <f t="shared" si="5"/>
        <v>0.52902292558138919</v>
      </c>
      <c r="N90" s="61">
        <f t="shared" si="9"/>
        <v>5.3407075111026447</v>
      </c>
      <c r="O90" s="61">
        <f t="shared" si="6"/>
        <v>10.199999999999992</v>
      </c>
      <c r="P90" s="61">
        <f t="shared" si="7"/>
        <v>1.5567148578319141</v>
      </c>
      <c r="Q90">
        <f t="shared" si="8"/>
        <v>0.81509399351648282</v>
      </c>
    </row>
    <row r="91" spans="13:17">
      <c r="M91" s="61">
        <f t="shared" si="5"/>
        <v>0.63567831751105652</v>
      </c>
      <c r="N91" s="61">
        <f t="shared" si="9"/>
        <v>5.4035393641744403</v>
      </c>
      <c r="O91" s="61">
        <f t="shared" si="6"/>
        <v>10.319999999999993</v>
      </c>
      <c r="P91" s="61">
        <f t="shared" si="7"/>
        <v>1.6974732833010093</v>
      </c>
      <c r="Q91">
        <f t="shared" si="8"/>
        <v>0.88879493274722043</v>
      </c>
    </row>
    <row r="92" spans="13:17">
      <c r="M92" s="61">
        <f t="shared" si="5"/>
        <v>0.75075690204268186</v>
      </c>
      <c r="N92" s="61">
        <f t="shared" si="9"/>
        <v>5.4663712172462358</v>
      </c>
      <c r="O92" s="61">
        <f t="shared" si="6"/>
        <v>10.439999999999992</v>
      </c>
      <c r="P92" s="61">
        <f t="shared" si="7"/>
        <v>1.8315325572226802</v>
      </c>
      <c r="Q92">
        <f t="shared" si="8"/>
        <v>0.95898820443021737</v>
      </c>
    </row>
    <row r="93" spans="13:17">
      <c r="M93" s="61">
        <f t="shared" si="5"/>
        <v>0.87380451657752278</v>
      </c>
      <c r="N93" s="61">
        <f t="shared" si="9"/>
        <v>5.5292030703180313</v>
      </c>
      <c r="O93" s="61">
        <f t="shared" si="6"/>
        <v>10.559999999999992</v>
      </c>
      <c r="P93" s="61">
        <f t="shared" si="7"/>
        <v>1.9583636088886192</v>
      </c>
      <c r="Q93">
        <f t="shared" si="8"/>
        <v>1.0253967877903476</v>
      </c>
    </row>
    <row r="94" spans="13:17">
      <c r="M94" s="61">
        <f t="shared" si="5"/>
        <v>1.0043355483961183</v>
      </c>
      <c r="N94" s="61">
        <f t="shared" si="9"/>
        <v>5.5920349233898268</v>
      </c>
      <c r="O94" s="61">
        <f t="shared" si="6"/>
        <v>10.679999999999991</v>
      </c>
      <c r="P94" s="61">
        <f t="shared" si="7"/>
        <v>2.0774658940815063</v>
      </c>
      <c r="Q94">
        <f t="shared" si="8"/>
        <v>1.0877585984883029</v>
      </c>
    </row>
    <row r="95" spans="13:17">
      <c r="M95" s="61">
        <f t="shared" si="5"/>
        <v>1.1418348511498371</v>
      </c>
      <c r="N95" s="61">
        <f t="shared" si="9"/>
        <v>5.6548667764616223</v>
      </c>
      <c r="O95" s="61">
        <f t="shared" si="6"/>
        <v>10.79999999999999</v>
      </c>
      <c r="P95" s="61">
        <f t="shared" si="7"/>
        <v>2.1883693704943528</v>
      </c>
      <c r="Q95">
        <f t="shared" si="8"/>
        <v>1.1458275229476642</v>
      </c>
    </row>
    <row r="96" spans="13:17">
      <c r="M96" s="61">
        <f t="shared" si="5"/>
        <v>1.2857597779081655</v>
      </c>
      <c r="N96" s="61">
        <f t="shared" si="9"/>
        <v>5.7176986295334178</v>
      </c>
      <c r="O96" s="61">
        <f t="shared" si="6"/>
        <v>10.919999999999989</v>
      </c>
      <c r="P96" s="61">
        <f t="shared" si="7"/>
        <v>2.2906363527727103</v>
      </c>
      <c r="Q96">
        <f t="shared" si="8"/>
        <v>1.1993743896527451</v>
      </c>
    </row>
    <row r="97" spans="13:17">
      <c r="M97" s="61">
        <f t="shared" si="5"/>
        <v>1.4355423227382336</v>
      </c>
      <c r="N97" s="61">
        <f t="shared" si="9"/>
        <v>5.7805304826052133</v>
      </c>
      <c r="O97" s="61">
        <f t="shared" si="6"/>
        <v>11.039999999999988</v>
      </c>
      <c r="P97" s="61">
        <f t="shared" si="7"/>
        <v>2.3838632398588877</v>
      </c>
      <c r="Q97">
        <f t="shared" si="8"/>
        <v>1.2481878735839085</v>
      </c>
    </row>
    <row r="98" spans="13:17">
      <c r="M98" s="61">
        <f t="shared" si="5"/>
        <v>1.5905913623647321</v>
      </c>
      <c r="N98" s="61">
        <f t="shared" si="9"/>
        <v>5.8433623356770088</v>
      </c>
      <c r="O98" s="61">
        <f t="shared" si="6"/>
        <v>11.159999999999988</v>
      </c>
      <c r="P98" s="61">
        <f t="shared" si="7"/>
        <v>2.4676821078208535</v>
      </c>
      <c r="Q98">
        <f t="shared" si="8"/>
        <v>1.2920753302208294</v>
      </c>
    </row>
    <row r="99" spans="13:17">
      <c r="M99" s="61">
        <f t="shared" si="5"/>
        <v>1.7502949890634241</v>
      </c>
      <c r="N99" s="61">
        <f t="shared" si="9"/>
        <v>5.9061941887488043</v>
      </c>
      <c r="O99" s="61">
        <f t="shared" si="6"/>
        <v>11.279999999999987</v>
      </c>
      <c r="P99" s="61">
        <f t="shared" si="7"/>
        <v>2.5417621618799764</v>
      </c>
      <c r="Q99">
        <f t="shared" si="8"/>
        <v>1.3308635558224418</v>
      </c>
    </row>
    <row r="100" spans="13:17">
      <c r="M100" s="61">
        <f t="shared" si="5"/>
        <v>1.9140229255813763</v>
      </c>
      <c r="N100" s="61">
        <f t="shared" si="9"/>
        <v>5.9690260418205998</v>
      </c>
      <c r="O100" s="61">
        <f t="shared" si="6"/>
        <v>11.399999999999986</v>
      </c>
      <c r="P100" s="61">
        <f t="shared" si="7"/>
        <v>2.6058110419068292</v>
      </c>
      <c r="Q100">
        <f t="shared" si="8"/>
        <v>1.3643994709829443</v>
      </c>
    </row>
    <row r="101" spans="13:17">
      <c r="M101" s="61">
        <f t="shared" si="5"/>
        <v>2.0811290125533315</v>
      </c>
      <c r="N101" s="61">
        <f t="shared" si="9"/>
        <v>6.0318578948923953</v>
      </c>
      <c r="O101" s="61">
        <f t="shared" si="6"/>
        <v>11.519999999999985</v>
      </c>
      <c r="P101" s="61">
        <f t="shared" si="7"/>
        <v>2.659575976233099</v>
      </c>
      <c r="Q101">
        <f t="shared" si="8"/>
        <v>1.3925507247663023</v>
      </c>
    </row>
    <row r="102" spans="13:17">
      <c r="M102" s="61">
        <f t="shared" si="5"/>
        <v>2.2509537585975208</v>
      </c>
      <c r="N102" s="61">
        <f t="shared" si="9"/>
        <v>6.0946897479641908</v>
      </c>
      <c r="O102" s="61">
        <f t="shared" si="6"/>
        <v>11.639999999999985</v>
      </c>
      <c r="P102" s="61">
        <f t="shared" si="7"/>
        <v>2.7028447792258676</v>
      </c>
      <c r="Q102">
        <f t="shared" si="8"/>
        <v>1.41520621703492</v>
      </c>
    </row>
    <row r="103" spans="13:17">
      <c r="M103" s="61">
        <f t="shared" si="5"/>
        <v>2.4228269430268541</v>
      </c>
      <c r="N103" s="61">
        <f t="shared" si="9"/>
        <v>6.1575216010359863</v>
      </c>
      <c r="O103" s="61">
        <f t="shared" si="6"/>
        <v>11.759999999999984</v>
      </c>
      <c r="P103" s="61">
        <f t="shared" si="7"/>
        <v>2.735446688687353</v>
      </c>
      <c r="Q103">
        <f t="shared" si="8"/>
        <v>1.4322765369111201</v>
      </c>
    </row>
    <row r="104" spans="13:17">
      <c r="M104" s="61">
        <f t="shared" si="5"/>
        <v>2.5960702609037778</v>
      </c>
      <c r="N104" s="61">
        <f t="shared" si="9"/>
        <v>6.2203534541077818</v>
      </c>
      <c r="O104" s="61">
        <f t="shared" si="6"/>
        <v>11.879999999999985</v>
      </c>
      <c r="P104" s="61">
        <f t="shared" si="7"/>
        <v>2.7572530397753083</v>
      </c>
      <c r="Q104">
        <f t="shared" si="8"/>
        <v>1.4436943156410189</v>
      </c>
    </row>
    <row r="105" spans="13:17">
      <c r="M105" s="61">
        <f t="shared" si="5"/>
        <v>2.7699999999999747</v>
      </c>
      <c r="N105" s="61">
        <f t="shared" si="9"/>
        <v>6.2831853071795774</v>
      </c>
      <c r="O105" s="61">
        <f t="shared" si="6"/>
        <v>11.999999999999982</v>
      </c>
      <c r="P105" s="61">
        <f t="shared" si="7"/>
        <v>2.7681777727843579</v>
      </c>
      <c r="Q105">
        <f t="shared" si="8"/>
        <v>1.4494144924683385</v>
      </c>
    </row>
    <row r="106" spans="13:17">
      <c r="M106" s="61">
        <f t="shared" si="5"/>
        <v>2.9439297390961716</v>
      </c>
      <c r="N106" s="61">
        <f t="shared" si="9"/>
        <v>6.3460171602513729</v>
      </c>
      <c r="O106" s="61">
        <f t="shared" si="6"/>
        <v>12.119999999999981</v>
      </c>
      <c r="P106" s="61">
        <f t="shared" si="7"/>
        <v>2.7681777727843579</v>
      </c>
      <c r="Q106">
        <f t="shared" si="8"/>
        <v>1.449414492468317</v>
      </c>
    </row>
    <row r="107" spans="13:17">
      <c r="M107" s="61">
        <f t="shared" si="5"/>
        <v>3.1171730569730958</v>
      </c>
      <c r="N107" s="61">
        <f t="shared" si="9"/>
        <v>6.4088490133231684</v>
      </c>
      <c r="O107" s="61">
        <f t="shared" si="6"/>
        <v>12.239999999999981</v>
      </c>
      <c r="P107" s="61">
        <f t="shared" si="7"/>
        <v>2.7572530397753154</v>
      </c>
      <c r="Q107">
        <f t="shared" si="8"/>
        <v>1.443694315641044</v>
      </c>
    </row>
    <row r="108" spans="13:17">
      <c r="M108" s="61">
        <f t="shared" si="5"/>
        <v>3.2890462414024295</v>
      </c>
      <c r="N108" s="61">
        <f t="shared" si="9"/>
        <v>6.4716808663949639</v>
      </c>
      <c r="O108" s="61">
        <f t="shared" si="6"/>
        <v>12.359999999999982</v>
      </c>
      <c r="P108" s="61">
        <f t="shared" si="7"/>
        <v>2.7354466886873601</v>
      </c>
      <c r="Q108">
        <f t="shared" si="8"/>
        <v>1.4322765369111028</v>
      </c>
    </row>
    <row r="109" spans="13:17">
      <c r="M109" s="61">
        <f t="shared" si="5"/>
        <v>3.4588709874466197</v>
      </c>
      <c r="N109" s="61">
        <f t="shared" si="9"/>
        <v>6.5345127194667594</v>
      </c>
      <c r="O109" s="61">
        <f t="shared" si="6"/>
        <v>12.479999999999979</v>
      </c>
      <c r="P109" s="61">
        <f t="shared" si="7"/>
        <v>2.7028447792258818</v>
      </c>
      <c r="Q109">
        <f t="shared" si="8"/>
        <v>1.4152062170349484</v>
      </c>
    </row>
    <row r="110" spans="13:17">
      <c r="M110" s="61"/>
      <c r="N110" s="61"/>
      <c r="O110" s="61"/>
      <c r="P110" s="61"/>
    </row>
    <row r="111" spans="13:17">
      <c r="M111" s="61"/>
      <c r="N111" s="61"/>
      <c r="O111" s="61"/>
      <c r="P111" s="61"/>
    </row>
    <row r="112" spans="13:17">
      <c r="M112" s="61"/>
      <c r="N112" s="61"/>
      <c r="O112" s="61"/>
      <c r="P112" s="61"/>
    </row>
  </sheetData>
  <mergeCells count="7">
    <mergeCell ref="J1:K1"/>
    <mergeCell ref="D19:E19"/>
    <mergeCell ref="G19:H19"/>
    <mergeCell ref="D1:E1"/>
    <mergeCell ref="D15:E15"/>
    <mergeCell ref="G15:H15"/>
    <mergeCell ref="G1:H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46"/>
  <sheetViews>
    <sheetView workbookViewId="0">
      <selection activeCell="K25" sqref="K25"/>
    </sheetView>
  </sheetViews>
  <sheetFormatPr defaultRowHeight="14.4"/>
  <cols>
    <col min="1" max="1" width="8.88671875" style="89"/>
    <col min="2" max="2" width="8.88671875" style="85"/>
    <col min="3" max="3" width="11.109375" style="83" customWidth="1"/>
    <col min="4" max="4" width="11.109375" style="89" customWidth="1"/>
    <col min="5" max="8" width="8.88671875" style="83"/>
    <col min="9" max="9" width="8.88671875" style="85"/>
    <col min="10" max="16384" width="8.88671875" style="83"/>
  </cols>
  <sheetData>
    <row r="1" spans="1:9" ht="31.8">
      <c r="A1" s="87" t="s">
        <v>508</v>
      </c>
      <c r="B1" s="86" t="s">
        <v>509</v>
      </c>
      <c r="C1" s="80" t="s">
        <v>509</v>
      </c>
      <c r="D1" s="90" t="s">
        <v>510</v>
      </c>
      <c r="E1" s="80" t="s">
        <v>513</v>
      </c>
      <c r="F1" s="80" t="s">
        <v>512</v>
      </c>
      <c r="G1" s="80" t="s">
        <v>511</v>
      </c>
      <c r="H1" s="80" t="s">
        <v>514</v>
      </c>
      <c r="I1" s="84" t="s">
        <v>515</v>
      </c>
    </row>
    <row r="2" spans="1:9">
      <c r="A2" s="88" t="s">
        <v>502</v>
      </c>
      <c r="B2" s="86" t="s">
        <v>493</v>
      </c>
      <c r="C2" s="80" t="s">
        <v>203</v>
      </c>
      <c r="D2" s="90" t="s">
        <v>204</v>
      </c>
      <c r="E2" s="80">
        <v>320</v>
      </c>
      <c r="F2" s="80">
        <v>20</v>
      </c>
      <c r="G2" s="80" t="s">
        <v>205</v>
      </c>
      <c r="H2" s="80" t="s">
        <v>206</v>
      </c>
      <c r="I2" s="84" t="s">
        <v>207</v>
      </c>
    </row>
    <row r="3" spans="1:9">
      <c r="A3" s="88" t="s">
        <v>503</v>
      </c>
      <c r="B3" s="86" t="s">
        <v>208</v>
      </c>
      <c r="C3" s="80" t="s">
        <v>209</v>
      </c>
      <c r="D3" s="90" t="s">
        <v>210</v>
      </c>
      <c r="E3" s="80">
        <v>300</v>
      </c>
      <c r="F3" s="80" t="s">
        <v>211</v>
      </c>
      <c r="G3" s="80" t="s">
        <v>212</v>
      </c>
      <c r="H3" s="80" t="s">
        <v>213</v>
      </c>
      <c r="I3" s="84" t="s">
        <v>214</v>
      </c>
    </row>
    <row r="4" spans="1:9">
      <c r="A4" s="88" t="s">
        <v>504</v>
      </c>
      <c r="B4" s="86" t="s">
        <v>494</v>
      </c>
      <c r="C4" s="80" t="s">
        <v>215</v>
      </c>
      <c r="D4" s="90" t="s">
        <v>216</v>
      </c>
      <c r="E4" s="80">
        <v>280</v>
      </c>
      <c r="F4" s="80" t="s">
        <v>217</v>
      </c>
      <c r="G4" s="80" t="s">
        <v>218</v>
      </c>
      <c r="H4" s="80" t="s">
        <v>219</v>
      </c>
      <c r="I4" s="84" t="s">
        <v>220</v>
      </c>
    </row>
    <row r="5" spans="1:9">
      <c r="A5" s="88" t="s">
        <v>505</v>
      </c>
      <c r="B5" s="86" t="s">
        <v>221</v>
      </c>
      <c r="C5" s="80" t="s">
        <v>222</v>
      </c>
      <c r="D5" s="90" t="s">
        <v>223</v>
      </c>
      <c r="E5" s="80">
        <v>260</v>
      </c>
      <c r="F5" s="80" t="s">
        <v>224</v>
      </c>
      <c r="G5" s="80" t="s">
        <v>225</v>
      </c>
      <c r="H5" s="80" t="s">
        <v>226</v>
      </c>
      <c r="I5" s="84" t="s">
        <v>227</v>
      </c>
    </row>
    <row r="6" spans="1:9">
      <c r="A6" s="88" t="s">
        <v>506</v>
      </c>
      <c r="B6" s="86" t="s">
        <v>495</v>
      </c>
      <c r="C6" s="80" t="s">
        <v>228</v>
      </c>
      <c r="D6" s="90" t="s">
        <v>229</v>
      </c>
      <c r="E6" s="80">
        <v>240</v>
      </c>
      <c r="F6" s="80">
        <v>15</v>
      </c>
      <c r="G6" s="80" t="s">
        <v>230</v>
      </c>
      <c r="H6" s="80" t="s">
        <v>231</v>
      </c>
      <c r="I6" s="84" t="s">
        <v>232</v>
      </c>
    </row>
    <row r="7" spans="1:9">
      <c r="A7" s="88" t="s">
        <v>507</v>
      </c>
      <c r="B7" s="86" t="s">
        <v>233</v>
      </c>
      <c r="C7" s="80" t="s">
        <v>234</v>
      </c>
      <c r="D7" s="90" t="s">
        <v>235</v>
      </c>
      <c r="E7" s="80">
        <v>220</v>
      </c>
      <c r="F7" s="80" t="s">
        <v>236</v>
      </c>
      <c r="G7" s="80" t="s">
        <v>237</v>
      </c>
      <c r="H7" s="80" t="s">
        <v>238</v>
      </c>
      <c r="I7" s="84">
        <v>148</v>
      </c>
    </row>
    <row r="8" spans="1:9">
      <c r="A8" s="87">
        <v>0</v>
      </c>
      <c r="B8" s="86" t="s">
        <v>496</v>
      </c>
      <c r="C8" s="80" t="s">
        <v>239</v>
      </c>
      <c r="D8" s="90" t="s">
        <v>240</v>
      </c>
      <c r="E8" s="80">
        <v>200</v>
      </c>
      <c r="F8" s="80" t="s">
        <v>241</v>
      </c>
      <c r="G8" s="80" t="s">
        <v>242</v>
      </c>
      <c r="H8" s="80" t="s">
        <v>243</v>
      </c>
      <c r="I8" s="84" t="s">
        <v>244</v>
      </c>
    </row>
    <row r="9" spans="1:9">
      <c r="A9" s="87">
        <v>1</v>
      </c>
      <c r="B9" s="86" t="s">
        <v>245</v>
      </c>
      <c r="C9" s="80" t="s">
        <v>246</v>
      </c>
      <c r="D9" s="90" t="s">
        <v>247</v>
      </c>
      <c r="E9" s="80">
        <v>180</v>
      </c>
      <c r="F9" s="80" t="s">
        <v>248</v>
      </c>
      <c r="G9" s="80" t="s">
        <v>249</v>
      </c>
      <c r="H9" s="80" t="s">
        <v>250</v>
      </c>
      <c r="I9" s="84" t="s">
        <v>251</v>
      </c>
    </row>
    <row r="10" spans="1:9">
      <c r="A10" s="87">
        <v>2</v>
      </c>
      <c r="B10" s="86" t="s">
        <v>252</v>
      </c>
      <c r="C10" s="80" t="s">
        <v>253</v>
      </c>
      <c r="D10" s="90" t="s">
        <v>254</v>
      </c>
      <c r="E10" s="80">
        <v>170</v>
      </c>
      <c r="F10" s="80" t="s">
        <v>255</v>
      </c>
      <c r="G10" s="80" t="s">
        <v>256</v>
      </c>
      <c r="H10" s="80" t="s">
        <v>257</v>
      </c>
      <c r="I10" s="84" t="s">
        <v>258</v>
      </c>
    </row>
    <row r="11" spans="1:9">
      <c r="A11" s="87">
        <v>3</v>
      </c>
      <c r="B11" s="86" t="s">
        <v>497</v>
      </c>
      <c r="C11" s="80" t="s">
        <v>259</v>
      </c>
      <c r="D11" s="90" t="s">
        <v>260</v>
      </c>
      <c r="E11" s="80">
        <v>160</v>
      </c>
      <c r="F11" s="80">
        <v>10</v>
      </c>
      <c r="G11" s="80" t="s">
        <v>261</v>
      </c>
      <c r="H11" s="80" t="s">
        <v>262</v>
      </c>
      <c r="I11" s="84" t="s">
        <v>263</v>
      </c>
    </row>
    <row r="12" spans="1:9">
      <c r="A12" s="87">
        <v>4</v>
      </c>
      <c r="B12" s="86" t="s">
        <v>264</v>
      </c>
      <c r="C12" s="80" t="s">
        <v>265</v>
      </c>
      <c r="D12" s="90" t="s">
        <v>266</v>
      </c>
      <c r="E12" s="80">
        <v>150</v>
      </c>
      <c r="F12" s="80" t="s">
        <v>267</v>
      </c>
      <c r="G12" s="80" t="s">
        <v>268</v>
      </c>
      <c r="H12" s="80" t="s">
        <v>269</v>
      </c>
      <c r="I12" s="84" t="s">
        <v>270</v>
      </c>
    </row>
    <row r="13" spans="1:9">
      <c r="A13" s="87">
        <v>5</v>
      </c>
      <c r="B13" s="86" t="s">
        <v>271</v>
      </c>
      <c r="C13" s="80" t="s">
        <v>272</v>
      </c>
      <c r="D13" s="90" t="s">
        <v>273</v>
      </c>
      <c r="E13" s="80">
        <v>140</v>
      </c>
      <c r="F13" s="80" t="s">
        <v>274</v>
      </c>
      <c r="G13" s="80" t="s">
        <v>275</v>
      </c>
      <c r="H13" s="80" t="s">
        <v>276</v>
      </c>
      <c r="I13" s="84" t="s">
        <v>277</v>
      </c>
    </row>
    <row r="14" spans="1:9">
      <c r="A14" s="87">
        <v>6</v>
      </c>
      <c r="B14" s="86" t="s">
        <v>278</v>
      </c>
      <c r="C14" s="80" t="s">
        <v>279</v>
      </c>
      <c r="D14" s="90" t="s">
        <v>280</v>
      </c>
      <c r="E14" s="80">
        <v>130</v>
      </c>
      <c r="F14" s="80" t="s">
        <v>281</v>
      </c>
      <c r="G14" s="80" t="s">
        <v>282</v>
      </c>
      <c r="H14" s="80" t="s">
        <v>283</v>
      </c>
      <c r="I14" s="84" t="s">
        <v>284</v>
      </c>
    </row>
    <row r="15" spans="1:9">
      <c r="A15" s="87">
        <v>7</v>
      </c>
      <c r="B15" s="86" t="s">
        <v>498</v>
      </c>
      <c r="C15" s="80" t="s">
        <v>285</v>
      </c>
      <c r="D15" s="90" t="s">
        <v>286</v>
      </c>
      <c r="E15" s="80">
        <v>120</v>
      </c>
      <c r="F15" s="80" t="s">
        <v>287</v>
      </c>
      <c r="G15" s="80" t="s">
        <v>288</v>
      </c>
      <c r="H15" s="80" t="s">
        <v>289</v>
      </c>
      <c r="I15" s="84" t="s">
        <v>290</v>
      </c>
    </row>
    <row r="16" spans="1:9">
      <c r="A16" s="87">
        <v>8</v>
      </c>
      <c r="B16" s="86" t="s">
        <v>291</v>
      </c>
      <c r="C16" s="80" t="s">
        <v>292</v>
      </c>
      <c r="D16" s="90" t="s">
        <v>293</v>
      </c>
      <c r="E16" s="80">
        <v>110</v>
      </c>
      <c r="F16" s="80" t="s">
        <v>294</v>
      </c>
      <c r="G16" s="80" t="s">
        <v>295</v>
      </c>
      <c r="H16" s="80" t="s">
        <v>296</v>
      </c>
      <c r="I16" s="84">
        <v>74</v>
      </c>
    </row>
    <row r="17" spans="1:9">
      <c r="A17" s="87">
        <v>9</v>
      </c>
      <c r="B17" s="86" t="s">
        <v>297</v>
      </c>
      <c r="C17" s="80" t="s">
        <v>298</v>
      </c>
      <c r="D17" s="90" t="s">
        <v>299</v>
      </c>
      <c r="E17" s="80">
        <v>100</v>
      </c>
      <c r="F17" s="80" t="s">
        <v>300</v>
      </c>
      <c r="G17" s="80" t="s">
        <v>301</v>
      </c>
      <c r="H17" s="80" t="s">
        <v>302</v>
      </c>
      <c r="I17" s="84" t="s">
        <v>303</v>
      </c>
    </row>
    <row r="18" spans="1:9">
      <c r="A18" s="87">
        <v>10</v>
      </c>
      <c r="B18" s="86" t="s">
        <v>304</v>
      </c>
      <c r="C18" s="80" t="s">
        <v>305</v>
      </c>
      <c r="D18" s="90" t="s">
        <v>306</v>
      </c>
      <c r="E18" s="80">
        <v>90</v>
      </c>
      <c r="F18" s="80" t="s">
        <v>307</v>
      </c>
      <c r="G18" s="80" t="s">
        <v>308</v>
      </c>
      <c r="H18" s="80" t="s">
        <v>309</v>
      </c>
      <c r="I18" s="84" t="s">
        <v>310</v>
      </c>
    </row>
    <row r="19" spans="1:9">
      <c r="A19" s="87">
        <v>11</v>
      </c>
      <c r="B19" s="86" t="s">
        <v>499</v>
      </c>
      <c r="C19" s="80" t="s">
        <v>311</v>
      </c>
      <c r="D19" s="90" t="s">
        <v>312</v>
      </c>
      <c r="E19" s="80">
        <v>80</v>
      </c>
      <c r="F19" s="80">
        <v>5</v>
      </c>
      <c r="G19" s="80" t="s">
        <v>313</v>
      </c>
      <c r="H19" s="80" t="s">
        <v>314</v>
      </c>
      <c r="I19" s="84" t="s">
        <v>315</v>
      </c>
    </row>
    <row r="20" spans="1:9">
      <c r="A20" s="87">
        <v>12</v>
      </c>
      <c r="B20" s="86" t="s">
        <v>316</v>
      </c>
      <c r="C20" s="80" t="s">
        <v>317</v>
      </c>
      <c r="D20" s="90" t="s">
        <v>318</v>
      </c>
      <c r="E20" s="80">
        <v>70</v>
      </c>
      <c r="F20" s="80" t="s">
        <v>319</v>
      </c>
      <c r="G20" s="80" t="s">
        <v>320</v>
      </c>
      <c r="H20" s="80" t="s">
        <v>321</v>
      </c>
      <c r="I20" s="84" t="s">
        <v>322</v>
      </c>
    </row>
    <row r="21" spans="1:9">
      <c r="A21" s="87">
        <v>13</v>
      </c>
      <c r="B21" s="86" t="s">
        <v>323</v>
      </c>
      <c r="C21" s="80" t="s">
        <v>324</v>
      </c>
      <c r="D21" s="90" t="s">
        <v>325</v>
      </c>
      <c r="E21" s="80">
        <v>60</v>
      </c>
      <c r="F21" s="80" t="s">
        <v>326</v>
      </c>
      <c r="G21" s="80" t="s">
        <v>327</v>
      </c>
      <c r="H21" s="80" t="s">
        <v>328</v>
      </c>
      <c r="I21" s="84" t="s">
        <v>329</v>
      </c>
    </row>
    <row r="22" spans="1:9">
      <c r="A22" s="87">
        <v>14</v>
      </c>
      <c r="B22" s="86" t="s">
        <v>330</v>
      </c>
      <c r="C22" s="80" t="s">
        <v>331</v>
      </c>
      <c r="D22" s="90" t="s">
        <v>332</v>
      </c>
      <c r="E22" s="80">
        <v>50</v>
      </c>
      <c r="F22" s="80" t="s">
        <v>333</v>
      </c>
      <c r="G22" s="80" t="s">
        <v>334</v>
      </c>
      <c r="H22" s="80" t="s">
        <v>335</v>
      </c>
      <c r="I22" s="84" t="s">
        <v>336</v>
      </c>
    </row>
    <row r="23" spans="1:9">
      <c r="A23" s="87">
        <v>15</v>
      </c>
      <c r="B23" s="86" t="s">
        <v>337</v>
      </c>
      <c r="C23" s="80" t="s">
        <v>338</v>
      </c>
      <c r="D23" s="90" t="s">
        <v>339</v>
      </c>
      <c r="E23" s="80">
        <v>45</v>
      </c>
      <c r="F23" s="80" t="s">
        <v>340</v>
      </c>
      <c r="G23" s="80" t="s">
        <v>341</v>
      </c>
      <c r="H23" s="80" t="s">
        <v>342</v>
      </c>
      <c r="I23" s="84" t="s">
        <v>343</v>
      </c>
    </row>
    <row r="24" spans="1:9">
      <c r="A24" s="87">
        <v>16</v>
      </c>
      <c r="B24" s="86" t="s">
        <v>500</v>
      </c>
      <c r="C24" s="80" t="s">
        <v>344</v>
      </c>
      <c r="D24" s="90" t="s">
        <v>345</v>
      </c>
      <c r="E24" s="80">
        <v>40</v>
      </c>
      <c r="F24" s="80" t="s">
        <v>346</v>
      </c>
      <c r="G24" s="80" t="s">
        <v>347</v>
      </c>
      <c r="H24" s="80" t="s">
        <v>348</v>
      </c>
      <c r="I24" s="84" t="s">
        <v>349</v>
      </c>
    </row>
    <row r="25" spans="1:9">
      <c r="A25" s="87">
        <v>17</v>
      </c>
      <c r="B25" s="86" t="s">
        <v>350</v>
      </c>
      <c r="C25" s="80" t="s">
        <v>351</v>
      </c>
      <c r="D25" s="90" t="s">
        <v>352</v>
      </c>
      <c r="E25" s="80">
        <v>36</v>
      </c>
      <c r="F25" s="80" t="s">
        <v>353</v>
      </c>
      <c r="G25" s="80" t="s">
        <v>354</v>
      </c>
      <c r="H25" s="80" t="s">
        <v>355</v>
      </c>
      <c r="I25" s="84" t="s">
        <v>356</v>
      </c>
    </row>
    <row r="26" spans="1:9">
      <c r="A26" s="87">
        <v>18</v>
      </c>
      <c r="B26" s="86" t="s">
        <v>501</v>
      </c>
      <c r="C26" s="80" t="s">
        <v>357</v>
      </c>
      <c r="D26" s="90" t="s">
        <v>358</v>
      </c>
      <c r="E26" s="80">
        <v>32</v>
      </c>
      <c r="F26" s="80">
        <v>2</v>
      </c>
      <c r="G26" s="80" t="s">
        <v>359</v>
      </c>
      <c r="H26" s="80" t="s">
        <v>360</v>
      </c>
      <c r="I26" s="84" t="s">
        <v>361</v>
      </c>
    </row>
    <row r="27" spans="1:9">
      <c r="A27" s="87">
        <v>19</v>
      </c>
      <c r="B27" s="86" t="s">
        <v>362</v>
      </c>
      <c r="C27" s="80" t="s">
        <v>363</v>
      </c>
      <c r="D27" s="90" t="s">
        <v>364</v>
      </c>
      <c r="E27" s="80">
        <v>28</v>
      </c>
      <c r="F27" s="80" t="s">
        <v>365</v>
      </c>
      <c r="G27" s="80" t="s">
        <v>366</v>
      </c>
      <c r="H27" s="80" t="s">
        <v>367</v>
      </c>
      <c r="I27" s="84" t="s">
        <v>368</v>
      </c>
    </row>
    <row r="28" spans="1:9">
      <c r="A28" s="87">
        <v>20</v>
      </c>
      <c r="B28" s="86" t="s">
        <v>369</v>
      </c>
      <c r="C28" s="80" t="s">
        <v>370</v>
      </c>
      <c r="D28" s="90" t="s">
        <v>371</v>
      </c>
      <c r="E28" s="80">
        <v>24</v>
      </c>
      <c r="F28" s="80" t="s">
        <v>372</v>
      </c>
      <c r="G28" s="80" t="s">
        <v>373</v>
      </c>
      <c r="H28" s="80" t="s">
        <v>374</v>
      </c>
      <c r="I28" s="84" t="s">
        <v>375</v>
      </c>
    </row>
    <row r="29" spans="1:9">
      <c r="A29" s="87">
        <v>21</v>
      </c>
      <c r="B29" s="86" t="s">
        <v>376</v>
      </c>
      <c r="C29" s="80" t="s">
        <v>377</v>
      </c>
      <c r="D29" s="90" t="s">
        <v>378</v>
      </c>
      <c r="E29" s="80">
        <v>22</v>
      </c>
      <c r="F29" s="80" t="s">
        <v>379</v>
      </c>
      <c r="G29" s="80" t="s">
        <v>380</v>
      </c>
      <c r="H29" s="80" t="s">
        <v>381</v>
      </c>
      <c r="I29" s="84" t="s">
        <v>382</v>
      </c>
    </row>
    <row r="30" spans="1:9">
      <c r="A30" s="87">
        <v>22</v>
      </c>
      <c r="B30" s="86" t="s">
        <v>383</v>
      </c>
      <c r="C30" s="80" t="s">
        <v>384</v>
      </c>
      <c r="D30" s="90" t="s">
        <v>385</v>
      </c>
      <c r="E30" s="80">
        <v>20</v>
      </c>
      <c r="F30" s="80" t="s">
        <v>386</v>
      </c>
      <c r="G30" s="80" t="s">
        <v>387</v>
      </c>
      <c r="H30" s="80" t="s">
        <v>388</v>
      </c>
      <c r="I30" s="84" t="s">
        <v>389</v>
      </c>
    </row>
    <row r="31" spans="1:9">
      <c r="A31" s="87">
        <v>23</v>
      </c>
      <c r="B31" s="86" t="s">
        <v>390</v>
      </c>
      <c r="C31" s="80" t="s">
        <v>391</v>
      </c>
      <c r="D31" s="90" t="s">
        <v>392</v>
      </c>
      <c r="E31" s="80">
        <v>18</v>
      </c>
      <c r="F31" s="80" t="s">
        <v>393</v>
      </c>
      <c r="G31" s="80" t="s">
        <v>394</v>
      </c>
      <c r="H31" s="80" t="s">
        <v>395</v>
      </c>
      <c r="I31" s="84" t="s">
        <v>396</v>
      </c>
    </row>
    <row r="32" spans="1:9">
      <c r="A32" s="87">
        <v>24</v>
      </c>
      <c r="B32" s="86" t="s">
        <v>397</v>
      </c>
      <c r="C32" s="80" t="s">
        <v>398</v>
      </c>
      <c r="D32" s="90" t="s">
        <v>399</v>
      </c>
      <c r="E32" s="80">
        <v>16</v>
      </c>
      <c r="F32" s="80">
        <v>1</v>
      </c>
      <c r="G32" s="80" t="s">
        <v>400</v>
      </c>
      <c r="H32" s="80" t="s">
        <v>401</v>
      </c>
      <c r="I32" s="84" t="s">
        <v>402</v>
      </c>
    </row>
    <row r="33" spans="1:9">
      <c r="A33" s="87">
        <v>25</v>
      </c>
      <c r="B33" s="86" t="s">
        <v>403</v>
      </c>
      <c r="C33" s="80" t="s">
        <v>404</v>
      </c>
      <c r="D33" s="90" t="s">
        <v>405</v>
      </c>
      <c r="E33" s="80">
        <v>14</v>
      </c>
      <c r="F33" s="80" t="s">
        <v>406</v>
      </c>
      <c r="G33" s="80" t="s">
        <v>407</v>
      </c>
      <c r="H33" s="80" t="s">
        <v>408</v>
      </c>
      <c r="I33" s="84" t="s">
        <v>409</v>
      </c>
    </row>
    <row r="34" spans="1:9">
      <c r="A34" s="87">
        <v>26</v>
      </c>
      <c r="B34" s="86" t="s">
        <v>410</v>
      </c>
      <c r="C34" s="80" t="s">
        <v>411</v>
      </c>
      <c r="D34" s="90" t="s">
        <v>412</v>
      </c>
      <c r="E34" s="80">
        <v>12</v>
      </c>
      <c r="F34" s="80" t="s">
        <v>413</v>
      </c>
      <c r="G34" s="80" t="s">
        <v>414</v>
      </c>
      <c r="H34" s="80" t="s">
        <v>415</v>
      </c>
      <c r="I34" s="84" t="s">
        <v>416</v>
      </c>
    </row>
    <row r="35" spans="1:9">
      <c r="A35" s="87">
        <v>27</v>
      </c>
      <c r="B35" s="86" t="s">
        <v>417</v>
      </c>
      <c r="C35" s="80" t="s">
        <v>418</v>
      </c>
      <c r="D35" s="90" t="s">
        <v>419</v>
      </c>
      <c r="E35" s="80">
        <v>11</v>
      </c>
      <c r="F35" s="80" t="s">
        <v>420</v>
      </c>
      <c r="G35" s="80" t="s">
        <v>421</v>
      </c>
      <c r="H35" s="80" t="s">
        <v>422</v>
      </c>
      <c r="I35" s="84" t="s">
        <v>423</v>
      </c>
    </row>
    <row r="36" spans="1:9">
      <c r="A36" s="87">
        <v>28</v>
      </c>
      <c r="B36" s="86" t="s">
        <v>424</v>
      </c>
      <c r="C36" s="80" t="s">
        <v>425</v>
      </c>
      <c r="D36" s="90" t="s">
        <v>426</v>
      </c>
      <c r="E36" s="80">
        <v>10</v>
      </c>
      <c r="F36" s="80" t="s">
        <v>427</v>
      </c>
      <c r="G36" s="80" t="s">
        <v>428</v>
      </c>
      <c r="H36" s="80" t="s">
        <v>429</v>
      </c>
      <c r="I36" s="84" t="s">
        <v>430</v>
      </c>
    </row>
    <row r="37" spans="1:9">
      <c r="A37" s="87">
        <v>29</v>
      </c>
      <c r="B37" s="86" t="s">
        <v>431</v>
      </c>
      <c r="C37" s="80" t="s">
        <v>432</v>
      </c>
      <c r="D37" s="90" t="s">
        <v>433</v>
      </c>
      <c r="E37" s="80">
        <v>9</v>
      </c>
      <c r="F37" s="80" t="s">
        <v>434</v>
      </c>
      <c r="G37" s="80" t="s">
        <v>435</v>
      </c>
      <c r="H37" s="80" t="s">
        <v>436</v>
      </c>
      <c r="I37" s="84" t="s">
        <v>437</v>
      </c>
    </row>
    <row r="38" spans="1:9">
      <c r="A38" s="87">
        <v>30</v>
      </c>
      <c r="B38" s="86" t="s">
        <v>438</v>
      </c>
      <c r="C38" s="80" t="s">
        <v>439</v>
      </c>
      <c r="D38" s="90" t="s">
        <v>440</v>
      </c>
      <c r="E38" s="80">
        <v>8</v>
      </c>
      <c r="F38" s="80" t="s">
        <v>203</v>
      </c>
      <c r="G38" s="80" t="s">
        <v>441</v>
      </c>
      <c r="H38" s="80" t="s">
        <v>442</v>
      </c>
      <c r="I38" s="84" t="s">
        <v>443</v>
      </c>
    </row>
    <row r="39" spans="1:9">
      <c r="A39" s="87">
        <v>31</v>
      </c>
      <c r="B39" s="86" t="s">
        <v>444</v>
      </c>
      <c r="C39" s="80" t="s">
        <v>445</v>
      </c>
      <c r="D39" s="90" t="s">
        <v>446</v>
      </c>
      <c r="E39" s="80">
        <v>7</v>
      </c>
      <c r="F39" s="80" t="s">
        <v>215</v>
      </c>
      <c r="G39" s="80" t="s">
        <v>447</v>
      </c>
      <c r="H39" s="80" t="s">
        <v>448</v>
      </c>
      <c r="I39" s="84" t="s">
        <v>449</v>
      </c>
    </row>
    <row r="40" spans="1:9">
      <c r="A40" s="87">
        <v>32</v>
      </c>
      <c r="B40" s="86" t="s">
        <v>450</v>
      </c>
      <c r="C40" s="80" t="s">
        <v>451</v>
      </c>
      <c r="D40" s="90" t="s">
        <v>452</v>
      </c>
      <c r="E40" s="81">
        <v>38719</v>
      </c>
      <c r="F40" s="80" t="s">
        <v>222</v>
      </c>
      <c r="G40" s="80" t="s">
        <v>453</v>
      </c>
      <c r="H40" s="80" t="s">
        <v>454</v>
      </c>
      <c r="I40" s="84" t="s">
        <v>455</v>
      </c>
    </row>
    <row r="41" spans="1:9">
      <c r="A41" s="87">
        <v>33</v>
      </c>
      <c r="B41" s="86" t="s">
        <v>456</v>
      </c>
      <c r="C41" s="80" t="s">
        <v>457</v>
      </c>
      <c r="D41" s="90" t="s">
        <v>458</v>
      </c>
      <c r="E41" s="80">
        <v>6</v>
      </c>
      <c r="F41" s="80" t="s">
        <v>459</v>
      </c>
      <c r="G41" s="80" t="s">
        <v>460</v>
      </c>
      <c r="H41" s="80" t="s">
        <v>461</v>
      </c>
      <c r="I41" s="84" t="s">
        <v>462</v>
      </c>
    </row>
    <row r="42" spans="1:9">
      <c r="A42" s="87">
        <v>34</v>
      </c>
      <c r="B42" s="86" t="s">
        <v>463</v>
      </c>
      <c r="C42" s="80" t="s">
        <v>464</v>
      </c>
      <c r="D42" s="90" t="s">
        <v>465</v>
      </c>
      <c r="E42" s="82">
        <v>18660</v>
      </c>
      <c r="F42" s="80" t="s">
        <v>234</v>
      </c>
      <c r="G42" s="80" t="s">
        <v>466</v>
      </c>
      <c r="H42" s="80" t="s">
        <v>467</v>
      </c>
      <c r="I42" s="84" t="s">
        <v>468</v>
      </c>
    </row>
    <row r="43" spans="1:9">
      <c r="A43" s="87">
        <v>35</v>
      </c>
      <c r="B43" s="86" t="s">
        <v>469</v>
      </c>
      <c r="C43" s="80" t="s">
        <v>470</v>
      </c>
      <c r="D43" s="90" t="s">
        <v>471</v>
      </c>
      <c r="E43" s="80">
        <v>5</v>
      </c>
      <c r="F43" s="80" t="s">
        <v>239</v>
      </c>
      <c r="G43" s="80" t="s">
        <v>472</v>
      </c>
      <c r="H43" s="80" t="s">
        <v>473</v>
      </c>
      <c r="I43" s="84" t="s">
        <v>474</v>
      </c>
    </row>
    <row r="44" spans="1:9">
      <c r="A44" s="87">
        <v>36</v>
      </c>
      <c r="B44" s="86" t="s">
        <v>475</v>
      </c>
      <c r="C44" s="80" t="s">
        <v>476</v>
      </c>
      <c r="D44" s="90" t="s">
        <v>477</v>
      </c>
      <c r="E44" s="82">
        <v>15008</v>
      </c>
      <c r="F44" s="80" t="s">
        <v>246</v>
      </c>
      <c r="G44" s="80" t="s">
        <v>478</v>
      </c>
      <c r="H44" s="80" t="s">
        <v>479</v>
      </c>
      <c r="I44" s="84" t="s">
        <v>480</v>
      </c>
    </row>
    <row r="45" spans="1:9">
      <c r="A45" s="87">
        <v>37</v>
      </c>
      <c r="B45" s="86" t="s">
        <v>481</v>
      </c>
      <c r="C45" s="80" t="s">
        <v>482</v>
      </c>
      <c r="D45" s="90" t="s">
        <v>483</v>
      </c>
      <c r="E45" s="82">
        <v>15067</v>
      </c>
      <c r="F45" s="80" t="s">
        <v>253</v>
      </c>
      <c r="G45" s="80" t="s">
        <v>484</v>
      </c>
      <c r="H45" s="80" t="s">
        <v>485</v>
      </c>
      <c r="I45" s="84" t="s">
        <v>486</v>
      </c>
    </row>
    <row r="46" spans="1:9">
      <c r="A46" s="87">
        <v>38</v>
      </c>
      <c r="B46" s="86" t="s">
        <v>487</v>
      </c>
      <c r="C46" s="80" t="s">
        <v>488</v>
      </c>
      <c r="D46" s="90" t="s">
        <v>489</v>
      </c>
      <c r="E46" s="80">
        <v>4</v>
      </c>
      <c r="F46" s="80" t="s">
        <v>259</v>
      </c>
      <c r="G46" s="80" t="s">
        <v>490</v>
      </c>
      <c r="H46" s="80" t="s">
        <v>491</v>
      </c>
      <c r="I46" s="84" t="s">
        <v>492</v>
      </c>
    </row>
  </sheetData>
  <pageMargins left="0.7" right="0.7" top="0.75" bottom="0.75" header="0.3" footer="0.3"/>
  <pageSetup paperSize="9" orientation="portrait"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42"/>
  <sheetViews>
    <sheetView workbookViewId="0">
      <selection activeCell="E7" sqref="E7"/>
    </sheetView>
  </sheetViews>
  <sheetFormatPr defaultRowHeight="14.4"/>
  <cols>
    <col min="1" max="3" width="18.5546875" customWidth="1"/>
  </cols>
  <sheetData>
    <row r="1" spans="1:3" ht="13.8" customHeight="1">
      <c r="A1" s="94" t="s">
        <v>519</v>
      </c>
      <c r="B1" s="94" t="s">
        <v>520</v>
      </c>
      <c r="C1" s="94" t="s">
        <v>521</v>
      </c>
    </row>
    <row r="2" spans="1:3" ht="13.8" customHeight="1">
      <c r="A2" s="94" t="s">
        <v>519</v>
      </c>
      <c r="B2" s="94" t="s">
        <v>522</v>
      </c>
      <c r="C2" s="94" t="s">
        <v>523</v>
      </c>
    </row>
    <row r="3" spans="1:3" ht="13.8" customHeight="1">
      <c r="A3" s="94" t="s">
        <v>524</v>
      </c>
      <c r="B3" s="94" t="s">
        <v>525</v>
      </c>
      <c r="C3" s="94" t="s">
        <v>526</v>
      </c>
    </row>
    <row r="4" spans="1:3" ht="13.8" customHeight="1">
      <c r="A4" s="94" t="s">
        <v>527</v>
      </c>
      <c r="B4" s="94" t="s">
        <v>520</v>
      </c>
      <c r="C4" s="94" t="s">
        <v>528</v>
      </c>
    </row>
    <row r="5" spans="1:3" ht="13.8" customHeight="1">
      <c r="A5" s="94" t="s">
        <v>527</v>
      </c>
      <c r="B5" s="94" t="s">
        <v>522</v>
      </c>
      <c r="C5" s="94" t="s">
        <v>523</v>
      </c>
    </row>
    <row r="6" spans="1:3" ht="13.8" customHeight="1">
      <c r="A6" s="94" t="s">
        <v>529</v>
      </c>
      <c r="B6" s="94" t="s">
        <v>530</v>
      </c>
      <c r="C6" s="94" t="s">
        <v>531</v>
      </c>
    </row>
    <row r="7" spans="1:3" ht="13.8" customHeight="1">
      <c r="A7" s="94" t="s">
        <v>529</v>
      </c>
      <c r="B7" s="94" t="s">
        <v>532</v>
      </c>
      <c r="C7" s="94" t="s">
        <v>533</v>
      </c>
    </row>
    <row r="8" spans="1:3" ht="13.8" customHeight="1">
      <c r="A8" s="94" t="s">
        <v>529</v>
      </c>
      <c r="B8" s="94" t="s">
        <v>534</v>
      </c>
      <c r="C8" s="94" t="s">
        <v>535</v>
      </c>
    </row>
    <row r="9" spans="1:3" ht="13.8" customHeight="1">
      <c r="A9" s="94" t="s">
        <v>529</v>
      </c>
      <c r="B9" s="94" t="s">
        <v>536</v>
      </c>
      <c r="C9" s="94" t="s">
        <v>537</v>
      </c>
    </row>
    <row r="10" spans="1:3" ht="13.8" customHeight="1">
      <c r="A10" s="94" t="s">
        <v>529</v>
      </c>
      <c r="B10" s="94" t="s">
        <v>538</v>
      </c>
      <c r="C10" s="94" t="s">
        <v>539</v>
      </c>
    </row>
    <row r="11" spans="1:3" ht="13.8" customHeight="1">
      <c r="A11" s="94" t="s">
        <v>529</v>
      </c>
      <c r="B11" s="94" t="s">
        <v>540</v>
      </c>
      <c r="C11" s="94" t="s">
        <v>541</v>
      </c>
    </row>
    <row r="12" spans="1:3" ht="13.8" customHeight="1">
      <c r="A12" s="94" t="s">
        <v>542</v>
      </c>
      <c r="B12" s="94" t="s">
        <v>543</v>
      </c>
      <c r="C12" s="94" t="s">
        <v>544</v>
      </c>
    </row>
    <row r="13" spans="1:3" ht="13.8" customHeight="1">
      <c r="A13" s="94" t="s">
        <v>545</v>
      </c>
      <c r="B13" s="94" t="s">
        <v>546</v>
      </c>
      <c r="C13" s="94" t="s">
        <v>547</v>
      </c>
    </row>
    <row r="14" spans="1:3" ht="13.8" customHeight="1">
      <c r="A14" s="94" t="s">
        <v>548</v>
      </c>
      <c r="B14" s="94" t="s">
        <v>549</v>
      </c>
      <c r="C14" s="94" t="s">
        <v>550</v>
      </c>
    </row>
    <row r="15" spans="1:3" ht="13.8" customHeight="1">
      <c r="A15" s="94" t="s">
        <v>548</v>
      </c>
      <c r="B15" s="94" t="s">
        <v>551</v>
      </c>
      <c r="C15" s="94" t="s">
        <v>552</v>
      </c>
    </row>
    <row r="16" spans="1:3" ht="13.8" customHeight="1">
      <c r="A16" s="94" t="s">
        <v>548</v>
      </c>
      <c r="B16" s="94" t="s">
        <v>525</v>
      </c>
      <c r="C16" s="94" t="s">
        <v>553</v>
      </c>
    </row>
    <row r="17" spans="1:3" ht="13.8" customHeight="1">
      <c r="A17" s="94" t="s">
        <v>548</v>
      </c>
      <c r="B17" s="94" t="s">
        <v>554</v>
      </c>
      <c r="C17" s="94" t="s">
        <v>555</v>
      </c>
    </row>
    <row r="18" spans="1:3" ht="13.8" customHeight="1">
      <c r="A18" s="94" t="s">
        <v>556</v>
      </c>
      <c r="B18" s="94" t="s">
        <v>557</v>
      </c>
      <c r="C18" s="94" t="s">
        <v>558</v>
      </c>
    </row>
    <row r="19" spans="1:3" ht="13.8" customHeight="1">
      <c r="A19" s="94" t="s">
        <v>556</v>
      </c>
      <c r="B19" s="94" t="s">
        <v>559</v>
      </c>
      <c r="C19" s="94" t="s">
        <v>560</v>
      </c>
    </row>
    <row r="20" spans="1:3" ht="13.8" customHeight="1">
      <c r="A20" s="94" t="s">
        <v>561</v>
      </c>
      <c r="B20" s="94" t="s">
        <v>525</v>
      </c>
      <c r="C20" s="94" t="s">
        <v>562</v>
      </c>
    </row>
    <row r="21" spans="1:3" ht="13.8" customHeight="1">
      <c r="A21" s="94" t="s">
        <v>563</v>
      </c>
      <c r="B21" s="94" t="s">
        <v>520</v>
      </c>
      <c r="C21" s="94" t="s">
        <v>521</v>
      </c>
    </row>
    <row r="22" spans="1:3" ht="13.8" customHeight="1">
      <c r="A22" s="94" t="s">
        <v>563</v>
      </c>
      <c r="B22" s="94" t="s">
        <v>522</v>
      </c>
      <c r="C22" s="94" t="s">
        <v>523</v>
      </c>
    </row>
    <row r="23" spans="1:3" ht="13.8" customHeight="1">
      <c r="A23" s="94" t="s">
        <v>564</v>
      </c>
      <c r="B23" s="94" t="s">
        <v>520</v>
      </c>
      <c r="C23" s="94" t="s">
        <v>521</v>
      </c>
    </row>
    <row r="24" spans="1:3" ht="13.8" customHeight="1">
      <c r="A24" s="94" t="s">
        <v>564</v>
      </c>
      <c r="B24" s="94" t="s">
        <v>522</v>
      </c>
      <c r="C24" s="94" t="s">
        <v>523</v>
      </c>
    </row>
    <row r="25" spans="1:3" ht="13.8" customHeight="1">
      <c r="A25" s="94" t="s">
        <v>565</v>
      </c>
      <c r="B25" s="94" t="s">
        <v>520</v>
      </c>
      <c r="C25" s="94" t="s">
        <v>521</v>
      </c>
    </row>
    <row r="26" spans="1:3" ht="13.8" customHeight="1">
      <c r="A26" s="94" t="s">
        <v>565</v>
      </c>
      <c r="B26" s="94" t="s">
        <v>522</v>
      </c>
      <c r="C26" s="94" t="s">
        <v>523</v>
      </c>
    </row>
    <row r="27" spans="1:3" ht="13.8" customHeight="1">
      <c r="A27" s="94" t="s">
        <v>566</v>
      </c>
      <c r="B27" s="94" t="s">
        <v>567</v>
      </c>
      <c r="C27" s="94" t="s">
        <v>568</v>
      </c>
    </row>
    <row r="28" spans="1:3" ht="13.8" customHeight="1">
      <c r="A28" s="94" t="s">
        <v>569</v>
      </c>
      <c r="B28" s="94" t="s">
        <v>570</v>
      </c>
      <c r="C28" s="94" t="s">
        <v>571</v>
      </c>
    </row>
    <row r="29" spans="1:3" ht="13.8" customHeight="1">
      <c r="A29" s="94" t="s">
        <v>569</v>
      </c>
      <c r="B29" s="94" t="s">
        <v>572</v>
      </c>
      <c r="C29" s="94" t="s">
        <v>573</v>
      </c>
    </row>
    <row r="30" spans="1:3" ht="13.8" customHeight="1">
      <c r="A30" s="94" t="s">
        <v>569</v>
      </c>
      <c r="B30" s="94" t="s">
        <v>574</v>
      </c>
      <c r="C30" s="94" t="s">
        <v>575</v>
      </c>
    </row>
    <row r="31" spans="1:3" ht="13.8" customHeight="1">
      <c r="A31" s="94" t="s">
        <v>569</v>
      </c>
      <c r="B31" s="94" t="s">
        <v>576</v>
      </c>
      <c r="C31" s="94" t="s">
        <v>577</v>
      </c>
    </row>
    <row r="32" spans="1:3" ht="13.8" customHeight="1">
      <c r="A32" s="94" t="s">
        <v>578</v>
      </c>
      <c r="B32" s="94" t="s">
        <v>534</v>
      </c>
      <c r="C32" s="94" t="s">
        <v>579</v>
      </c>
    </row>
    <row r="33" spans="1:3" ht="13.8" customHeight="1">
      <c r="A33" s="94" t="s">
        <v>578</v>
      </c>
      <c r="B33" s="94" t="s">
        <v>580</v>
      </c>
      <c r="C33" s="94" t="s">
        <v>581</v>
      </c>
    </row>
    <row r="34" spans="1:3" ht="13.8" customHeight="1">
      <c r="A34" s="94" t="s">
        <v>578</v>
      </c>
      <c r="B34" s="94" t="s">
        <v>582</v>
      </c>
      <c r="C34" s="94" t="s">
        <v>583</v>
      </c>
    </row>
    <row r="35" spans="1:3" ht="13.8" customHeight="1">
      <c r="A35" s="94" t="s">
        <v>584</v>
      </c>
      <c r="B35" s="94" t="s">
        <v>585</v>
      </c>
      <c r="C35" s="94" t="s">
        <v>586</v>
      </c>
    </row>
    <row r="36" spans="1:3" ht="13.8" customHeight="1">
      <c r="A36" s="94" t="s">
        <v>584</v>
      </c>
      <c r="B36" s="94" t="s">
        <v>587</v>
      </c>
      <c r="C36" s="94" t="s">
        <v>588</v>
      </c>
    </row>
    <row r="37" spans="1:3" ht="13.8" customHeight="1">
      <c r="A37" s="94" t="s">
        <v>584</v>
      </c>
      <c r="B37" s="94" t="s">
        <v>589</v>
      </c>
      <c r="C37" s="94" t="s">
        <v>590</v>
      </c>
    </row>
    <row r="38" spans="1:3" ht="13.8" customHeight="1">
      <c r="A38" s="94" t="s">
        <v>584</v>
      </c>
      <c r="B38" s="94" t="s">
        <v>582</v>
      </c>
      <c r="C38" s="94" t="s">
        <v>591</v>
      </c>
    </row>
    <row r="39" spans="1:3" ht="13.8" customHeight="1">
      <c r="A39" s="94" t="s">
        <v>584</v>
      </c>
      <c r="B39" s="94" t="s">
        <v>592</v>
      </c>
      <c r="C39" s="94" t="s">
        <v>593</v>
      </c>
    </row>
    <row r="40" spans="1:3" ht="13.8" customHeight="1">
      <c r="A40" s="94" t="s">
        <v>594</v>
      </c>
      <c r="B40" s="94"/>
      <c r="C40" s="94" t="s">
        <v>595</v>
      </c>
    </row>
    <row r="41" spans="1:3" ht="13.8" customHeight="1">
      <c r="A41" s="94" t="s">
        <v>159</v>
      </c>
      <c r="B41" s="94" t="s">
        <v>596</v>
      </c>
      <c r="C41" s="94" t="s">
        <v>597</v>
      </c>
    </row>
    <row r="42" spans="1:3" ht="13.8" customHeight="1">
      <c r="A42" s="94" t="s">
        <v>159</v>
      </c>
      <c r="B42" s="94" t="s">
        <v>520</v>
      </c>
      <c r="C42" s="94" t="s">
        <v>598</v>
      </c>
    </row>
  </sheetData>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29"/>
  <sheetViews>
    <sheetView topLeftCell="G1" workbookViewId="0">
      <selection activeCell="K37" sqref="K37"/>
    </sheetView>
  </sheetViews>
  <sheetFormatPr defaultRowHeight="14.4"/>
  <cols>
    <col min="1" max="1" width="11.21875" style="157" customWidth="1"/>
    <col min="2" max="11" width="12.21875" customWidth="1"/>
  </cols>
  <sheetData>
    <row r="1" spans="1:12" ht="35.4" customHeight="1">
      <c r="A1" s="331" t="s">
        <v>599</v>
      </c>
      <c r="B1" s="332" t="s">
        <v>599</v>
      </c>
      <c r="C1" s="571" t="s">
        <v>600</v>
      </c>
      <c r="D1" s="571"/>
      <c r="E1" s="333" t="s">
        <v>601</v>
      </c>
      <c r="F1" s="333" t="s">
        <v>602</v>
      </c>
      <c r="G1" s="333" t="s">
        <v>603</v>
      </c>
      <c r="H1" s="334" t="s">
        <v>604</v>
      </c>
      <c r="I1" s="333" t="s">
        <v>605</v>
      </c>
      <c r="J1" s="333" t="s">
        <v>606</v>
      </c>
      <c r="K1" s="334" t="s">
        <v>607</v>
      </c>
      <c r="L1" s="335" t="s">
        <v>731</v>
      </c>
    </row>
    <row r="2" spans="1:12" ht="35.4" customHeight="1">
      <c r="A2" s="336" t="s">
        <v>612</v>
      </c>
      <c r="B2" s="325" t="s">
        <v>612</v>
      </c>
      <c r="C2" s="326" t="s">
        <v>718</v>
      </c>
      <c r="D2" s="326" t="s">
        <v>719</v>
      </c>
      <c r="E2" s="326" t="s">
        <v>720</v>
      </c>
      <c r="F2" s="326" t="s">
        <v>721</v>
      </c>
      <c r="G2" s="327"/>
      <c r="H2" s="327" t="s">
        <v>610</v>
      </c>
      <c r="I2" s="326" t="s">
        <v>722</v>
      </c>
      <c r="J2" s="326" t="s">
        <v>723</v>
      </c>
      <c r="K2" s="327" t="s">
        <v>608</v>
      </c>
      <c r="L2" s="337" t="s">
        <v>732</v>
      </c>
    </row>
    <row r="3" spans="1:12" ht="35.4" customHeight="1">
      <c r="A3" s="336" t="s">
        <v>734</v>
      </c>
      <c r="B3" s="325" t="s">
        <v>724</v>
      </c>
      <c r="C3" s="327" t="s">
        <v>609</v>
      </c>
      <c r="D3" s="327" t="s">
        <v>609</v>
      </c>
      <c r="E3" s="326" t="s">
        <v>725</v>
      </c>
      <c r="F3" s="327" t="s">
        <v>726</v>
      </c>
      <c r="G3" s="327" t="s">
        <v>727</v>
      </c>
      <c r="H3" s="326" t="s">
        <v>611</v>
      </c>
      <c r="I3" s="327" t="s">
        <v>728</v>
      </c>
      <c r="J3" s="327" t="s">
        <v>729</v>
      </c>
      <c r="K3" s="327" t="s">
        <v>730</v>
      </c>
      <c r="L3" s="337" t="s">
        <v>733</v>
      </c>
    </row>
    <row r="4" spans="1:12">
      <c r="A4" s="336">
        <f>B4-273</f>
        <v>-23</v>
      </c>
      <c r="B4" s="326">
        <v>250</v>
      </c>
      <c r="C4" s="326">
        <v>1.0031000000000001</v>
      </c>
      <c r="D4" s="326">
        <v>0.71599999999999997</v>
      </c>
      <c r="E4" s="326">
        <v>1.401</v>
      </c>
      <c r="F4" s="326">
        <v>1.599</v>
      </c>
      <c r="G4" s="326">
        <v>2.2269999999999999</v>
      </c>
      <c r="H4" s="326">
        <v>0.72</v>
      </c>
      <c r="I4" s="326">
        <v>1.1319999999999999</v>
      </c>
      <c r="J4" s="326">
        <v>1.4119999999999999</v>
      </c>
      <c r="K4" s="326">
        <v>15.67</v>
      </c>
      <c r="L4" s="337"/>
    </row>
    <row r="5" spans="1:12">
      <c r="A5" s="336">
        <f t="shared" ref="A5:A10" si="0">B5-273</f>
        <v>2</v>
      </c>
      <c r="B5" s="326">
        <v>275</v>
      </c>
      <c r="C5" s="326">
        <v>1.0038</v>
      </c>
      <c r="D5" s="326">
        <v>0.7167</v>
      </c>
      <c r="E5" s="326">
        <v>1.401</v>
      </c>
      <c r="F5" s="326">
        <v>1.7250000000000001</v>
      </c>
      <c r="G5" s="326">
        <v>2.4279999999999999</v>
      </c>
      <c r="H5" s="326">
        <v>0.71299999999999997</v>
      </c>
      <c r="I5" s="326">
        <v>1.343</v>
      </c>
      <c r="J5" s="326">
        <v>1.284</v>
      </c>
      <c r="K5" s="326"/>
      <c r="L5" s="337"/>
    </row>
    <row r="6" spans="1:12">
      <c r="A6" s="336">
        <f t="shared" si="0"/>
        <v>27</v>
      </c>
      <c r="B6" s="326">
        <v>300</v>
      </c>
      <c r="C6" s="326">
        <v>1.0048999999999999</v>
      </c>
      <c r="D6" s="326">
        <v>0.71779999999999999</v>
      </c>
      <c r="E6" s="326">
        <v>1.4</v>
      </c>
      <c r="F6" s="326">
        <v>1.8460000000000001</v>
      </c>
      <c r="G6" s="326">
        <v>2.6240000000000001</v>
      </c>
      <c r="H6" s="326">
        <v>0.70699999999999996</v>
      </c>
      <c r="I6" s="326">
        <v>1.5680000000000001</v>
      </c>
      <c r="J6" s="326">
        <v>1.177</v>
      </c>
      <c r="K6" s="326">
        <v>22.07</v>
      </c>
      <c r="L6" s="337"/>
    </row>
    <row r="7" spans="1:12">
      <c r="A7" s="336">
        <f t="shared" si="0"/>
        <v>52</v>
      </c>
      <c r="B7" s="326">
        <v>325</v>
      </c>
      <c r="C7" s="326">
        <v>1.0063</v>
      </c>
      <c r="D7" s="326">
        <v>0.71919999999999995</v>
      </c>
      <c r="E7" s="326">
        <v>1.4</v>
      </c>
      <c r="F7" s="326">
        <v>1.962</v>
      </c>
      <c r="G7" s="326">
        <v>2.8159999999999998</v>
      </c>
      <c r="H7" s="326">
        <v>0.70099999999999996</v>
      </c>
      <c r="I7" s="326">
        <v>1.8069999999999999</v>
      </c>
      <c r="J7" s="326">
        <v>1.0860000000000001</v>
      </c>
      <c r="K7" s="326"/>
      <c r="L7" s="337"/>
    </row>
    <row r="8" spans="1:12">
      <c r="A8" s="336">
        <f t="shared" si="0"/>
        <v>77</v>
      </c>
      <c r="B8" s="326">
        <v>350</v>
      </c>
      <c r="C8" s="326">
        <v>1.0082</v>
      </c>
      <c r="D8" s="326">
        <v>0.72109999999999996</v>
      </c>
      <c r="E8" s="326">
        <v>1.3979999999999999</v>
      </c>
      <c r="F8" s="326">
        <v>2.0750000000000002</v>
      </c>
      <c r="G8" s="326">
        <v>3.0030000000000001</v>
      </c>
      <c r="H8" s="326">
        <v>0.69699999999999995</v>
      </c>
      <c r="I8" s="326">
        <v>2.056</v>
      </c>
      <c r="J8" s="326">
        <v>1.0089999999999999</v>
      </c>
      <c r="K8" s="326">
        <v>29.18</v>
      </c>
      <c r="L8" s="337"/>
    </row>
    <row r="9" spans="1:12">
      <c r="A9" s="336">
        <f t="shared" si="0"/>
        <v>102</v>
      </c>
      <c r="B9" s="326">
        <v>375</v>
      </c>
      <c r="C9" s="326">
        <v>1.0105999999999999</v>
      </c>
      <c r="D9" s="326">
        <v>0.72350000000000003</v>
      </c>
      <c r="E9" s="326">
        <v>1.397</v>
      </c>
      <c r="F9" s="326">
        <v>2.181</v>
      </c>
      <c r="G9" s="326">
        <v>3.1859999999999999</v>
      </c>
      <c r="H9" s="326">
        <v>0.69199999999999995</v>
      </c>
      <c r="I9" s="326">
        <v>2.3170000000000002</v>
      </c>
      <c r="J9" s="326">
        <v>0.94130000000000003</v>
      </c>
      <c r="K9" s="326"/>
      <c r="L9" s="337"/>
    </row>
    <row r="10" spans="1:12">
      <c r="A10" s="336">
        <f t="shared" si="0"/>
        <v>127</v>
      </c>
      <c r="B10" s="326">
        <v>400</v>
      </c>
      <c r="C10" s="326">
        <v>1.0135000000000001</v>
      </c>
      <c r="D10" s="326">
        <v>0.72640000000000005</v>
      </c>
      <c r="E10" s="326">
        <v>1.395</v>
      </c>
      <c r="F10" s="326">
        <v>2.286</v>
      </c>
      <c r="G10" s="326">
        <v>3.3650000000000002</v>
      </c>
      <c r="H10" s="326">
        <v>0.68799999999999994</v>
      </c>
      <c r="I10" s="326">
        <v>2.5910000000000002</v>
      </c>
      <c r="J10" s="326">
        <v>0.88239999999999996</v>
      </c>
      <c r="K10" s="326">
        <v>36.94</v>
      </c>
      <c r="L10" s="337"/>
    </row>
    <row r="11" spans="1:12">
      <c r="A11" s="338"/>
      <c r="B11" s="328"/>
      <c r="C11" s="328"/>
      <c r="D11" s="328"/>
      <c r="E11" s="328"/>
      <c r="F11" s="328"/>
      <c r="G11" s="328"/>
      <c r="H11" s="328"/>
      <c r="I11" s="328"/>
      <c r="J11" s="328"/>
      <c r="K11" s="328"/>
      <c r="L11" s="339"/>
    </row>
    <row r="12" spans="1:12">
      <c r="A12" s="340">
        <v>-150</v>
      </c>
      <c r="B12" s="329">
        <f>A12+273</f>
        <v>123</v>
      </c>
      <c r="C12" s="324">
        <v>1.026</v>
      </c>
      <c r="D12" s="328"/>
      <c r="E12" s="328"/>
      <c r="F12" s="330">
        <f>I12*J12</f>
        <v>0.86024400000000001</v>
      </c>
      <c r="G12" s="324">
        <v>1.1599999999999999E-2</v>
      </c>
      <c r="H12" s="324">
        <v>0.76</v>
      </c>
      <c r="I12" s="328">
        <v>0.308</v>
      </c>
      <c r="J12" s="324">
        <v>2.7930000000000001</v>
      </c>
      <c r="K12" s="328"/>
      <c r="L12" s="337">
        <v>8.2100000000000009</v>
      </c>
    </row>
    <row r="13" spans="1:12">
      <c r="A13" s="340">
        <v>-100</v>
      </c>
      <c r="B13" s="329">
        <f t="shared" ref="B13:B29" si="1">A13+273</f>
        <v>173</v>
      </c>
      <c r="C13" s="324">
        <v>1.0089999999999999</v>
      </c>
      <c r="D13" s="328"/>
      <c r="E13" s="328"/>
      <c r="F13" s="330">
        <f t="shared" ref="F13:F29" si="2">I13*J13</f>
        <v>1.1780999999999999</v>
      </c>
      <c r="G13" s="324">
        <v>1.6E-2</v>
      </c>
      <c r="H13" s="324">
        <v>0.74</v>
      </c>
      <c r="I13" s="328">
        <v>0.59499999999999997</v>
      </c>
      <c r="J13" s="324">
        <v>1.98</v>
      </c>
      <c r="K13" s="328"/>
      <c r="L13" s="337">
        <v>5.82</v>
      </c>
    </row>
    <row r="14" spans="1:12">
      <c r="A14" s="340">
        <v>-50</v>
      </c>
      <c r="B14" s="329">
        <f t="shared" si="1"/>
        <v>223</v>
      </c>
      <c r="C14" s="324">
        <v>1.0049999999999999</v>
      </c>
      <c r="D14" s="328"/>
      <c r="E14" s="328"/>
      <c r="F14" s="330">
        <f t="shared" si="2"/>
        <v>1.4649700000000001</v>
      </c>
      <c r="G14" s="324">
        <v>2.0400000000000001E-2</v>
      </c>
      <c r="H14" s="324">
        <v>0.72499999999999998</v>
      </c>
      <c r="I14" s="328">
        <v>0.95500000000000007</v>
      </c>
      <c r="J14" s="324">
        <v>1.534</v>
      </c>
      <c r="K14" s="328"/>
      <c r="L14" s="337">
        <v>4.51</v>
      </c>
    </row>
    <row r="15" spans="1:12">
      <c r="A15" s="340">
        <v>0</v>
      </c>
      <c r="B15" s="329">
        <f t="shared" si="1"/>
        <v>273</v>
      </c>
      <c r="C15" s="324">
        <v>1.0049999999999999</v>
      </c>
      <c r="D15" s="328"/>
      <c r="E15" s="328"/>
      <c r="F15" s="330">
        <f t="shared" si="2"/>
        <v>1.7196899999999999</v>
      </c>
      <c r="G15" s="324">
        <v>2.4299999999999999E-2</v>
      </c>
      <c r="H15" s="324">
        <v>0.71499999999999997</v>
      </c>
      <c r="I15" s="328">
        <v>1.33</v>
      </c>
      <c r="J15" s="324">
        <v>1.2929999999999999</v>
      </c>
      <c r="K15" s="328"/>
      <c r="L15" s="337">
        <v>3.67</v>
      </c>
    </row>
    <row r="16" spans="1:12">
      <c r="A16" s="340">
        <v>20</v>
      </c>
      <c r="B16" s="329">
        <f t="shared" si="1"/>
        <v>293</v>
      </c>
      <c r="C16" s="324">
        <v>1.0049999999999999</v>
      </c>
      <c r="D16" s="328"/>
      <c r="E16" s="328"/>
      <c r="F16" s="330">
        <f t="shared" si="2"/>
        <v>1.8207549999999999</v>
      </c>
      <c r="G16" s="324">
        <v>2.5700000000000001E-2</v>
      </c>
      <c r="H16" s="324">
        <v>0.71299999999999997</v>
      </c>
      <c r="I16" s="328">
        <v>1.5109999999999999</v>
      </c>
      <c r="J16" s="324">
        <v>1.2050000000000001</v>
      </c>
      <c r="K16" s="328"/>
      <c r="L16" s="337">
        <v>3.43</v>
      </c>
    </row>
    <row r="17" spans="1:12">
      <c r="A17" s="340">
        <v>40</v>
      </c>
      <c r="B17" s="329">
        <f t="shared" si="1"/>
        <v>313</v>
      </c>
      <c r="C17" s="324">
        <v>1.0049999999999999</v>
      </c>
      <c r="D17" s="328"/>
      <c r="E17" s="328"/>
      <c r="F17" s="330">
        <f t="shared" si="2"/>
        <v>1.9125189999999999</v>
      </c>
      <c r="G17" s="324">
        <v>2.7099999999999999E-2</v>
      </c>
      <c r="H17" s="324">
        <v>0.71099999999999997</v>
      </c>
      <c r="I17" s="328">
        <v>1.6969999999999998</v>
      </c>
      <c r="J17" s="324">
        <v>1.127</v>
      </c>
      <c r="K17" s="328"/>
      <c r="L17" s="337">
        <v>3.2</v>
      </c>
    </row>
    <row r="18" spans="1:12">
      <c r="A18" s="340">
        <v>60</v>
      </c>
      <c r="B18" s="329">
        <f t="shared" si="1"/>
        <v>333</v>
      </c>
      <c r="C18" s="324">
        <v>1.0089999999999999</v>
      </c>
      <c r="D18" s="328"/>
      <c r="E18" s="328"/>
      <c r="F18" s="330">
        <f t="shared" si="2"/>
        <v>2.0166299999999997</v>
      </c>
      <c r="G18" s="324">
        <v>2.8500000000000001E-2</v>
      </c>
      <c r="H18" s="324">
        <v>0.70899999999999996</v>
      </c>
      <c r="I18" s="328">
        <v>1.89</v>
      </c>
      <c r="J18" s="324">
        <v>1.0669999999999999</v>
      </c>
      <c r="K18" s="328"/>
      <c r="L18" s="337">
        <v>3</v>
      </c>
    </row>
    <row r="19" spans="1:12">
      <c r="A19" s="340">
        <v>80</v>
      </c>
      <c r="B19" s="329">
        <f t="shared" si="1"/>
        <v>353</v>
      </c>
      <c r="C19" s="324">
        <v>1.0089999999999999</v>
      </c>
      <c r="D19" s="328"/>
      <c r="E19" s="328"/>
      <c r="F19" s="330">
        <f t="shared" si="2"/>
        <v>2.0940000000000003</v>
      </c>
      <c r="G19" s="324">
        <v>2.9899999999999999E-2</v>
      </c>
      <c r="H19" s="324">
        <v>0.70799999999999996</v>
      </c>
      <c r="I19" s="328">
        <v>2.0940000000000003</v>
      </c>
      <c r="J19" s="324">
        <v>1</v>
      </c>
      <c r="K19" s="328"/>
      <c r="L19" s="337">
        <v>2.83</v>
      </c>
    </row>
    <row r="20" spans="1:12">
      <c r="A20" s="340">
        <v>100</v>
      </c>
      <c r="B20" s="329">
        <f t="shared" si="1"/>
        <v>373</v>
      </c>
      <c r="C20" s="324">
        <v>1.0089999999999999</v>
      </c>
      <c r="D20" s="328"/>
      <c r="E20" s="328"/>
      <c r="F20" s="330">
        <f t="shared" si="2"/>
        <v>2.181476</v>
      </c>
      <c r="G20" s="324">
        <v>3.1399999999999997E-2</v>
      </c>
      <c r="H20" s="324">
        <v>0.70299999999999996</v>
      </c>
      <c r="I20" s="328">
        <v>2.306</v>
      </c>
      <c r="J20" s="324">
        <v>0.94599999999999995</v>
      </c>
      <c r="K20" s="328"/>
      <c r="L20" s="337">
        <v>2.68</v>
      </c>
    </row>
    <row r="21" spans="1:12">
      <c r="A21" s="340">
        <v>120</v>
      </c>
      <c r="B21" s="329">
        <f t="shared" si="1"/>
        <v>393</v>
      </c>
      <c r="C21" s="324">
        <v>1.0129999999999999</v>
      </c>
      <c r="D21" s="328"/>
      <c r="E21" s="328"/>
      <c r="F21" s="330">
        <f t="shared" si="2"/>
        <v>2.2656540000000001</v>
      </c>
      <c r="G21" s="324">
        <v>3.2800000000000003E-2</v>
      </c>
      <c r="H21" s="324">
        <v>0.7</v>
      </c>
      <c r="I21" s="328">
        <v>2.5230000000000001</v>
      </c>
      <c r="J21" s="324">
        <v>0.89800000000000002</v>
      </c>
      <c r="K21" s="328"/>
      <c r="L21" s="337">
        <v>2.5499999999999998</v>
      </c>
    </row>
    <row r="22" spans="1:12">
      <c r="A22" s="340">
        <v>140</v>
      </c>
      <c r="B22" s="329">
        <f t="shared" si="1"/>
        <v>413</v>
      </c>
      <c r="C22" s="324">
        <v>1.0129999999999999</v>
      </c>
      <c r="D22" s="328"/>
      <c r="E22" s="328"/>
      <c r="F22" s="330">
        <f t="shared" si="2"/>
        <v>2.35277</v>
      </c>
      <c r="G22" s="324">
        <v>3.4299999999999997E-2</v>
      </c>
      <c r="H22" s="324">
        <v>0.69499999999999995</v>
      </c>
      <c r="I22" s="328">
        <v>2.7549999999999999</v>
      </c>
      <c r="J22" s="324">
        <v>0.85399999999999998</v>
      </c>
      <c r="K22" s="328"/>
      <c r="L22" s="337">
        <v>2.4300000000000002</v>
      </c>
    </row>
    <row r="23" spans="1:12">
      <c r="A23" s="340">
        <v>160</v>
      </c>
      <c r="B23" s="329">
        <f t="shared" si="1"/>
        <v>433</v>
      </c>
      <c r="C23" s="324">
        <v>1.0169999999999999</v>
      </c>
      <c r="D23" s="328"/>
      <c r="E23" s="328"/>
      <c r="F23" s="330">
        <f t="shared" si="2"/>
        <v>2.4327749999999999</v>
      </c>
      <c r="G23" s="324">
        <v>3.5799999999999998E-2</v>
      </c>
      <c r="H23" s="324">
        <v>0.69</v>
      </c>
      <c r="I23" s="328">
        <v>2.9850000000000003</v>
      </c>
      <c r="J23" s="324">
        <v>0.81499999999999995</v>
      </c>
      <c r="K23" s="328"/>
      <c r="L23" s="337">
        <v>2.3199999999999998</v>
      </c>
    </row>
    <row r="24" spans="1:12">
      <c r="A24" s="340">
        <v>180</v>
      </c>
      <c r="B24" s="329">
        <f t="shared" si="1"/>
        <v>453</v>
      </c>
      <c r="C24" s="324">
        <v>1.022</v>
      </c>
      <c r="D24" s="328"/>
      <c r="E24" s="328"/>
      <c r="F24" s="330">
        <f t="shared" si="2"/>
        <v>2.5153910000000002</v>
      </c>
      <c r="G24" s="324">
        <v>3.7199999999999997E-2</v>
      </c>
      <c r="H24" s="324">
        <v>0.69</v>
      </c>
      <c r="I24" s="328">
        <v>3.2290000000000001</v>
      </c>
      <c r="J24" s="324">
        <v>0.77900000000000003</v>
      </c>
      <c r="K24" s="328"/>
      <c r="L24" s="337">
        <v>2.21</v>
      </c>
    </row>
    <row r="25" spans="1:12">
      <c r="A25" s="340">
        <v>200</v>
      </c>
      <c r="B25" s="329">
        <f t="shared" si="1"/>
        <v>473</v>
      </c>
      <c r="C25" s="324">
        <v>1.026</v>
      </c>
      <c r="D25" s="328"/>
      <c r="E25" s="328"/>
      <c r="F25" s="330">
        <f t="shared" si="2"/>
        <v>2.5833979999999999</v>
      </c>
      <c r="G25" s="324">
        <v>3.8600000000000002E-2</v>
      </c>
      <c r="H25" s="324">
        <v>0.68500000000000005</v>
      </c>
      <c r="I25" s="328">
        <v>3.4630000000000001</v>
      </c>
      <c r="J25" s="324">
        <v>0.746</v>
      </c>
      <c r="K25" s="328"/>
      <c r="L25" s="337">
        <v>2.11</v>
      </c>
    </row>
    <row r="26" spans="1:12">
      <c r="A26" s="340">
        <v>250</v>
      </c>
      <c r="B26" s="329">
        <f t="shared" si="1"/>
        <v>523</v>
      </c>
      <c r="C26" s="324">
        <v>1.034</v>
      </c>
      <c r="D26" s="328"/>
      <c r="E26" s="328"/>
      <c r="F26" s="330">
        <f>I26*J26</f>
        <v>2.778975</v>
      </c>
      <c r="G26" s="324">
        <v>4.2099999999999999E-2</v>
      </c>
      <c r="H26" s="324">
        <v>0.68</v>
      </c>
      <c r="I26" s="328">
        <v>4.117</v>
      </c>
      <c r="J26" s="324">
        <v>0.67500000000000004</v>
      </c>
      <c r="K26" s="328"/>
      <c r="L26" s="337">
        <v>1.91</v>
      </c>
    </row>
    <row r="27" spans="1:12">
      <c r="A27" s="340">
        <v>300</v>
      </c>
      <c r="B27" s="329">
        <f t="shared" si="1"/>
        <v>573</v>
      </c>
      <c r="C27" s="324">
        <v>1.0469999999999999</v>
      </c>
      <c r="D27" s="328"/>
      <c r="E27" s="328"/>
      <c r="F27" s="330">
        <f t="shared" si="2"/>
        <v>2.9475600000000002</v>
      </c>
      <c r="G27" s="324">
        <v>4.5400000000000003E-2</v>
      </c>
      <c r="H27" s="324">
        <v>0.68</v>
      </c>
      <c r="I27" s="328">
        <v>4.7850000000000001</v>
      </c>
      <c r="J27" s="324">
        <v>0.61599999999999999</v>
      </c>
      <c r="K27" s="328"/>
      <c r="L27" s="337">
        <v>1.75</v>
      </c>
    </row>
    <row r="28" spans="1:12">
      <c r="A28" s="340">
        <v>350</v>
      </c>
      <c r="B28" s="329">
        <f t="shared" si="1"/>
        <v>623</v>
      </c>
      <c r="C28" s="324">
        <v>1.0549999999999999</v>
      </c>
      <c r="D28" s="328"/>
      <c r="E28" s="328"/>
      <c r="F28" s="330">
        <f t="shared" si="2"/>
        <v>3.1158299999999994</v>
      </c>
      <c r="G28" s="324">
        <v>4.8500000000000001E-2</v>
      </c>
      <c r="H28" s="324">
        <v>0.68</v>
      </c>
      <c r="I28" s="328">
        <v>5.5049999999999999</v>
      </c>
      <c r="J28" s="324">
        <v>0.56599999999999995</v>
      </c>
      <c r="K28" s="328"/>
      <c r="L28" s="337">
        <v>1.61</v>
      </c>
    </row>
    <row r="29" spans="1:12" ht="15" thickBot="1">
      <c r="A29" s="341">
        <v>400</v>
      </c>
      <c r="B29" s="342">
        <f t="shared" si="1"/>
        <v>673</v>
      </c>
      <c r="C29" s="343">
        <v>1.0680000000000001</v>
      </c>
      <c r="D29" s="344"/>
      <c r="E29" s="344"/>
      <c r="F29" s="345">
        <f t="shared" si="2"/>
        <v>3.2765720000000003</v>
      </c>
      <c r="G29" s="343">
        <v>5.1499999999999997E-2</v>
      </c>
      <c r="H29" s="343">
        <v>0.68</v>
      </c>
      <c r="I29" s="344">
        <v>6.2530000000000001</v>
      </c>
      <c r="J29" s="343">
        <v>0.52400000000000002</v>
      </c>
      <c r="K29" s="344"/>
      <c r="L29" s="346">
        <v>1.49</v>
      </c>
    </row>
  </sheetData>
  <mergeCells count="1">
    <mergeCell ref="C1:D1"/>
  </mergeCells>
  <hyperlinks>
    <hyperlink ref="E1" r:id="rId1" display="http://www.engineeringtoolbox.com/specific-heat-ratio-d_608.html"/>
    <hyperlink ref="F1" r:id="rId2" display="http://www.engineeringtoolbox.com/dynamic-absolute-kinematic-viscosity-d_412.html"/>
    <hyperlink ref="G1" r:id="rId3" display="http://www.engineeringtoolbox.com/conductive-heat-transfer-d_428.html"/>
    <hyperlink ref="I1" r:id="rId4" display="http://www.engineeringtoolbox.com/dynamic-absolute-kinematic-viscosity-d_412.html"/>
    <hyperlink ref="J1" r:id="rId5" display="http://www.engineeringtoolbox.com/density-specific-weight-gravity-d_290.html"/>
    <hyperlink ref="B1" r:id="rId6" display="http://www.engineeringtoolbox.com/temperature-d_291.html"/>
    <hyperlink ref="A1" r:id="rId7" display="http://www.engineeringtoolbox.com/temperature-d_291.html"/>
  </hyperlinks>
  <pageMargins left="0.7" right="0.7" top="0.75" bottom="0.75" header="0.3" footer="0.3"/>
  <pageSetup paperSize="9" orientation="portrait" horizontalDpi="300" verticalDpi="0" copies="0"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vt:i4>
      </vt:variant>
    </vt:vector>
  </HeadingPairs>
  <TitlesOfParts>
    <vt:vector size="32" baseType="lpstr">
      <vt:lpstr>ZONE TOOL</vt:lpstr>
      <vt:lpstr>MOTOR_AC</vt:lpstr>
      <vt:lpstr>MOTOR_WC</vt:lpstr>
      <vt:lpstr>TRFO</vt:lpstr>
      <vt:lpstr>GAS_CLASS</vt:lpstr>
      <vt:lpstr>MOONPOOL</vt:lpstr>
      <vt:lpstr>GAUGES</vt:lpstr>
      <vt:lpstr>Roughness</vt:lpstr>
      <vt:lpstr>AIR_TABLES</vt:lpstr>
      <vt:lpstr>AIR_PROP</vt:lpstr>
      <vt:lpstr>Door_force</vt:lpstr>
      <vt:lpstr>LEAKAGE</vt:lpstr>
      <vt:lpstr>useful websites</vt:lpstr>
      <vt:lpstr>LOUVER</vt:lpstr>
      <vt:lpstr>Pressure_drop</vt:lpstr>
      <vt:lpstr>DoubleWallPipe</vt:lpstr>
      <vt:lpstr>PressureConvert</vt:lpstr>
      <vt:lpstr>Axial_Fan_Size</vt:lpstr>
      <vt:lpstr>SOLAS</vt:lpstr>
      <vt:lpstr>ICLL</vt:lpstr>
      <vt:lpstr>Compartment_heat_up</vt:lpstr>
      <vt:lpstr>Engine_pressure</vt:lpstr>
      <vt:lpstr>Compressor_power</vt:lpstr>
      <vt:lpstr>Hydrogen</vt:lpstr>
      <vt:lpstr>PRESS_CONTROL</vt:lpstr>
      <vt:lpstr>Cargo_rail_openings</vt:lpstr>
      <vt:lpstr>steels</vt:lpstr>
      <vt:lpstr>battery</vt:lpstr>
      <vt:lpstr>coamings</vt:lpstr>
      <vt:lpstr>AIR_PROP!Patm</vt:lpstr>
      <vt:lpstr>AIR_PROP!Print_Area</vt:lpstr>
      <vt:lpstr>units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2016-05-13T13:39:45Z</dcterms:modified>
</cp:coreProperties>
</file>