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na\Desktop\Varie\Hackathon Mantova\App\"/>
    </mc:Choice>
  </mc:AlternateContent>
  <xr:revisionPtr revIDLastSave="0" documentId="13_ncr:1_{32380924-2CC7-4B7D-BFDC-378F94B01481}" xr6:coauthVersionLast="45" xr6:coauthVersionMax="45" xr10:uidLastSave="{00000000-0000-0000-0000-000000000000}"/>
  <bookViews>
    <workbookView xWindow="23880" yWindow="-120" windowWidth="29040" windowHeight="15840" firstSheet="3" activeTab="7" xr2:uid="{648A2684-261E-4C21-8C4B-9FED2E6BDBEA}"/>
  </bookViews>
  <sheets>
    <sheet name="costi" sheetId="1" r:id="rId1"/>
    <sheet name="CO2" sheetId="2" r:id="rId2"/>
    <sheet name="Osmosi inversa" sheetId="5" r:id="rId3"/>
    <sheet name="Osmosi inversa new" sheetId="9" r:id="rId4"/>
    <sheet name="Nanofiltrazione" sheetId="6" r:id="rId5"/>
    <sheet name="Nanofiltrazione new" sheetId="11" r:id="rId6"/>
    <sheet name="soluzioni" sheetId="3" r:id="rId7"/>
    <sheet name="soluzioni (2)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3" l="1"/>
  <c r="G3" i="13"/>
  <c r="G4" i="13" l="1"/>
  <c r="G5" i="13"/>
  <c r="G6" i="13"/>
  <c r="G7" i="13"/>
  <c r="G8" i="13"/>
  <c r="G9" i="13"/>
  <c r="G10" i="13"/>
  <c r="G11" i="13"/>
  <c r="G12" i="13"/>
  <c r="H2" i="13"/>
  <c r="H5" i="13"/>
  <c r="H6" i="13"/>
  <c r="H7" i="13"/>
  <c r="H8" i="13"/>
  <c r="H9" i="13"/>
  <c r="H10" i="13"/>
  <c r="H11" i="13"/>
  <c r="H12" i="13"/>
  <c r="H3" i="13"/>
  <c r="E9" i="11" l="1"/>
  <c r="E3" i="11"/>
  <c r="E3" i="9"/>
  <c r="C3" i="9" s="1"/>
  <c r="E9" i="9"/>
  <c r="C16" i="1" l="1"/>
  <c r="C16" i="11"/>
  <c r="C16" i="9"/>
  <c r="I38" i="5"/>
  <c r="I37" i="5"/>
  <c r="I36" i="5"/>
  <c r="I32" i="5"/>
  <c r="I31" i="5"/>
  <c r="C10" i="11"/>
  <c r="C10" i="9"/>
  <c r="B17" i="6"/>
  <c r="H24" i="6"/>
  <c r="C9" i="1"/>
  <c r="J26" i="5"/>
  <c r="H25" i="5"/>
  <c r="B21" i="5"/>
  <c r="B19" i="5"/>
  <c r="C5" i="11"/>
  <c r="C4" i="11"/>
  <c r="C3" i="11"/>
  <c r="C6" i="9"/>
  <c r="C5" i="9"/>
  <c r="C4" i="9"/>
  <c r="C12" i="9" l="1"/>
  <c r="C6" i="11"/>
  <c r="C12" i="11" s="1"/>
  <c r="E2" i="3"/>
  <c r="B12" i="3"/>
  <c r="B11" i="3"/>
  <c r="B3" i="3"/>
  <c r="B6" i="3" l="1"/>
  <c r="B10" i="3"/>
  <c r="B7" i="3"/>
  <c r="B8" i="3"/>
  <c r="B9" i="3"/>
  <c r="E11" i="5"/>
  <c r="B15" i="2"/>
  <c r="C14" i="1"/>
  <c r="C10" i="1"/>
  <c r="B5" i="3" l="1"/>
  <c r="B4" i="3"/>
  <c r="E11" i="3"/>
  <c r="E4" i="3"/>
  <c r="E12" i="3"/>
  <c r="E10" i="3"/>
  <c r="E7" i="3"/>
  <c r="E9" i="3"/>
  <c r="E3" i="3"/>
  <c r="E8" i="3"/>
  <c r="E5" i="3"/>
  <c r="E6" i="3"/>
  <c r="I30" i="6"/>
  <c r="B17" i="2"/>
  <c r="B8" i="2"/>
  <c r="B6" i="2"/>
  <c r="C22" i="2" s="1"/>
  <c r="L25" i="6"/>
  <c r="J25" i="6"/>
  <c r="J24" i="6"/>
  <c r="L26" i="5"/>
  <c r="L22" i="5"/>
  <c r="B19" i="6"/>
  <c r="A22" i="6" s="1"/>
  <c r="A14" i="6"/>
  <c r="A24" i="5"/>
  <c r="J25" i="5"/>
  <c r="I28" i="5" s="1"/>
  <c r="A16" i="5"/>
  <c r="E10" i="5"/>
  <c r="L24" i="6" l="1"/>
  <c r="N24" i="6" s="1"/>
  <c r="I27" i="6"/>
  <c r="I31" i="6"/>
  <c r="I35" i="6" s="1"/>
  <c r="L25" i="5"/>
  <c r="N25" i="5" s="1"/>
  <c r="K36" i="5"/>
  <c r="C26" i="2"/>
  <c r="C15" i="1"/>
  <c r="E6" i="1"/>
  <c r="G12" i="3" l="1"/>
  <c r="G8" i="3"/>
  <c r="K35" i="6"/>
  <c r="I36" i="6"/>
  <c r="I37" i="6" s="1"/>
  <c r="I38" i="6" s="1"/>
  <c r="I39" i="6" s="1"/>
  <c r="G11" i="3"/>
  <c r="I39" i="5"/>
  <c r="I40" i="5" s="1"/>
  <c r="B19" i="2"/>
  <c r="B18" i="2"/>
  <c r="C2" i="1"/>
  <c r="G6" i="3" l="1"/>
  <c r="G2" i="3"/>
  <c r="F12" i="3" l="1"/>
  <c r="G7" i="3"/>
  <c r="G10" i="3"/>
  <c r="G9" i="3"/>
  <c r="F8" i="3"/>
  <c r="F2" i="3" l="1"/>
  <c r="F6" i="3" l="1"/>
  <c r="G3" i="3"/>
  <c r="F10" i="3"/>
  <c r="F9" i="3"/>
  <c r="F7" i="3"/>
  <c r="F3" i="3"/>
  <c r="G5" i="3" l="1"/>
  <c r="G4" i="3"/>
  <c r="F4" i="3"/>
  <c r="F5" i="3"/>
  <c r="F11" i="3" l="1"/>
</calcChain>
</file>

<file path=xl/sharedStrings.xml><?xml version="1.0" encoding="utf-8"?>
<sst xmlns="http://schemas.openxmlformats.org/spreadsheetml/2006/main" count="277" uniqueCount="123">
  <si>
    <t>t siero</t>
  </si>
  <si>
    <t>impianto tipo</t>
  </si>
  <si>
    <t>mezzi per il trasporto al giorno</t>
  </si>
  <si>
    <t>cent/L</t>
  </si>
  <si>
    <t>€/L</t>
  </si>
  <si>
    <t>prezzo di vendita</t>
  </si>
  <si>
    <t>L/giorno</t>
  </si>
  <si>
    <t>Costo per trasporto</t>
  </si>
  <si>
    <t>€</t>
  </si>
  <si>
    <t>€/ton</t>
  </si>
  <si>
    <t>Entrate per vendita</t>
  </si>
  <si>
    <t>km il percorso medio dei camion</t>
  </si>
  <si>
    <t>diesel</t>
  </si>
  <si>
    <t>emission factor</t>
  </si>
  <si>
    <t>consumo di diesel camion</t>
  </si>
  <si>
    <t xml:space="preserve"> L/100km</t>
  </si>
  <si>
    <t>km percorsi al giorno</t>
  </si>
  <si>
    <t>consumo diesel [L]</t>
  </si>
  <si>
    <t>L/km</t>
  </si>
  <si>
    <t>emission factor diesel</t>
  </si>
  <si>
    <t>t CO2/MWh</t>
  </si>
  <si>
    <t>source</t>
  </si>
  <si>
    <t>https://www.eumayors.eu/IMG/pdf/technical_annex_en.pdf</t>
  </si>
  <si>
    <t>1 Gallon</t>
  </si>
  <si>
    <t>MWh</t>
  </si>
  <si>
    <t>1 L</t>
  </si>
  <si>
    <t>Diesel</t>
  </si>
  <si>
    <t>Gallons</t>
  </si>
  <si>
    <t>consumo diesel [MWh]</t>
  </si>
  <si>
    <t>CO2 emissions [t] per day</t>
  </si>
  <si>
    <t>per year</t>
  </si>
  <si>
    <t>for all plants</t>
  </si>
  <si>
    <t>per un impianto al giorno</t>
  </si>
  <si>
    <t>per un impianto al anno</t>
  </si>
  <si>
    <t>CO2 emission</t>
  </si>
  <si>
    <t>t</t>
  </si>
  <si>
    <t>Soluzione 1</t>
  </si>
  <si>
    <t>Soluzione 2</t>
  </si>
  <si>
    <t>Soluzione 3</t>
  </si>
  <si>
    <t>Soluzione 4</t>
  </si>
  <si>
    <t>Soluzione 5</t>
  </si>
  <si>
    <t>Soluzione 6</t>
  </si>
  <si>
    <t>Descrizione</t>
  </si>
  <si>
    <t>Stato attuale</t>
  </si>
  <si>
    <t>Costo annuale [€]</t>
  </si>
  <si>
    <t>Emissioni di CO2 all'anno [t]</t>
  </si>
  <si>
    <t>Nessuna modifica</t>
  </si>
  <si>
    <t>Azienda</t>
  </si>
  <si>
    <t>http://www.tecna-italy.com/index.php</t>
  </si>
  <si>
    <t>impianti per tutte le dimensioni</t>
  </si>
  <si>
    <t>Info importanti dal doc che ha mandato Anna</t>
  </si>
  <si>
    <t>siero magro</t>
  </si>
  <si>
    <t>volume</t>
  </si>
  <si>
    <t>siero a valle osmosi</t>
  </si>
  <si>
    <t>permeato</t>
  </si>
  <si>
    <t>Il permeato ottenuto con osmosi inversa è un acqua di ottima qualita che puo essere anche riutilizzata in azienda</t>
  </si>
  <si>
    <t>siero a valle ultrafiltrazione</t>
  </si>
  <si>
    <t>L'osmosi inversa rimuove l'acqua dal siero, concentrando 3 volte il volume iniziale</t>
  </si>
  <si>
    <t>permette di raggiungere valori piu elevati di concentrazione rispetto all'osmosi, concentrando 4 volte il volume iniziale</t>
  </si>
  <si>
    <t>La gamma degli IMPIANTI PREASSEMBLATI DI OSMOSI INVERSA copre un'ampia range di portate, da 250 lt/h sino a 50.000 lt/h.</t>
  </si>
  <si>
    <t>a noi ci servirebbe quanto?</t>
  </si>
  <si>
    <t>L/h</t>
  </si>
  <si>
    <t>quindi noi siamo nel mezzo di questi dati</t>
  </si>
  <si>
    <t>http://www.tecna-italy.com/docs/TECNA_brochure_H20_2012_08b_ITA.pdf</t>
  </si>
  <si>
    <t xml:space="preserve">Se gli arrivano </t>
  </si>
  <si>
    <t>avremo</t>
  </si>
  <si>
    <t>siero concentrato</t>
  </si>
  <si>
    <t xml:space="preserve">avremo quindi </t>
  </si>
  <si>
    <t>% in meno di volume da portare con i camion</t>
  </si>
  <si>
    <t>però</t>
  </si>
  <si>
    <t>del permeato cosa si fa?</t>
  </si>
  <si>
    <t>costi trasporto</t>
  </si>
  <si>
    <t>€/giorno</t>
  </si>
  <si>
    <t>€/anno</t>
  </si>
  <si>
    <t>entrate</t>
  </si>
  <si>
    <t>€ risparmio</t>
  </si>
  <si>
    <t>% risparmio</t>
  </si>
  <si>
    <t>prezzo di vendita siero concentrato</t>
  </si>
  <si>
    <t>costi finali di esercizio</t>
  </si>
  <si>
    <t>non usato</t>
  </si>
  <si>
    <t>in termini di costi?</t>
  </si>
  <si>
    <t>in termini di emissioni?</t>
  </si>
  <si>
    <t>km</t>
  </si>
  <si>
    <t>%</t>
  </si>
  <si>
    <t>t/giorno</t>
  </si>
  <si>
    <t>t/anno</t>
  </si>
  <si>
    <t>risparmio</t>
  </si>
  <si>
    <t>€/kWh</t>
  </si>
  <si>
    <t>Osmosi inversa</t>
  </si>
  <si>
    <t>Nanofiltrazione</t>
  </si>
  <si>
    <t>CO2</t>
  </si>
  <si>
    <t>Vita utile</t>
  </si>
  <si>
    <t>Soluzione 7</t>
  </si>
  <si>
    <t>Soluzione 8</t>
  </si>
  <si>
    <t>Soluzione 9</t>
  </si>
  <si>
    <t>Soluzione 10</t>
  </si>
  <si>
    <t>Osmosi</t>
  </si>
  <si>
    <t>Costo investimento</t>
  </si>
  <si>
    <t>Inv</t>
  </si>
  <si>
    <t>C esercizio</t>
  </si>
  <si>
    <t>Costo energia elettrica</t>
  </si>
  <si>
    <t>Costo membrane</t>
  </si>
  <si>
    <t>Costo prodotti chimici</t>
  </si>
  <si>
    <t>tot</t>
  </si>
  <si>
    <t>C trasporto</t>
  </si>
  <si>
    <t>Vendita siero</t>
  </si>
  <si>
    <t>C esercizio tot</t>
  </si>
  <si>
    <t>Vita utile - 25 ANNI</t>
  </si>
  <si>
    <t>Investimento iniziale [€]</t>
  </si>
  <si>
    <t>Descrizione old</t>
  </si>
  <si>
    <t>Recupero calore</t>
  </si>
  <si>
    <t>Recupero calore, PV</t>
  </si>
  <si>
    <t>Recupero calore, PV, PdC</t>
  </si>
  <si>
    <t>Recupero calore, PV, PdC, Osmosi inversa</t>
  </si>
  <si>
    <t>PV, PdC</t>
  </si>
  <si>
    <t>Recupero calore, Osmosi inversa</t>
  </si>
  <si>
    <t>Recupero calore, PV, PdC, Nanofiltrazione</t>
  </si>
  <si>
    <t>Recupero calore, Nanofiltrazione</t>
  </si>
  <si>
    <t>soluzioni</t>
  </si>
  <si>
    <t>Investimento iniziale</t>
  </si>
  <si>
    <t>Costo annuale [€] start</t>
  </si>
  <si>
    <t>Risparmio CO2 [t]</t>
  </si>
  <si>
    <t>Infortuni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</si>
</sst>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11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0" fillId="0" borderId="4" xfId="0" applyBorder="1"/>
    <xf numFmtId="0" fontId="0" fillId="0" borderId="11" xfId="0" applyFill="1" applyBorder="1"/>
    <xf numFmtId="2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0" xfId="0" applyFill="1"/>
    <xf numFmtId="0" fontId="0" fillId="0" borderId="0" xfId="0" applyFill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6</xdr:row>
      <xdr:rowOff>66675</xdr:rowOff>
    </xdr:from>
    <xdr:to>
      <xdr:col>12</xdr:col>
      <xdr:colOff>304492</xdr:colOff>
      <xdr:row>13</xdr:row>
      <xdr:rowOff>75979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9963B-B5AE-4797-B5C4-0E52D5202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3025" y="1209675"/>
          <a:ext cx="2466667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umayors.eu/IMG/pdf/technical_annex_e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8A2E-9EBB-44A1-A995-2526145C3275}">
  <dimension ref="A1:F16"/>
  <sheetViews>
    <sheetView workbookViewId="0">
      <selection activeCell="C5" sqref="C5"/>
    </sheetView>
  </sheetViews>
  <sheetFormatPr defaultRowHeight="15" x14ac:dyDescent="0.25"/>
  <sheetData>
    <row r="1" spans="1:6" x14ac:dyDescent="0.25">
      <c r="A1" t="s">
        <v>1</v>
      </c>
    </row>
    <row r="2" spans="1:6" x14ac:dyDescent="0.25">
      <c r="A2">
        <v>50</v>
      </c>
      <c r="B2" t="s">
        <v>0</v>
      </c>
      <c r="C2">
        <f>50000</f>
        <v>50000</v>
      </c>
      <c r="D2" t="s">
        <v>6</v>
      </c>
    </row>
    <row r="3" spans="1:6" x14ac:dyDescent="0.25">
      <c r="A3">
        <v>2.5</v>
      </c>
      <c r="B3" t="s">
        <v>2</v>
      </c>
    </row>
    <row r="4" spans="1:6" x14ac:dyDescent="0.25">
      <c r="A4">
        <v>65</v>
      </c>
      <c r="B4" t="s">
        <v>11</v>
      </c>
    </row>
    <row r="5" spans="1:6" x14ac:dyDescent="0.25">
      <c r="A5">
        <v>1.5</v>
      </c>
      <c r="B5" t="s">
        <v>3</v>
      </c>
      <c r="C5">
        <v>1.4999999999999999E-2</v>
      </c>
      <c r="D5" t="s">
        <v>4</v>
      </c>
    </row>
    <row r="6" spans="1:6" x14ac:dyDescent="0.25">
      <c r="A6">
        <v>11</v>
      </c>
      <c r="B6" t="s">
        <v>9</v>
      </c>
      <c r="C6" t="s">
        <v>5</v>
      </c>
      <c r="E6">
        <f>A6/1000</f>
        <v>1.0999999999999999E-2</v>
      </c>
      <c r="F6" t="s">
        <v>4</v>
      </c>
    </row>
    <row r="8" spans="1:6" x14ac:dyDescent="0.25">
      <c r="A8" s="34" t="s">
        <v>32</v>
      </c>
      <c r="B8" s="35"/>
      <c r="C8" s="35"/>
      <c r="D8" s="36"/>
    </row>
    <row r="9" spans="1:6" x14ac:dyDescent="0.25">
      <c r="A9" s="33" t="s">
        <v>10</v>
      </c>
      <c r="B9" s="33"/>
      <c r="C9" s="2">
        <f>E6*C2</f>
        <v>550</v>
      </c>
      <c r="D9" s="2" t="s">
        <v>8</v>
      </c>
    </row>
    <row r="10" spans="1:6" x14ac:dyDescent="0.25">
      <c r="A10" s="33" t="s">
        <v>7</v>
      </c>
      <c r="B10" s="33"/>
      <c r="C10" s="2">
        <f>C5*C2</f>
        <v>750</v>
      </c>
      <c r="D10" s="2" t="s">
        <v>8</v>
      </c>
    </row>
    <row r="13" spans="1:6" x14ac:dyDescent="0.25">
      <c r="A13" s="34" t="s">
        <v>33</v>
      </c>
      <c r="B13" s="35"/>
      <c r="C13" s="35"/>
      <c r="D13" s="36"/>
    </row>
    <row r="14" spans="1:6" x14ac:dyDescent="0.25">
      <c r="A14" s="33" t="s">
        <v>10</v>
      </c>
      <c r="B14" s="33"/>
      <c r="C14" s="2">
        <f>E6*C2*365</f>
        <v>200750</v>
      </c>
      <c r="D14" s="2" t="s">
        <v>8</v>
      </c>
    </row>
    <row r="15" spans="1:6" x14ac:dyDescent="0.25">
      <c r="A15" s="33" t="s">
        <v>7</v>
      </c>
      <c r="B15" s="33"/>
      <c r="C15" s="2">
        <f>C5*C2*365</f>
        <v>273750</v>
      </c>
      <c r="D15" s="2" t="s">
        <v>8</v>
      </c>
    </row>
    <row r="16" spans="1:6" x14ac:dyDescent="0.25">
      <c r="C16">
        <f>C15-C14</f>
        <v>73000</v>
      </c>
    </row>
  </sheetData>
  <mergeCells count="6">
    <mergeCell ref="A15:B15"/>
    <mergeCell ref="A9:B9"/>
    <mergeCell ref="A10:B10"/>
    <mergeCell ref="A8:D8"/>
    <mergeCell ref="A13:D13"/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5DA-3A97-4EDD-86DE-C4AA4C053136}">
  <dimension ref="A1:F26"/>
  <sheetViews>
    <sheetView workbookViewId="0">
      <selection activeCell="H22" sqref="H22"/>
    </sheetView>
  </sheetViews>
  <sheetFormatPr defaultRowHeight="15" x14ac:dyDescent="0.25"/>
  <cols>
    <col min="1" max="1" width="24.28515625" bestFit="1" customWidth="1"/>
  </cols>
  <sheetData>
    <row r="1" spans="1:6" x14ac:dyDescent="0.25">
      <c r="B1" t="s">
        <v>12</v>
      </c>
    </row>
    <row r="2" spans="1:6" x14ac:dyDescent="0.25">
      <c r="A2" t="s">
        <v>13</v>
      </c>
    </row>
    <row r="4" spans="1:6" x14ac:dyDescent="0.25">
      <c r="A4" t="s">
        <v>14</v>
      </c>
      <c r="C4">
        <v>35</v>
      </c>
      <c r="D4" t="s">
        <v>15</v>
      </c>
      <c r="E4">
        <v>0.35</v>
      </c>
      <c r="F4" t="s">
        <v>18</v>
      </c>
    </row>
    <row r="6" spans="1:6" x14ac:dyDescent="0.25">
      <c r="A6" t="s">
        <v>16</v>
      </c>
      <c r="B6">
        <f>costi!A4*costi!A3*2</f>
        <v>325</v>
      </c>
    </row>
    <row r="8" spans="1:6" x14ac:dyDescent="0.25">
      <c r="A8" t="s">
        <v>17</v>
      </c>
      <c r="B8">
        <f>E4*B6</f>
        <v>113.74999999999999</v>
      </c>
    </row>
    <row r="10" spans="1:6" x14ac:dyDescent="0.25">
      <c r="A10" t="s">
        <v>19</v>
      </c>
      <c r="B10">
        <v>0.26700000000000002</v>
      </c>
      <c r="C10" t="s">
        <v>20</v>
      </c>
      <c r="E10" t="s">
        <v>21</v>
      </c>
      <c r="F10" s="1" t="s">
        <v>22</v>
      </c>
    </row>
    <row r="12" spans="1:6" x14ac:dyDescent="0.25">
      <c r="A12" t="s">
        <v>23</v>
      </c>
      <c r="B12">
        <v>4.07E-2</v>
      </c>
      <c r="C12" t="s">
        <v>24</v>
      </c>
      <c r="D12" t="s">
        <v>26</v>
      </c>
    </row>
    <row r="13" spans="1:6" x14ac:dyDescent="0.25">
      <c r="A13" t="s">
        <v>25</v>
      </c>
      <c r="B13">
        <v>0.26417200000000002</v>
      </c>
      <c r="C13" t="s">
        <v>27</v>
      </c>
    </row>
    <row r="15" spans="1:6" x14ac:dyDescent="0.25">
      <c r="A15" t="s">
        <v>28</v>
      </c>
      <c r="B15">
        <f>B8*B13*B12</f>
        <v>1.2230172954999998</v>
      </c>
    </row>
    <row r="17" spans="1:4" x14ac:dyDescent="0.25">
      <c r="A17" t="s">
        <v>29</v>
      </c>
      <c r="B17">
        <f>B15*B10</f>
        <v>0.32654561789849995</v>
      </c>
    </row>
    <row r="18" spans="1:4" x14ac:dyDescent="0.25">
      <c r="A18" t="s">
        <v>30</v>
      </c>
      <c r="B18">
        <f>B17*365</f>
        <v>119.18915053295248</v>
      </c>
    </row>
    <row r="19" spans="1:4" x14ac:dyDescent="0.25">
      <c r="A19" t="s">
        <v>31</v>
      </c>
      <c r="B19">
        <f>B18*20</f>
        <v>2383.7830106590495</v>
      </c>
    </row>
    <row r="21" spans="1:4" x14ac:dyDescent="0.25">
      <c r="A21" s="34" t="s">
        <v>32</v>
      </c>
      <c r="B21" s="35"/>
      <c r="C21" s="35"/>
      <c r="D21" s="36"/>
    </row>
    <row r="22" spans="1:4" x14ac:dyDescent="0.25">
      <c r="A22" s="33" t="s">
        <v>34</v>
      </c>
      <c r="B22" s="33"/>
      <c r="C22" s="2">
        <f>B10*B15</f>
        <v>0.32654561789849995</v>
      </c>
      <c r="D22" s="2" t="s">
        <v>35</v>
      </c>
    </row>
    <row r="25" spans="1:4" x14ac:dyDescent="0.25">
      <c r="A25" s="34" t="s">
        <v>33</v>
      </c>
      <c r="B25" s="35"/>
      <c r="C25" s="35"/>
      <c r="D25" s="36"/>
    </row>
    <row r="26" spans="1:4" x14ac:dyDescent="0.25">
      <c r="A26" s="33" t="s">
        <v>34</v>
      </c>
      <c r="B26" s="33"/>
      <c r="C26" s="2">
        <f>C22*365</f>
        <v>119.18915053295248</v>
      </c>
      <c r="D26" s="2" t="s">
        <v>35</v>
      </c>
    </row>
  </sheetData>
  <mergeCells count="4">
    <mergeCell ref="A21:D21"/>
    <mergeCell ref="A22:B22"/>
    <mergeCell ref="A25:D25"/>
    <mergeCell ref="A26:B26"/>
  </mergeCells>
  <hyperlinks>
    <hyperlink ref="F10" r:id="rId1" xr:uid="{6C428DA9-A9C0-45C0-B6F2-FF7AB48AB2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7C8C-652F-4A13-BA69-F9F1ECA79FF9}">
  <dimension ref="A1:O40"/>
  <sheetViews>
    <sheetView topLeftCell="A4" workbookViewId="0">
      <selection activeCell="A16" sqref="A16"/>
    </sheetView>
  </sheetViews>
  <sheetFormatPr defaultRowHeight="15" x14ac:dyDescent="0.25"/>
  <sheetData>
    <row r="1" spans="1:14" x14ac:dyDescent="0.25">
      <c r="A1" t="s">
        <v>47</v>
      </c>
      <c r="B1" t="s">
        <v>48</v>
      </c>
    </row>
    <row r="2" spans="1:14" x14ac:dyDescent="0.25">
      <c r="A2" t="s">
        <v>50</v>
      </c>
    </row>
    <row r="4" spans="1:14" x14ac:dyDescent="0.25">
      <c r="A4" s="39" t="s">
        <v>49</v>
      </c>
      <c r="B4" s="39"/>
      <c r="C4" s="39"/>
      <c r="D4" s="39"/>
    </row>
    <row r="5" spans="1:14" ht="15" customHeight="1" x14ac:dyDescent="0.25">
      <c r="A5" s="40" t="s">
        <v>57</v>
      </c>
      <c r="B5" s="40"/>
      <c r="C5" s="40"/>
      <c r="D5" s="40"/>
      <c r="F5" t="s">
        <v>51</v>
      </c>
      <c r="G5" t="s">
        <v>53</v>
      </c>
      <c r="H5" t="s">
        <v>54</v>
      </c>
    </row>
    <row r="6" spans="1:14" x14ac:dyDescent="0.25">
      <c r="A6" s="40"/>
      <c r="B6" s="40"/>
      <c r="C6" s="40"/>
      <c r="D6" s="40"/>
      <c r="E6" t="s">
        <v>52</v>
      </c>
      <c r="F6">
        <v>100</v>
      </c>
      <c r="G6">
        <v>32.4</v>
      </c>
      <c r="H6">
        <v>67.599999999999994</v>
      </c>
    </row>
    <row r="7" spans="1:14" x14ac:dyDescent="0.25">
      <c r="A7" s="40"/>
      <c r="B7" s="40"/>
      <c r="C7" s="40"/>
      <c r="D7" s="40"/>
    </row>
    <row r="8" spans="1:14" ht="48.75" customHeight="1" x14ac:dyDescent="0.25">
      <c r="A8" s="41" t="s">
        <v>55</v>
      </c>
      <c r="B8" s="41"/>
      <c r="C8" s="41"/>
      <c r="D8" s="41"/>
    </row>
    <row r="9" spans="1:14" ht="15" customHeight="1" x14ac:dyDescent="0.25">
      <c r="A9" s="42" t="s">
        <v>59</v>
      </c>
      <c r="B9" s="42"/>
      <c r="C9" s="42"/>
      <c r="D9" s="42"/>
      <c r="E9" t="s">
        <v>60</v>
      </c>
    </row>
    <row r="10" spans="1:14" x14ac:dyDescent="0.25">
      <c r="A10" s="42"/>
      <c r="B10" s="42"/>
      <c r="C10" s="42"/>
      <c r="D10" s="42"/>
      <c r="E10">
        <f>50000</f>
        <v>50000</v>
      </c>
      <c r="F10" t="s">
        <v>6</v>
      </c>
    </row>
    <row r="11" spans="1:14" x14ac:dyDescent="0.25">
      <c r="A11" s="42"/>
      <c r="B11" s="42"/>
      <c r="C11" s="42"/>
      <c r="D11" s="42"/>
      <c r="E11">
        <f>E10/24</f>
        <v>2083.3333333333335</v>
      </c>
      <c r="F11" t="s">
        <v>61</v>
      </c>
      <c r="N11" t="s">
        <v>63</v>
      </c>
    </row>
    <row r="12" spans="1:14" x14ac:dyDescent="0.25">
      <c r="A12" s="42"/>
      <c r="B12" s="42"/>
      <c r="C12" s="42"/>
      <c r="D12" s="42"/>
      <c r="E12" t="s">
        <v>62</v>
      </c>
    </row>
    <row r="15" spans="1:14" x14ac:dyDescent="0.25">
      <c r="A15" t="s">
        <v>64</v>
      </c>
    </row>
    <row r="16" spans="1:14" x14ac:dyDescent="0.25">
      <c r="A16">
        <f>50000</f>
        <v>50000</v>
      </c>
      <c r="B16" t="s">
        <v>6</v>
      </c>
    </row>
    <row r="17" spans="1:15" x14ac:dyDescent="0.25">
      <c r="A17" t="s">
        <v>65</v>
      </c>
    </row>
    <row r="18" spans="1:15" x14ac:dyDescent="0.25">
      <c r="B18" t="s">
        <v>66</v>
      </c>
    </row>
    <row r="19" spans="1:15" x14ac:dyDescent="0.25">
      <c r="B19">
        <f>G6/F6*A16</f>
        <v>16200</v>
      </c>
      <c r="C19" t="s">
        <v>6</v>
      </c>
    </row>
    <row r="20" spans="1:15" x14ac:dyDescent="0.25">
      <c r="B20" t="s">
        <v>54</v>
      </c>
    </row>
    <row r="21" spans="1:15" x14ac:dyDescent="0.25">
      <c r="B21">
        <f>A16*H6/F6</f>
        <v>33799.999999999993</v>
      </c>
      <c r="C21" t="s">
        <v>6</v>
      </c>
      <c r="H21" s="3"/>
      <c r="I21" s="4"/>
      <c r="J21" s="4"/>
      <c r="K21" s="4"/>
      <c r="L21" s="4"/>
      <c r="M21" s="4"/>
      <c r="N21" s="4"/>
      <c r="O21" s="5"/>
    </row>
    <row r="22" spans="1:15" x14ac:dyDescent="0.25">
      <c r="H22" s="6" t="s">
        <v>77</v>
      </c>
      <c r="I22" s="7"/>
      <c r="J22" s="7"/>
      <c r="K22" s="7"/>
      <c r="L22" s="7">
        <f>costi!E6*(1+'Osmosi inversa'!H6/100)</f>
        <v>1.8435999999999998E-2</v>
      </c>
      <c r="M22" s="7"/>
      <c r="N22" s="7" t="s">
        <v>79</v>
      </c>
      <c r="O22" s="8"/>
    </row>
    <row r="23" spans="1:15" x14ac:dyDescent="0.25">
      <c r="A23" t="s">
        <v>67</v>
      </c>
      <c r="H23" s="9"/>
      <c r="I23" s="10"/>
      <c r="J23" s="10"/>
      <c r="K23" s="10"/>
      <c r="L23" s="10"/>
      <c r="M23" s="10"/>
      <c r="N23" s="10"/>
      <c r="O23" s="11"/>
    </row>
    <row r="24" spans="1:15" x14ac:dyDescent="0.25">
      <c r="A24">
        <f>B21/A16*100</f>
        <v>67.59999999999998</v>
      </c>
      <c r="B24" t="s">
        <v>68</v>
      </c>
      <c r="G24" s="13" t="s">
        <v>80</v>
      </c>
      <c r="H24" s="14"/>
      <c r="I24" s="4"/>
      <c r="J24" s="4"/>
      <c r="K24" s="4"/>
      <c r="L24" s="4"/>
      <c r="M24" s="4"/>
      <c r="N24" s="4"/>
      <c r="O24" s="5"/>
    </row>
    <row r="25" spans="1:15" x14ac:dyDescent="0.25">
      <c r="A25" t="s">
        <v>69</v>
      </c>
      <c r="G25" s="6" t="s">
        <v>71</v>
      </c>
      <c r="H25" s="7">
        <f>costi!C5*'Osmosi inversa'!B19</f>
        <v>243</v>
      </c>
      <c r="I25" s="7" t="s">
        <v>72</v>
      </c>
      <c r="J25" s="7">
        <f>H25*365</f>
        <v>88695</v>
      </c>
      <c r="K25" s="7" t="s">
        <v>73</v>
      </c>
      <c r="L25" s="7">
        <f>costi!C15-'Osmosi inversa'!J25</f>
        <v>185055</v>
      </c>
      <c r="M25" s="7" t="s">
        <v>75</v>
      </c>
      <c r="N25" s="7">
        <f>L25/costi!C15*100</f>
        <v>67.600000000000009</v>
      </c>
      <c r="O25" s="8" t="s">
        <v>76</v>
      </c>
    </row>
    <row r="26" spans="1:15" x14ac:dyDescent="0.25">
      <c r="A26" t="s">
        <v>70</v>
      </c>
      <c r="G26" s="6" t="s">
        <v>74</v>
      </c>
      <c r="H26" s="7">
        <v>550</v>
      </c>
      <c r="I26" s="7" t="s">
        <v>72</v>
      </c>
      <c r="J26" s="7">
        <f>H26*365</f>
        <v>200750</v>
      </c>
      <c r="K26" s="7" t="s">
        <v>73</v>
      </c>
      <c r="L26" s="7">
        <f>costi!C14-'Osmosi inversa'!J26</f>
        <v>0</v>
      </c>
      <c r="M26" s="7" t="s">
        <v>75</v>
      </c>
      <c r="N26" s="7"/>
      <c r="O26" s="8"/>
    </row>
    <row r="27" spans="1:15" x14ac:dyDescent="0.25">
      <c r="G27" s="6"/>
      <c r="H27" s="7"/>
      <c r="I27" s="7"/>
      <c r="J27" s="7"/>
      <c r="K27" s="7"/>
      <c r="L27" s="7"/>
      <c r="M27" s="7"/>
      <c r="N27" s="7"/>
      <c r="O27" s="8"/>
    </row>
    <row r="28" spans="1:15" x14ac:dyDescent="0.25">
      <c r="G28" s="15" t="s">
        <v>78</v>
      </c>
      <c r="H28" s="16"/>
      <c r="I28" s="17">
        <f>J25-J26</f>
        <v>-112055</v>
      </c>
      <c r="J28" s="18" t="s">
        <v>73</v>
      </c>
      <c r="K28" s="10"/>
      <c r="L28" s="10"/>
      <c r="M28" s="10"/>
      <c r="N28" s="10"/>
      <c r="O28" s="11"/>
    </row>
    <row r="29" spans="1:15" x14ac:dyDescent="0.25">
      <c r="G29" s="13" t="s">
        <v>81</v>
      </c>
      <c r="H29" s="14"/>
      <c r="I29" s="4"/>
      <c r="J29" s="4"/>
      <c r="K29" s="4"/>
      <c r="L29" s="4"/>
      <c r="M29" s="4"/>
      <c r="N29" s="4"/>
      <c r="O29" s="5"/>
    </row>
    <row r="30" spans="1:15" x14ac:dyDescent="0.25">
      <c r="G30" s="6" t="s">
        <v>14</v>
      </c>
      <c r="H30" s="7"/>
      <c r="I30" s="7">
        <v>35</v>
      </c>
      <c r="J30" s="7" t="s">
        <v>15</v>
      </c>
      <c r="K30" s="7">
        <v>0.35</v>
      </c>
      <c r="L30" s="7" t="s">
        <v>18</v>
      </c>
      <c r="M30" s="7"/>
      <c r="N30" s="7"/>
      <c r="O30" s="8"/>
    </row>
    <row r="31" spans="1:15" x14ac:dyDescent="0.25">
      <c r="G31" s="6" t="s">
        <v>16</v>
      </c>
      <c r="H31" s="7"/>
      <c r="I31" s="7">
        <f>'CO2'!B6*'Osmosi inversa'!G6/100</f>
        <v>105.3</v>
      </c>
      <c r="J31" s="7" t="s">
        <v>82</v>
      </c>
      <c r="K31" s="7"/>
      <c r="L31" s="7"/>
      <c r="M31" s="7"/>
      <c r="N31" s="7"/>
      <c r="O31" s="8"/>
    </row>
    <row r="32" spans="1:15" x14ac:dyDescent="0.25">
      <c r="G32" s="6" t="s">
        <v>17</v>
      </c>
      <c r="H32" s="7"/>
      <c r="I32" s="7">
        <f>I31*K30</f>
        <v>36.854999999999997</v>
      </c>
      <c r="J32" s="7"/>
      <c r="K32" s="7"/>
      <c r="L32" s="7"/>
      <c r="M32" s="7"/>
      <c r="N32" s="7"/>
      <c r="O32" s="8"/>
    </row>
    <row r="33" spans="7:15" x14ac:dyDescent="0.25">
      <c r="G33" s="6" t="s">
        <v>19</v>
      </c>
      <c r="H33" s="7"/>
      <c r="I33" s="7">
        <v>0.26700000000000002</v>
      </c>
      <c r="J33" s="7" t="s">
        <v>20</v>
      </c>
      <c r="K33" s="7"/>
      <c r="L33" s="7"/>
      <c r="M33" s="7"/>
      <c r="N33" s="7"/>
      <c r="O33" s="8"/>
    </row>
    <row r="34" spans="7:15" x14ac:dyDescent="0.25">
      <c r="G34" s="37" t="s">
        <v>23</v>
      </c>
      <c r="H34" s="38"/>
      <c r="I34" s="7">
        <v>4.07E-2</v>
      </c>
      <c r="J34" s="7" t="s">
        <v>24</v>
      </c>
      <c r="K34" s="7" t="s">
        <v>26</v>
      </c>
      <c r="L34" s="7"/>
      <c r="M34" s="7"/>
      <c r="N34" s="7"/>
      <c r="O34" s="8"/>
    </row>
    <row r="35" spans="7:15" x14ac:dyDescent="0.25">
      <c r="G35" s="37" t="s">
        <v>25</v>
      </c>
      <c r="H35" s="38"/>
      <c r="I35" s="7">
        <v>0.26417200000000002</v>
      </c>
      <c r="J35" s="7" t="s">
        <v>27</v>
      </c>
      <c r="K35" s="7"/>
      <c r="L35" s="7"/>
      <c r="M35" s="7"/>
      <c r="N35" s="7"/>
      <c r="O35" s="8"/>
    </row>
    <row r="36" spans="7:15" x14ac:dyDescent="0.25">
      <c r="G36" s="6" t="s">
        <v>28</v>
      </c>
      <c r="H36" s="7"/>
      <c r="I36" s="7">
        <f>I35*I34*I32</f>
        <v>0.39625760374199998</v>
      </c>
      <c r="J36" s="7" t="s">
        <v>24</v>
      </c>
      <c r="K36" s="7">
        <f>I36/'CO2'!B15*100</f>
        <v>32.4</v>
      </c>
      <c r="L36" s="7" t="s">
        <v>83</v>
      </c>
      <c r="M36" s="7"/>
      <c r="N36" s="7"/>
      <c r="O36" s="8"/>
    </row>
    <row r="37" spans="7:15" x14ac:dyDescent="0.25">
      <c r="G37" s="37" t="s">
        <v>34</v>
      </c>
      <c r="H37" s="38"/>
      <c r="I37" s="7">
        <f>I36*I33</f>
        <v>0.105800780199114</v>
      </c>
      <c r="J37" s="7" t="s">
        <v>84</v>
      </c>
      <c r="K37" s="7"/>
      <c r="L37" s="7"/>
      <c r="M37" s="7"/>
      <c r="N37" s="7"/>
      <c r="O37" s="8"/>
    </row>
    <row r="38" spans="7:15" x14ac:dyDescent="0.25">
      <c r="G38" s="34" t="s">
        <v>34</v>
      </c>
      <c r="H38" s="35"/>
      <c r="I38" s="17">
        <f>I37*365</f>
        <v>38.617284772676612</v>
      </c>
      <c r="J38" s="18" t="s">
        <v>85</v>
      </c>
      <c r="K38" s="7"/>
      <c r="L38" s="7"/>
      <c r="M38" s="7"/>
      <c r="N38" s="7"/>
      <c r="O38" s="8"/>
    </row>
    <row r="39" spans="7:15" x14ac:dyDescent="0.25">
      <c r="G39" s="6" t="s">
        <v>86</v>
      </c>
      <c r="H39" s="7"/>
      <c r="I39" s="7">
        <f>'CO2'!C26-'Osmosi inversa'!I38</f>
        <v>80.57186576027587</v>
      </c>
      <c r="J39" s="4" t="s">
        <v>85</v>
      </c>
      <c r="K39" s="7"/>
      <c r="L39" s="7"/>
      <c r="M39" s="7"/>
      <c r="N39" s="7"/>
      <c r="O39" s="8"/>
    </row>
    <row r="40" spans="7:15" x14ac:dyDescent="0.25">
      <c r="G40" s="9" t="s">
        <v>86</v>
      </c>
      <c r="H40" s="10"/>
      <c r="I40" s="10">
        <f>I39/'CO2'!C26*100</f>
        <v>67.599999999999994</v>
      </c>
      <c r="J40" s="19" t="s">
        <v>83</v>
      </c>
      <c r="K40" s="10"/>
      <c r="L40" s="10"/>
      <c r="M40" s="10"/>
      <c r="N40" s="10"/>
      <c r="O40" s="11"/>
    </row>
  </sheetData>
  <mergeCells count="8">
    <mergeCell ref="G34:H34"/>
    <mergeCell ref="G35:H35"/>
    <mergeCell ref="G37:H37"/>
    <mergeCell ref="G38:H38"/>
    <mergeCell ref="A4:D4"/>
    <mergeCell ref="A5:D7"/>
    <mergeCell ref="A8:D8"/>
    <mergeCell ref="A9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4202-EFB0-4FCA-9EB4-1D4A4CA3F2D2}">
  <dimension ref="A1:F16"/>
  <sheetViews>
    <sheetView workbookViewId="0">
      <selection activeCell="E3" sqref="E3"/>
    </sheetView>
  </sheetViews>
  <sheetFormatPr defaultRowHeight="15" x14ac:dyDescent="0.25"/>
  <cols>
    <col min="1" max="1" width="12.85546875" bestFit="1" customWidth="1"/>
    <col min="2" max="2" width="21.42578125" bestFit="1" customWidth="1"/>
  </cols>
  <sheetData>
    <row r="1" spans="1:6" ht="15.75" thickBot="1" x14ac:dyDescent="0.3">
      <c r="C1" t="s">
        <v>96</v>
      </c>
    </row>
    <row r="2" spans="1:6" ht="15.75" thickBot="1" x14ac:dyDescent="0.3">
      <c r="A2" s="30" t="s">
        <v>98</v>
      </c>
      <c r="B2" s="31" t="s">
        <v>97</v>
      </c>
      <c r="C2" s="32">
        <v>205000</v>
      </c>
      <c r="D2" t="s">
        <v>8</v>
      </c>
    </row>
    <row r="3" spans="1:6" x14ac:dyDescent="0.25">
      <c r="A3" s="43" t="s">
        <v>99</v>
      </c>
      <c r="B3" s="21" t="s">
        <v>100</v>
      </c>
      <c r="C3" s="22" t="e">
        <f>40*10*E3*365</f>
        <v>#REF!</v>
      </c>
      <c r="D3" t="s">
        <v>73</v>
      </c>
      <c r="E3" t="e">
        <f>#REF!</f>
        <v>#REF!</v>
      </c>
      <c r="F3" t="s">
        <v>87</v>
      </c>
    </row>
    <row r="4" spans="1:6" x14ac:dyDescent="0.25">
      <c r="A4" s="44"/>
      <c r="B4" s="7" t="s">
        <v>101</v>
      </c>
      <c r="C4" s="23">
        <f>70*365</f>
        <v>25550</v>
      </c>
      <c r="D4" t="s">
        <v>73</v>
      </c>
    </row>
    <row r="5" spans="1:6" ht="15.75" thickBot="1" x14ac:dyDescent="0.3">
      <c r="A5" s="45"/>
      <c r="B5" s="24" t="s">
        <v>102</v>
      </c>
      <c r="C5" s="25">
        <f>35*365</f>
        <v>12775</v>
      </c>
      <c r="D5" t="s">
        <v>73</v>
      </c>
    </row>
    <row r="6" spans="1:6" x14ac:dyDescent="0.25">
      <c r="B6" s="27" t="s">
        <v>103</v>
      </c>
      <c r="C6" t="e">
        <f>SUM(C3:C5)</f>
        <v>#REF!</v>
      </c>
      <c r="D6" t="s">
        <v>73</v>
      </c>
    </row>
    <row r="8" spans="1:6" x14ac:dyDescent="0.25">
      <c r="A8" t="s">
        <v>104</v>
      </c>
      <c r="B8" t="s">
        <v>104</v>
      </c>
      <c r="C8">
        <v>88695</v>
      </c>
      <c r="D8" t="s">
        <v>73</v>
      </c>
    </row>
    <row r="9" spans="1:6" x14ac:dyDescent="0.25">
      <c r="E9">
        <f>C10-C8</f>
        <v>165563.99999999997</v>
      </c>
    </row>
    <row r="10" spans="1:6" x14ac:dyDescent="0.25">
      <c r="A10" t="s">
        <v>105</v>
      </c>
      <c r="B10" t="s">
        <v>105</v>
      </c>
      <c r="C10">
        <f>0.043*'Osmosi inversa'!B19*365</f>
        <v>254258.99999999997</v>
      </c>
      <c r="D10" t="s">
        <v>73</v>
      </c>
    </row>
    <row r="11" spans="1:6" ht="15.75" thickBot="1" x14ac:dyDescent="0.3"/>
    <row r="12" spans="1:6" ht="15.75" thickBot="1" x14ac:dyDescent="0.3">
      <c r="B12" t="s">
        <v>106</v>
      </c>
      <c r="C12" s="30" t="e">
        <f>C6+C8-C10</f>
        <v>#REF!</v>
      </c>
      <c r="D12" s="32" t="s">
        <v>73</v>
      </c>
    </row>
    <row r="15" spans="1:6" ht="15.75" thickBot="1" x14ac:dyDescent="0.3"/>
    <row r="16" spans="1:6" ht="15.75" thickBot="1" x14ac:dyDescent="0.3">
      <c r="A16" s="30" t="s">
        <v>90</v>
      </c>
      <c r="B16" s="31"/>
      <c r="C16" s="32">
        <f>'Osmosi inversa'!I38</f>
        <v>38.617284772676612</v>
      </c>
      <c r="D16" t="s">
        <v>85</v>
      </c>
    </row>
  </sheetData>
  <mergeCells count="1">
    <mergeCell ref="A3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B4AD-CD2C-4638-B27C-6006EF0A50B0}">
  <dimension ref="A1:O39"/>
  <sheetViews>
    <sheetView workbookViewId="0">
      <selection activeCell="J24" sqref="J24"/>
    </sheetView>
  </sheetViews>
  <sheetFormatPr defaultRowHeight="15" x14ac:dyDescent="0.25"/>
  <sheetData>
    <row r="1" spans="1:8" x14ac:dyDescent="0.25">
      <c r="A1" t="s">
        <v>47</v>
      </c>
      <c r="B1" t="s">
        <v>48</v>
      </c>
    </row>
    <row r="2" spans="1:8" x14ac:dyDescent="0.25">
      <c r="A2" t="s">
        <v>50</v>
      </c>
    </row>
    <row r="4" spans="1:8" x14ac:dyDescent="0.25">
      <c r="A4" s="39" t="s">
        <v>49</v>
      </c>
      <c r="B4" s="39"/>
      <c r="C4" s="39"/>
      <c r="D4" s="39"/>
    </row>
    <row r="5" spans="1:8" x14ac:dyDescent="0.25">
      <c r="A5" s="40" t="s">
        <v>58</v>
      </c>
      <c r="B5" s="40"/>
      <c r="C5" s="40"/>
      <c r="D5" s="40"/>
      <c r="F5" t="s">
        <v>51</v>
      </c>
      <c r="G5" t="s">
        <v>56</v>
      </c>
      <c r="H5" t="s">
        <v>54</v>
      </c>
    </row>
    <row r="6" spans="1:8" x14ac:dyDescent="0.25">
      <c r="A6" s="40"/>
      <c r="B6" s="40"/>
      <c r="C6" s="40"/>
      <c r="D6" s="40"/>
      <c r="E6" t="s">
        <v>52</v>
      </c>
      <c r="F6">
        <v>100</v>
      </c>
      <c r="G6">
        <v>24</v>
      </c>
      <c r="H6">
        <v>76</v>
      </c>
    </row>
    <row r="7" spans="1:8" ht="28.5" customHeight="1" x14ac:dyDescent="0.25">
      <c r="A7" s="40"/>
      <c r="B7" s="40"/>
      <c r="C7" s="40"/>
      <c r="D7" s="40"/>
    </row>
    <row r="8" spans="1:8" x14ac:dyDescent="0.25">
      <c r="A8" s="41"/>
      <c r="B8" s="41"/>
      <c r="C8" s="41"/>
      <c r="D8" s="41"/>
    </row>
    <row r="13" spans="1:8" x14ac:dyDescent="0.25">
      <c r="A13" t="s">
        <v>64</v>
      </c>
    </row>
    <row r="14" spans="1:8" x14ac:dyDescent="0.25">
      <c r="A14">
        <f>50000</f>
        <v>50000</v>
      </c>
      <c r="B14" t="s">
        <v>6</v>
      </c>
    </row>
    <row r="15" spans="1:8" x14ac:dyDescent="0.25">
      <c r="A15" t="s">
        <v>65</v>
      </c>
    </row>
    <row r="16" spans="1:8" x14ac:dyDescent="0.25">
      <c r="B16" t="s">
        <v>66</v>
      </c>
    </row>
    <row r="17" spans="1:15" x14ac:dyDescent="0.25">
      <c r="B17">
        <f>G6/F6*A14</f>
        <v>12000</v>
      </c>
      <c r="C17" t="s">
        <v>6</v>
      </c>
    </row>
    <row r="18" spans="1:15" x14ac:dyDescent="0.25">
      <c r="B18" t="s">
        <v>54</v>
      </c>
    </row>
    <row r="19" spans="1:15" x14ac:dyDescent="0.25">
      <c r="B19">
        <f>A14*H6/F6</f>
        <v>38000</v>
      </c>
      <c r="C19" t="s">
        <v>6</v>
      </c>
    </row>
    <row r="21" spans="1:15" x14ac:dyDescent="0.25">
      <c r="A21" t="s">
        <v>67</v>
      </c>
    </row>
    <row r="22" spans="1:15" x14ac:dyDescent="0.25">
      <c r="A22">
        <f>B19/A14*100</f>
        <v>76</v>
      </c>
      <c r="B22" t="s">
        <v>68</v>
      </c>
    </row>
    <row r="23" spans="1:15" x14ac:dyDescent="0.25">
      <c r="A23" t="s">
        <v>69</v>
      </c>
      <c r="G23" s="3" t="s">
        <v>80</v>
      </c>
      <c r="H23" s="4"/>
      <c r="I23" s="4"/>
      <c r="J23" s="4"/>
      <c r="K23" s="4"/>
      <c r="L23" s="4"/>
      <c r="M23" s="4"/>
      <c r="N23" s="4"/>
      <c r="O23" s="5"/>
    </row>
    <row r="24" spans="1:15" x14ac:dyDescent="0.25">
      <c r="A24" t="s">
        <v>70</v>
      </c>
      <c r="G24" s="6" t="s">
        <v>71</v>
      </c>
      <c r="H24" s="7">
        <f>costi!C5*Nanofiltrazione!B17</f>
        <v>180</v>
      </c>
      <c r="I24" s="7" t="s">
        <v>72</v>
      </c>
      <c r="J24" s="7">
        <f>H24*365</f>
        <v>65700</v>
      </c>
      <c r="K24" s="7" t="s">
        <v>73</v>
      </c>
      <c r="L24" s="7">
        <f>costi!C15-Nanofiltrazione!J24</f>
        <v>208050</v>
      </c>
      <c r="M24" s="7" t="s">
        <v>75</v>
      </c>
      <c r="N24" s="7">
        <f>L24/costi!C15*100</f>
        <v>76</v>
      </c>
      <c r="O24" s="8" t="s">
        <v>76</v>
      </c>
    </row>
    <row r="25" spans="1:15" x14ac:dyDescent="0.25">
      <c r="G25" s="6" t="s">
        <v>74</v>
      </c>
      <c r="H25" s="7">
        <v>550</v>
      </c>
      <c r="I25" s="7" t="s">
        <v>72</v>
      </c>
      <c r="J25" s="7">
        <f>H25*365</f>
        <v>200750</v>
      </c>
      <c r="K25" s="7" t="s">
        <v>73</v>
      </c>
      <c r="L25" s="7">
        <f>costi!C14-Nanofiltrazione!J25</f>
        <v>0</v>
      </c>
      <c r="M25" s="7" t="s">
        <v>75</v>
      </c>
      <c r="N25" s="7"/>
      <c r="O25" s="8"/>
    </row>
    <row r="26" spans="1:15" x14ac:dyDescent="0.25">
      <c r="G26" s="6"/>
      <c r="H26" s="7"/>
      <c r="I26" s="7"/>
      <c r="J26" s="7"/>
      <c r="K26" s="7"/>
      <c r="L26" s="7"/>
      <c r="M26" s="7"/>
      <c r="N26" s="7"/>
      <c r="O26" s="8"/>
    </row>
    <row r="27" spans="1:15" x14ac:dyDescent="0.25">
      <c r="G27" s="9" t="s">
        <v>78</v>
      </c>
      <c r="H27" s="10"/>
      <c r="I27" s="12">
        <f>J24-J25</f>
        <v>-135050</v>
      </c>
      <c r="J27" s="10" t="s">
        <v>73</v>
      </c>
      <c r="K27" s="10"/>
      <c r="L27" s="10"/>
      <c r="M27" s="10"/>
      <c r="N27" s="10"/>
      <c r="O27" s="11"/>
    </row>
    <row r="28" spans="1:15" x14ac:dyDescent="0.25">
      <c r="G28" s="13" t="s">
        <v>81</v>
      </c>
      <c r="H28" s="14"/>
      <c r="I28" s="4"/>
      <c r="J28" s="4"/>
      <c r="K28" s="4"/>
      <c r="L28" s="4"/>
      <c r="M28" s="4"/>
      <c r="N28" s="4"/>
      <c r="O28" s="5"/>
    </row>
    <row r="29" spans="1:15" x14ac:dyDescent="0.25">
      <c r="G29" s="6" t="s">
        <v>14</v>
      </c>
      <c r="H29" s="7"/>
      <c r="I29" s="7">
        <v>35</v>
      </c>
      <c r="J29" s="7" t="s">
        <v>15</v>
      </c>
      <c r="K29" s="7">
        <v>0.35</v>
      </c>
      <c r="L29" s="7" t="s">
        <v>18</v>
      </c>
      <c r="M29" s="7"/>
      <c r="N29" s="7"/>
      <c r="O29" s="8"/>
    </row>
    <row r="30" spans="1:15" x14ac:dyDescent="0.25">
      <c r="G30" s="6" t="s">
        <v>16</v>
      </c>
      <c r="H30" s="7"/>
      <c r="I30" s="7">
        <f>'CO2'!B6*Nanofiltrazione!G6/100</f>
        <v>78</v>
      </c>
      <c r="J30" s="7" t="s">
        <v>82</v>
      </c>
      <c r="K30" s="7"/>
      <c r="L30" s="7"/>
      <c r="M30" s="7"/>
      <c r="N30" s="7"/>
      <c r="O30" s="8"/>
    </row>
    <row r="31" spans="1:15" x14ac:dyDescent="0.25">
      <c r="G31" s="6" t="s">
        <v>17</v>
      </c>
      <c r="H31" s="7"/>
      <c r="I31" s="7">
        <f>I30*K29</f>
        <v>27.299999999999997</v>
      </c>
      <c r="J31" s="7"/>
      <c r="K31" s="7"/>
      <c r="L31" s="7"/>
      <c r="M31" s="7"/>
      <c r="N31" s="7"/>
      <c r="O31" s="8"/>
    </row>
    <row r="32" spans="1:15" x14ac:dyDescent="0.25">
      <c r="G32" s="6" t="s">
        <v>19</v>
      </c>
      <c r="H32" s="7"/>
      <c r="I32" s="7">
        <v>0.26700000000000002</v>
      </c>
      <c r="J32" s="7" t="s">
        <v>20</v>
      </c>
      <c r="K32" s="7"/>
      <c r="L32" s="7"/>
      <c r="M32" s="7"/>
      <c r="N32" s="7"/>
      <c r="O32" s="8"/>
    </row>
    <row r="33" spans="7:15" x14ac:dyDescent="0.25">
      <c r="G33" s="37" t="s">
        <v>23</v>
      </c>
      <c r="H33" s="38"/>
      <c r="I33" s="7">
        <v>4.07E-2</v>
      </c>
      <c r="J33" s="7" t="s">
        <v>24</v>
      </c>
      <c r="K33" s="7" t="s">
        <v>26</v>
      </c>
      <c r="L33" s="7"/>
      <c r="M33" s="7"/>
      <c r="N33" s="7"/>
      <c r="O33" s="8"/>
    </row>
    <row r="34" spans="7:15" x14ac:dyDescent="0.25">
      <c r="G34" s="37" t="s">
        <v>25</v>
      </c>
      <c r="H34" s="38"/>
      <c r="I34" s="7">
        <v>0.26417200000000002</v>
      </c>
      <c r="J34" s="7" t="s">
        <v>27</v>
      </c>
      <c r="K34" s="7"/>
      <c r="L34" s="7"/>
      <c r="M34" s="7"/>
      <c r="N34" s="7"/>
      <c r="O34" s="8"/>
    </row>
    <row r="35" spans="7:15" x14ac:dyDescent="0.25">
      <c r="G35" s="6" t="s">
        <v>28</v>
      </c>
      <c r="H35" s="7"/>
      <c r="I35" s="7">
        <f>I34*I33*I31</f>
        <v>0.29352415092</v>
      </c>
      <c r="J35" s="7" t="s">
        <v>24</v>
      </c>
      <c r="K35" s="7" t="e">
        <f>I35/'CO2'!B14*100</f>
        <v>#DIV/0!</v>
      </c>
      <c r="L35" s="7" t="s">
        <v>83</v>
      </c>
      <c r="M35" s="7"/>
      <c r="N35" s="7"/>
      <c r="O35" s="8"/>
    </row>
    <row r="36" spans="7:15" x14ac:dyDescent="0.25">
      <c r="G36" s="37" t="s">
        <v>34</v>
      </c>
      <c r="H36" s="38"/>
      <c r="I36" s="7">
        <f>I35*I32</f>
        <v>7.8370948295640008E-2</v>
      </c>
      <c r="J36" s="7" t="s">
        <v>84</v>
      </c>
      <c r="K36" s="7"/>
      <c r="L36" s="7"/>
      <c r="M36" s="7"/>
      <c r="N36" s="7"/>
      <c r="O36" s="8"/>
    </row>
    <row r="37" spans="7:15" x14ac:dyDescent="0.25">
      <c r="G37" s="34" t="s">
        <v>34</v>
      </c>
      <c r="H37" s="35"/>
      <c r="I37" s="17">
        <f>I36*365</f>
        <v>28.605396127908602</v>
      </c>
      <c r="J37" s="18" t="s">
        <v>85</v>
      </c>
      <c r="K37" s="7"/>
      <c r="L37" s="7"/>
      <c r="M37" s="7"/>
      <c r="N37" s="7"/>
      <c r="O37" s="8"/>
    </row>
    <row r="38" spans="7:15" x14ac:dyDescent="0.25">
      <c r="G38" s="6" t="s">
        <v>86</v>
      </c>
      <c r="H38" s="7"/>
      <c r="I38" s="7">
        <f>'CO2'!C26-Nanofiltrazione!I37</f>
        <v>90.583754405043877</v>
      </c>
      <c r="J38" s="4" t="s">
        <v>85</v>
      </c>
      <c r="K38" s="7"/>
      <c r="L38" s="7"/>
      <c r="M38" s="7"/>
      <c r="N38" s="7"/>
      <c r="O38" s="8"/>
    </row>
    <row r="39" spans="7:15" x14ac:dyDescent="0.25">
      <c r="G39" s="9" t="s">
        <v>86</v>
      </c>
      <c r="H39" s="10"/>
      <c r="I39" s="10">
        <f>I38/'CO2'!C26*100</f>
        <v>75.999999999999986</v>
      </c>
      <c r="J39" s="19" t="s">
        <v>83</v>
      </c>
      <c r="K39" s="10"/>
      <c r="L39" s="10"/>
      <c r="M39" s="10"/>
      <c r="N39" s="10"/>
      <c r="O39" s="11"/>
    </row>
  </sheetData>
  <mergeCells count="7">
    <mergeCell ref="G37:H37"/>
    <mergeCell ref="A4:D4"/>
    <mergeCell ref="A5:D7"/>
    <mergeCell ref="A8:D8"/>
    <mergeCell ref="G33:H33"/>
    <mergeCell ref="G34:H34"/>
    <mergeCell ref="G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4EFF-ADB4-4050-B0E0-4916454DDB0B}">
  <dimension ref="A1:F16"/>
  <sheetViews>
    <sheetView workbookViewId="0">
      <selection activeCell="E9" sqref="E9"/>
    </sheetView>
  </sheetViews>
  <sheetFormatPr defaultRowHeight="15" x14ac:dyDescent="0.25"/>
  <cols>
    <col min="1" max="1" width="10.42578125" bestFit="1" customWidth="1"/>
    <col min="2" max="2" width="21.42578125" bestFit="1" customWidth="1"/>
  </cols>
  <sheetData>
    <row r="1" spans="1:6" ht="15.75" thickBot="1" x14ac:dyDescent="0.3">
      <c r="C1" t="s">
        <v>96</v>
      </c>
    </row>
    <row r="2" spans="1:6" ht="15.75" thickBot="1" x14ac:dyDescent="0.3">
      <c r="A2" s="30" t="s">
        <v>98</v>
      </c>
      <c r="B2" s="31" t="s">
        <v>97</v>
      </c>
      <c r="C2" s="32">
        <v>220000</v>
      </c>
      <c r="D2" t="s">
        <v>8</v>
      </c>
    </row>
    <row r="3" spans="1:6" x14ac:dyDescent="0.25">
      <c r="A3" s="43" t="s">
        <v>99</v>
      </c>
      <c r="B3" s="21" t="s">
        <v>100</v>
      </c>
      <c r="C3" s="22" t="e">
        <f>40*10*E3*365</f>
        <v>#REF!</v>
      </c>
      <c r="D3" t="s">
        <v>73</v>
      </c>
      <c r="E3" t="e">
        <f>#REF!</f>
        <v>#REF!</v>
      </c>
      <c r="F3" t="s">
        <v>87</v>
      </c>
    </row>
    <row r="4" spans="1:6" x14ac:dyDescent="0.25">
      <c r="A4" s="44"/>
      <c r="B4" s="7" t="s">
        <v>101</v>
      </c>
      <c r="C4" s="23">
        <f>70*365</f>
        <v>25550</v>
      </c>
      <c r="D4" t="s">
        <v>73</v>
      </c>
    </row>
    <row r="5" spans="1:6" ht="15.75" thickBot="1" x14ac:dyDescent="0.3">
      <c r="A5" s="45"/>
      <c r="B5" s="24" t="s">
        <v>102</v>
      </c>
      <c r="C5" s="25">
        <f>35*365</f>
        <v>12775</v>
      </c>
      <c r="D5" t="s">
        <v>73</v>
      </c>
    </row>
    <row r="6" spans="1:6" x14ac:dyDescent="0.25">
      <c r="B6" s="27" t="s">
        <v>103</v>
      </c>
      <c r="C6" t="e">
        <f>SUM(C3:C5)</f>
        <v>#REF!</v>
      </c>
      <c r="D6" t="s">
        <v>73</v>
      </c>
    </row>
    <row r="8" spans="1:6" x14ac:dyDescent="0.25">
      <c r="A8" t="s">
        <v>104</v>
      </c>
      <c r="B8" t="s">
        <v>104</v>
      </c>
      <c r="C8">
        <v>65700</v>
      </c>
      <c r="D8" t="s">
        <v>73</v>
      </c>
    </row>
    <row r="9" spans="1:6" x14ac:dyDescent="0.25">
      <c r="E9">
        <f>C10-C8</f>
        <v>153300</v>
      </c>
    </row>
    <row r="10" spans="1:6" x14ac:dyDescent="0.25">
      <c r="A10" t="s">
        <v>105</v>
      </c>
      <c r="B10" t="s">
        <v>105</v>
      </c>
      <c r="C10">
        <f>0.05*Nanofiltrazione!B17*365</f>
        <v>219000</v>
      </c>
      <c r="D10" t="s">
        <v>73</v>
      </c>
    </row>
    <row r="11" spans="1:6" ht="15.75" thickBot="1" x14ac:dyDescent="0.3"/>
    <row r="12" spans="1:6" ht="15.75" thickBot="1" x14ac:dyDescent="0.3">
      <c r="B12" t="s">
        <v>106</v>
      </c>
      <c r="C12" s="30" t="e">
        <f>C6+C8-C10</f>
        <v>#REF!</v>
      </c>
      <c r="D12" s="32" t="s">
        <v>73</v>
      </c>
    </row>
    <row r="15" spans="1:6" ht="15.75" thickBot="1" x14ac:dyDescent="0.3"/>
    <row r="16" spans="1:6" ht="15.75" thickBot="1" x14ac:dyDescent="0.3">
      <c r="A16" s="30" t="s">
        <v>90</v>
      </c>
      <c r="B16" s="31"/>
      <c r="C16" s="32">
        <f>Nanofiltrazione!I37</f>
        <v>28.605396127908602</v>
      </c>
      <c r="D16" t="s">
        <v>85</v>
      </c>
    </row>
  </sheetData>
  <mergeCells count="1">
    <mergeCell ref="A3:A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0C99-35B2-4D11-8904-C5103991B253}">
  <dimension ref="A1:H21"/>
  <sheetViews>
    <sheetView workbookViewId="0">
      <selection activeCell="G12" sqref="A1:G12"/>
    </sheetView>
  </sheetViews>
  <sheetFormatPr defaultRowHeight="15" x14ac:dyDescent="0.25"/>
  <cols>
    <col min="1" max="1" width="12.28515625" bestFit="1" customWidth="1"/>
    <col min="2" max="2" width="35.5703125" bestFit="1" customWidth="1"/>
    <col min="3" max="3" width="39" bestFit="1" customWidth="1"/>
    <col min="4" max="4" width="15.85546875" customWidth="1"/>
    <col min="5" max="5" width="20" bestFit="1" customWidth="1"/>
    <col min="6" max="6" width="16.5703125" bestFit="1" customWidth="1"/>
    <col min="7" max="7" width="26.140625" bestFit="1" customWidth="1"/>
  </cols>
  <sheetData>
    <row r="1" spans="1:8" x14ac:dyDescent="0.25">
      <c r="B1" t="s">
        <v>109</v>
      </c>
      <c r="C1" t="s">
        <v>42</v>
      </c>
      <c r="D1" t="s">
        <v>107</v>
      </c>
      <c r="E1" t="s">
        <v>108</v>
      </c>
      <c r="F1" t="s">
        <v>44</v>
      </c>
      <c r="G1" t="s">
        <v>45</v>
      </c>
    </row>
    <row r="2" spans="1:8" x14ac:dyDescent="0.25">
      <c r="A2" t="s">
        <v>43</v>
      </c>
      <c r="B2" t="s">
        <v>46</v>
      </c>
      <c r="C2" t="s">
        <v>46</v>
      </c>
      <c r="D2" s="26">
        <v>25</v>
      </c>
      <c r="E2" s="28" t="e">
        <f>#REF!</f>
        <v>#REF!</v>
      </c>
      <c r="F2" s="28" t="e">
        <f>#REF!+#REF!</f>
        <v>#REF!</v>
      </c>
      <c r="G2" s="29" t="e">
        <f>#REF!</f>
        <v>#REF!</v>
      </c>
    </row>
    <row r="3" spans="1:8" x14ac:dyDescent="0.25">
      <c r="A3" t="s">
        <v>36</v>
      </c>
      <c r="B3" t="e">
        <f>#REF!</f>
        <v>#REF!</v>
      </c>
      <c r="C3" t="s">
        <v>110</v>
      </c>
      <c r="D3" s="26">
        <v>25</v>
      </c>
      <c r="E3" s="28" t="e">
        <f>#REF!</f>
        <v>#REF!</v>
      </c>
      <c r="F3" s="28" t="e">
        <f>#REF!+#REF!</f>
        <v>#REF!</v>
      </c>
      <c r="G3" s="29" t="e">
        <f>#REF!</f>
        <v>#REF!</v>
      </c>
    </row>
    <row r="4" spans="1:8" x14ac:dyDescent="0.25">
      <c r="A4" t="s">
        <v>37</v>
      </c>
      <c r="B4" t="e">
        <f>#REF!</f>
        <v>#REF!</v>
      </c>
      <c r="C4" t="s">
        <v>111</v>
      </c>
      <c r="D4" s="26">
        <v>25</v>
      </c>
      <c r="E4" s="28" t="e">
        <f>#REF!</f>
        <v>#REF!</v>
      </c>
      <c r="F4" s="28" t="e">
        <f>#REF!+#REF!</f>
        <v>#REF!</v>
      </c>
      <c r="G4" s="29" t="e">
        <f>#REF!</f>
        <v>#REF!</v>
      </c>
    </row>
    <row r="5" spans="1:8" x14ac:dyDescent="0.25">
      <c r="A5" t="s">
        <v>38</v>
      </c>
      <c r="B5" t="e">
        <f>#REF!</f>
        <v>#REF!</v>
      </c>
      <c r="C5" t="s">
        <v>112</v>
      </c>
      <c r="D5" s="26">
        <v>25</v>
      </c>
      <c r="E5" s="28" t="e">
        <f>#REF!</f>
        <v>#REF!</v>
      </c>
      <c r="F5" s="28" t="e">
        <f>#REF!+#REF!</f>
        <v>#REF!</v>
      </c>
      <c r="G5" s="29" t="e">
        <f>#REF!</f>
        <v>#REF!</v>
      </c>
    </row>
    <row r="6" spans="1:8" x14ac:dyDescent="0.25">
      <c r="A6" t="s">
        <v>39</v>
      </c>
      <c r="B6" t="e">
        <f>#REF!</f>
        <v>#REF!</v>
      </c>
      <c r="C6" t="s">
        <v>114</v>
      </c>
      <c r="D6" s="26">
        <v>25</v>
      </c>
      <c r="E6" s="28" t="e">
        <f>#REF!</f>
        <v>#REF!</v>
      </c>
      <c r="F6" s="28" t="e">
        <f>#REF!+#REF!</f>
        <v>#REF!</v>
      </c>
      <c r="G6" s="29" t="e">
        <f>#REF!</f>
        <v>#REF!</v>
      </c>
    </row>
    <row r="7" spans="1:8" x14ac:dyDescent="0.25">
      <c r="A7" t="s">
        <v>40</v>
      </c>
      <c r="B7" t="e">
        <f>#REF!</f>
        <v>#REF!</v>
      </c>
      <c r="C7" t="s">
        <v>113</v>
      </c>
      <c r="D7" s="26">
        <v>25</v>
      </c>
      <c r="E7" s="28" t="e">
        <f>#REF!</f>
        <v>#REF!</v>
      </c>
      <c r="F7" s="28" t="e">
        <f>#REF!+#REF!</f>
        <v>#REF!</v>
      </c>
      <c r="G7" s="29" t="e">
        <f>#REF!</f>
        <v>#REF!</v>
      </c>
    </row>
    <row r="8" spans="1:8" x14ac:dyDescent="0.25">
      <c r="A8" t="s">
        <v>41</v>
      </c>
      <c r="B8" t="e">
        <f>#REF!</f>
        <v>#REF!</v>
      </c>
      <c r="C8" t="s">
        <v>88</v>
      </c>
      <c r="D8" s="26">
        <v>25</v>
      </c>
      <c r="E8" s="28" t="e">
        <f>#REF!</f>
        <v>#REF!</v>
      </c>
      <c r="F8" s="28" t="e">
        <f>#REF!+#REF!</f>
        <v>#REF!</v>
      </c>
      <c r="G8" s="29" t="e">
        <f>#REF!</f>
        <v>#REF!</v>
      </c>
    </row>
    <row r="9" spans="1:8" x14ac:dyDescent="0.25">
      <c r="A9" t="s">
        <v>92</v>
      </c>
      <c r="B9" t="e">
        <f>#REF!</f>
        <v>#REF!</v>
      </c>
      <c r="C9" t="s">
        <v>115</v>
      </c>
      <c r="D9" s="26">
        <v>25</v>
      </c>
      <c r="E9" s="28" t="e">
        <f>#REF!</f>
        <v>#REF!</v>
      </c>
      <c r="F9" s="28" t="e">
        <f>#REF!+#REF!</f>
        <v>#REF!</v>
      </c>
      <c r="G9" s="29" t="e">
        <f>#REF!</f>
        <v>#REF!</v>
      </c>
    </row>
    <row r="10" spans="1:8" x14ac:dyDescent="0.25">
      <c r="A10" t="s">
        <v>93</v>
      </c>
      <c r="B10" t="e">
        <f>#REF!</f>
        <v>#REF!</v>
      </c>
      <c r="C10" t="s">
        <v>116</v>
      </c>
      <c r="D10" s="26">
        <v>25</v>
      </c>
      <c r="E10" s="28" t="e">
        <f>#REF!</f>
        <v>#REF!</v>
      </c>
      <c r="F10" s="28" t="e">
        <f>#REF!+#REF!</f>
        <v>#REF!</v>
      </c>
      <c r="G10" s="29" t="e">
        <f>#REF!</f>
        <v>#REF!</v>
      </c>
    </row>
    <row r="11" spans="1:8" x14ac:dyDescent="0.25">
      <c r="A11" t="s">
        <v>94</v>
      </c>
      <c r="B11" t="e">
        <f>#REF!</f>
        <v>#REF!</v>
      </c>
      <c r="C11" t="s">
        <v>117</v>
      </c>
      <c r="D11" s="26">
        <v>25</v>
      </c>
      <c r="E11" s="28" t="e">
        <f>#REF!</f>
        <v>#REF!</v>
      </c>
      <c r="F11" s="28" t="e">
        <f>#REF!+#REF!</f>
        <v>#REF!</v>
      </c>
      <c r="G11" s="29" t="e">
        <f>#REF!</f>
        <v>#REF!</v>
      </c>
    </row>
    <row r="12" spans="1:8" x14ac:dyDescent="0.25">
      <c r="A12" t="s">
        <v>95</v>
      </c>
      <c r="B12" t="e">
        <f>#REF!</f>
        <v>#REF!</v>
      </c>
      <c r="C12" t="s">
        <v>89</v>
      </c>
      <c r="D12" s="26">
        <v>25</v>
      </c>
      <c r="E12" s="28" t="e">
        <f>#REF!</f>
        <v>#REF!</v>
      </c>
      <c r="F12" s="28" t="e">
        <f>#REF!+#REF!</f>
        <v>#REF!</v>
      </c>
      <c r="G12" s="29" t="e">
        <f>#REF!</f>
        <v>#REF!</v>
      </c>
      <c r="H12" s="28"/>
    </row>
    <row r="13" spans="1:8" x14ac:dyDescent="0.25">
      <c r="D13" s="26"/>
    </row>
    <row r="14" spans="1:8" x14ac:dyDescent="0.25">
      <c r="D14" s="26"/>
      <c r="E14" s="28"/>
      <c r="F14" s="28"/>
      <c r="G14" s="29"/>
    </row>
    <row r="16" spans="1:8" x14ac:dyDescent="0.25">
      <c r="G16" s="20"/>
    </row>
    <row r="18" spans="7:7" x14ac:dyDescent="0.25">
      <c r="G18" s="20"/>
    </row>
    <row r="20" spans="7:7" x14ac:dyDescent="0.25">
      <c r="G20" s="20"/>
    </row>
    <row r="21" spans="7:7" x14ac:dyDescent="0.25">
      <c r="G21" s="20"/>
    </row>
  </sheetData>
  <phoneticPr fontId="2" type="noConversion"/>
  <conditionalFormatting sqref="G2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B34-F20C-4FF8-A826-8A7E9884F3FE}">
  <dimension ref="A1:I12"/>
  <sheetViews>
    <sheetView tabSelected="1" workbookViewId="0">
      <selection activeCell="L13" sqref="L13"/>
    </sheetView>
  </sheetViews>
  <sheetFormatPr defaultRowHeight="15" x14ac:dyDescent="0.25"/>
  <cols>
    <col min="1" max="1" width="12.28515625" bestFit="1" customWidth="1"/>
    <col min="2" max="2" width="39" bestFit="1" customWidth="1"/>
    <col min="3" max="3" width="15.85546875" customWidth="1"/>
    <col min="4" max="4" width="20" bestFit="1" customWidth="1"/>
    <col min="5" max="5" width="16.5703125" bestFit="1" customWidth="1"/>
    <col min="6" max="6" width="26.140625" bestFit="1" customWidth="1"/>
    <col min="7" max="7" width="20.28515625" bestFit="1" customWidth="1"/>
  </cols>
  <sheetData>
    <row r="1" spans="1:9" x14ac:dyDescent="0.25">
      <c r="A1" t="s">
        <v>118</v>
      </c>
      <c r="B1" t="s">
        <v>42</v>
      </c>
      <c r="C1" t="s">
        <v>91</v>
      </c>
      <c r="D1" t="s">
        <v>119</v>
      </c>
      <c r="E1" t="s">
        <v>120</v>
      </c>
      <c r="F1" t="s">
        <v>45</v>
      </c>
      <c r="G1" t="s">
        <v>44</v>
      </c>
      <c r="H1" t="s">
        <v>121</v>
      </c>
      <c r="I1" t="s">
        <v>122</v>
      </c>
    </row>
    <row r="2" spans="1:9" x14ac:dyDescent="0.25">
      <c r="A2" t="s">
        <v>43</v>
      </c>
      <c r="B2" t="s">
        <v>46</v>
      </c>
      <c r="C2" s="26">
        <v>25</v>
      </c>
      <c r="D2" s="28">
        <v>0</v>
      </c>
      <c r="E2" s="28">
        <v>227607.91666666663</v>
      </c>
      <c r="F2" s="29">
        <v>484.16664219961916</v>
      </c>
      <c r="G2" s="28">
        <v>0</v>
      </c>
      <c r="H2" s="28">
        <f>0</f>
        <v>0</v>
      </c>
      <c r="I2" s="28">
        <v>0</v>
      </c>
    </row>
    <row r="3" spans="1:9" x14ac:dyDescent="0.25">
      <c r="A3" t="s">
        <v>36</v>
      </c>
      <c r="B3" t="s">
        <v>88</v>
      </c>
      <c r="C3" s="26">
        <v>25</v>
      </c>
      <c r="D3" s="28">
        <v>341666.66666666663</v>
      </c>
      <c r="E3" s="28">
        <v>49268.91666666657</v>
      </c>
      <c r="F3" s="29">
        <v>403.59477643934332</v>
      </c>
      <c r="G3" s="28">
        <f>E3-$E$2</f>
        <v>-178339.00000000006</v>
      </c>
      <c r="H3" s="28">
        <f>$F$2-F3</f>
        <v>80.571865760275841</v>
      </c>
      <c r="I3">
        <v>-67.599999999999994</v>
      </c>
    </row>
    <row r="4" spans="1:9" x14ac:dyDescent="0.25">
      <c r="A4" t="s">
        <v>37</v>
      </c>
      <c r="B4" t="s">
        <v>89</v>
      </c>
      <c r="C4" s="26">
        <v>25</v>
      </c>
      <c r="D4" s="28">
        <v>366666.66666666663</v>
      </c>
      <c r="E4" s="28">
        <v>61532.916666666657</v>
      </c>
      <c r="F4" s="29">
        <v>393.58288779457524</v>
      </c>
      <c r="G4" s="28">
        <f t="shared" ref="G4:G12" si="0">E4-$E$2</f>
        <v>-166074.99999999997</v>
      </c>
      <c r="H4" s="28">
        <f>$F$2-F4</f>
        <v>90.583754405043919</v>
      </c>
      <c r="I4">
        <v>-76</v>
      </c>
    </row>
    <row r="5" spans="1:9" x14ac:dyDescent="0.25">
      <c r="A5" t="s">
        <v>38</v>
      </c>
      <c r="B5" t="s">
        <v>110</v>
      </c>
      <c r="C5" s="26">
        <v>25</v>
      </c>
      <c r="D5" s="28">
        <v>166666.66666666666</v>
      </c>
      <c r="E5" s="28">
        <v>145397.421875</v>
      </c>
      <c r="F5" s="29">
        <v>316.08144272045246</v>
      </c>
      <c r="G5" s="28">
        <f t="shared" si="0"/>
        <v>-82210.494791666628</v>
      </c>
      <c r="H5" s="28">
        <f t="shared" ref="H4:H12" si="1">$F$2-F5</f>
        <v>168.0851994791667</v>
      </c>
      <c r="I5" s="28">
        <v>0</v>
      </c>
    </row>
    <row r="6" spans="1:9" x14ac:dyDescent="0.25">
      <c r="A6" t="s">
        <v>39</v>
      </c>
      <c r="B6" t="s">
        <v>115</v>
      </c>
      <c r="C6" s="26">
        <v>25</v>
      </c>
      <c r="D6" s="28">
        <v>508333.33333333326</v>
      </c>
      <c r="E6" s="28">
        <v>-32941.578125000087</v>
      </c>
      <c r="F6" s="29">
        <v>235.50957696017662</v>
      </c>
      <c r="G6" s="28">
        <f t="shared" si="0"/>
        <v>-260549.49479166672</v>
      </c>
      <c r="H6" s="28">
        <f t="shared" si="1"/>
        <v>248.65706523944255</v>
      </c>
      <c r="I6">
        <v>-67.599999999999994</v>
      </c>
    </row>
    <row r="7" spans="1:9" x14ac:dyDescent="0.25">
      <c r="A7" t="s">
        <v>40</v>
      </c>
      <c r="B7" t="s">
        <v>117</v>
      </c>
      <c r="C7" s="26">
        <v>25</v>
      </c>
      <c r="D7" s="28">
        <v>533333.33333333326</v>
      </c>
      <c r="E7" s="28">
        <v>-20677.578125</v>
      </c>
      <c r="F7" s="29">
        <v>225.4976883154086</v>
      </c>
      <c r="G7" s="28">
        <f t="shared" si="0"/>
        <v>-248285.49479166663</v>
      </c>
      <c r="H7" s="28">
        <f t="shared" si="1"/>
        <v>258.66895388421057</v>
      </c>
      <c r="I7">
        <v>-76</v>
      </c>
    </row>
    <row r="8" spans="1:9" x14ac:dyDescent="0.25">
      <c r="A8" t="s">
        <v>41</v>
      </c>
      <c r="B8" t="s">
        <v>111</v>
      </c>
      <c r="C8" s="26">
        <v>25</v>
      </c>
      <c r="D8" s="28">
        <v>241666.66666666666</v>
      </c>
      <c r="E8" s="28">
        <v>137369.17187500003</v>
      </c>
      <c r="F8" s="29">
        <v>287.81547772045252</v>
      </c>
      <c r="G8" s="28">
        <f t="shared" si="0"/>
        <v>-90238.744791666599</v>
      </c>
      <c r="H8" s="28">
        <f t="shared" si="1"/>
        <v>196.35116447916664</v>
      </c>
      <c r="I8" s="28">
        <v>0</v>
      </c>
    </row>
    <row r="9" spans="1:9" x14ac:dyDescent="0.25">
      <c r="A9" t="s">
        <v>92</v>
      </c>
      <c r="B9" t="s">
        <v>112</v>
      </c>
      <c r="C9" s="26">
        <v>25</v>
      </c>
      <c r="D9" s="28">
        <v>575000</v>
      </c>
      <c r="E9" s="28">
        <v>122865.46875</v>
      </c>
      <c r="F9" s="29">
        <v>267.68095990795246</v>
      </c>
      <c r="G9" s="28">
        <f t="shared" si="0"/>
        <v>-104742.44791666663</v>
      </c>
      <c r="H9" s="28">
        <f t="shared" si="1"/>
        <v>216.48568229166671</v>
      </c>
      <c r="I9" s="28">
        <v>0</v>
      </c>
    </row>
    <row r="10" spans="1:9" x14ac:dyDescent="0.25">
      <c r="A10" t="s">
        <v>93</v>
      </c>
      <c r="B10" t="s">
        <v>113</v>
      </c>
      <c r="C10" s="26">
        <v>25</v>
      </c>
      <c r="D10" s="28">
        <v>916666.66666666663</v>
      </c>
      <c r="E10" s="28">
        <v>-55473.531250000087</v>
      </c>
      <c r="F10" s="29">
        <v>187.10909414767664</v>
      </c>
      <c r="G10" s="28">
        <f t="shared" si="0"/>
        <v>-283081.44791666674</v>
      </c>
      <c r="H10" s="28">
        <f t="shared" si="1"/>
        <v>297.05754805194249</v>
      </c>
      <c r="I10">
        <v>-67.599999999999994</v>
      </c>
    </row>
    <row r="11" spans="1:9" x14ac:dyDescent="0.25">
      <c r="A11" t="s">
        <v>94</v>
      </c>
      <c r="B11" t="s">
        <v>116</v>
      </c>
      <c r="C11" s="26">
        <v>25</v>
      </c>
      <c r="D11" s="28">
        <v>941666.66666666663</v>
      </c>
      <c r="E11" s="28">
        <v>-43209.53125</v>
      </c>
      <c r="F11" s="29">
        <v>177.09720550290862</v>
      </c>
      <c r="G11" s="28">
        <f t="shared" si="0"/>
        <v>-270817.44791666663</v>
      </c>
      <c r="H11" s="28">
        <f t="shared" si="1"/>
        <v>307.06943669671057</v>
      </c>
      <c r="I11">
        <v>-76</v>
      </c>
    </row>
    <row r="12" spans="1:9" x14ac:dyDescent="0.25">
      <c r="A12" t="s">
        <v>95</v>
      </c>
      <c r="B12" t="s">
        <v>114</v>
      </c>
      <c r="C12" s="26">
        <v>25</v>
      </c>
      <c r="D12" s="28">
        <v>408333.33333333331</v>
      </c>
      <c r="E12" s="28">
        <v>155149.66666666666</v>
      </c>
      <c r="F12" s="29">
        <v>374.85607719961916</v>
      </c>
      <c r="G12" s="28">
        <f t="shared" si="0"/>
        <v>-72458.249999999971</v>
      </c>
      <c r="H12" s="28">
        <f t="shared" si="1"/>
        <v>109.310565</v>
      </c>
      <c r="I12" s="28">
        <v>0</v>
      </c>
    </row>
  </sheetData>
  <conditionalFormatting sqref="F2:F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costi</vt:lpstr>
      <vt:lpstr>CO2</vt:lpstr>
      <vt:lpstr>Osmosi inversa</vt:lpstr>
      <vt:lpstr>Osmosi inversa new</vt:lpstr>
      <vt:lpstr>Nanofiltrazione</vt:lpstr>
      <vt:lpstr>Nanofiltrazione new</vt:lpstr>
      <vt:lpstr>soluzioni</vt:lpstr>
      <vt:lpstr>soluzioni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MPrina</dc:creator>
  <cp:lastModifiedBy>MPrina</cp:lastModifiedBy>
  <dcterms:created xsi:type="dcterms:W3CDTF">2020-11-14T15:15:42Z</dcterms:created>
  <dcterms:modified xsi:type="dcterms:W3CDTF">2020-11-20T17:50:53Z</dcterms:modified>
</cp:coreProperties>
</file>