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na\Desktop\Varie\Hackathon Mantova\App\"/>
    </mc:Choice>
  </mc:AlternateContent>
  <xr:revisionPtr revIDLastSave="0" documentId="13_ncr:1_{3BD51270-01DA-4B4D-B6DF-134C00CCF093}" xr6:coauthVersionLast="45" xr6:coauthVersionMax="45" xr10:uidLastSave="{00000000-0000-0000-0000-000000000000}"/>
  <bookViews>
    <workbookView xWindow="-120" yWindow="-120" windowWidth="24240" windowHeight="13140" firstSheet="3" activeTab="8" xr2:uid="{648A2684-261E-4C21-8C4B-9FED2E6BDBEA}"/>
  </bookViews>
  <sheets>
    <sheet name="costi" sheetId="1" r:id="rId1"/>
    <sheet name="CO2" sheetId="2" r:id="rId2"/>
    <sheet name="Osmosi inversa" sheetId="5" r:id="rId3"/>
    <sheet name="Osmosi inversa new" sheetId="9" r:id="rId4"/>
    <sheet name="Nanofiltrazione" sheetId="6" r:id="rId5"/>
    <sheet name="Nanofiltrazione new" sheetId="11" r:id="rId6"/>
    <sheet name="soluzioni" sheetId="3" r:id="rId7"/>
    <sheet name="soluzioni (2)" sheetId="13" r:id="rId8"/>
    <sheet name="analisi energetic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2" i="8" l="1"/>
  <c r="G3" i="13" l="1"/>
  <c r="G4" i="13"/>
  <c r="G5" i="13"/>
  <c r="G6" i="13"/>
  <c r="G7" i="13"/>
  <c r="G8" i="13"/>
  <c r="G9" i="13"/>
  <c r="G10" i="13"/>
  <c r="G11" i="13"/>
  <c r="G12" i="13"/>
  <c r="H2" i="13"/>
  <c r="H4" i="13"/>
  <c r="H5" i="13"/>
  <c r="H6" i="13"/>
  <c r="H7" i="13"/>
  <c r="H8" i="13"/>
  <c r="H9" i="13"/>
  <c r="H10" i="13"/>
  <c r="H11" i="13"/>
  <c r="H12" i="13"/>
  <c r="H3" i="13"/>
  <c r="AI62" i="8" l="1"/>
  <c r="AP80" i="8"/>
  <c r="AP78" i="8"/>
  <c r="AP76" i="8"/>
  <c r="AP74" i="8"/>
  <c r="AP72" i="8"/>
  <c r="AP70" i="8"/>
  <c r="AP68" i="8"/>
  <c r="AP66" i="8"/>
  <c r="AP64" i="8"/>
  <c r="AP62" i="8"/>
  <c r="AO80" i="8"/>
  <c r="AO78" i="8"/>
  <c r="AO76" i="8"/>
  <c r="AO74" i="8"/>
  <c r="AO72" i="8"/>
  <c r="AO62" i="8"/>
  <c r="AO64" i="8"/>
  <c r="AO66" i="8"/>
  <c r="AO68" i="8"/>
  <c r="AO70" i="8"/>
  <c r="AN80" i="8"/>
  <c r="AN78" i="8"/>
  <c r="AN76" i="8"/>
  <c r="AN74" i="8"/>
  <c r="AN72" i="8"/>
  <c r="AN70" i="8"/>
  <c r="AN68" i="8"/>
  <c r="AN66" i="8"/>
  <c r="AN64" i="8"/>
  <c r="AN62" i="8"/>
  <c r="AM80" i="8"/>
  <c r="AM78" i="8"/>
  <c r="AM76" i="8"/>
  <c r="AM74" i="8"/>
  <c r="AM72" i="8"/>
  <c r="AM70" i="8"/>
  <c r="AM68" i="8"/>
  <c r="AM66" i="8"/>
  <c r="AM62" i="8"/>
  <c r="AM64" i="8"/>
  <c r="AL80" i="8"/>
  <c r="AL78" i="8"/>
  <c r="AL76" i="8"/>
  <c r="AL74" i="8"/>
  <c r="AL72" i="8"/>
  <c r="AL70" i="8"/>
  <c r="AL68" i="8"/>
  <c r="AL66" i="8"/>
  <c r="AL64" i="8"/>
  <c r="AB83" i="8"/>
  <c r="E9" i="11"/>
  <c r="E3" i="11"/>
  <c r="E3" i="9"/>
  <c r="C3" i="9" s="1"/>
  <c r="AO54" i="8" s="1"/>
  <c r="E9" i="9"/>
  <c r="L64" i="8"/>
  <c r="L66" i="8"/>
  <c r="L68" i="8"/>
  <c r="L70" i="8"/>
  <c r="L72" i="8"/>
  <c r="L74" i="8"/>
  <c r="L76" i="8"/>
  <c r="L78" i="8"/>
  <c r="L80" i="8"/>
  <c r="L62" i="8"/>
  <c r="AP53" i="8"/>
  <c r="AO53" i="8"/>
  <c r="AA32" i="8"/>
  <c r="AE32" i="8" s="1"/>
  <c r="S32" i="8"/>
  <c r="Q32" i="8"/>
  <c r="C16" i="1" l="1"/>
  <c r="C16" i="11"/>
  <c r="C16" i="9"/>
  <c r="I38" i="5"/>
  <c r="I37" i="5"/>
  <c r="I36" i="5"/>
  <c r="I32" i="5"/>
  <c r="I31" i="5"/>
  <c r="C10" i="11"/>
  <c r="C10" i="9"/>
  <c r="B17" i="6"/>
  <c r="H24" i="6"/>
  <c r="C9" i="1"/>
  <c r="J26" i="5"/>
  <c r="H25" i="5"/>
  <c r="B21" i="5"/>
  <c r="B19" i="5"/>
  <c r="C5" i="11"/>
  <c r="C4" i="11"/>
  <c r="C3" i="11"/>
  <c r="C6" i="9"/>
  <c r="C5" i="9"/>
  <c r="C4" i="9"/>
  <c r="C12" i="9" l="1"/>
  <c r="C6" i="11"/>
  <c r="C12" i="11" s="1"/>
  <c r="AP54" i="8"/>
  <c r="E2" i="3"/>
  <c r="L32" i="8"/>
  <c r="B12" i="3" s="1"/>
  <c r="I31" i="8"/>
  <c r="H31" i="8"/>
  <c r="G31" i="8"/>
  <c r="F31" i="8"/>
  <c r="E31" i="8"/>
  <c r="I29" i="8"/>
  <c r="H29" i="8"/>
  <c r="G29" i="8"/>
  <c r="F29" i="8"/>
  <c r="E29" i="8"/>
  <c r="L30" i="8" s="1"/>
  <c r="B11" i="3" s="1"/>
  <c r="I27" i="8"/>
  <c r="H27" i="8"/>
  <c r="G27" i="8"/>
  <c r="F27" i="8"/>
  <c r="E27" i="8"/>
  <c r="L28" i="8" s="1"/>
  <c r="I25" i="8"/>
  <c r="H25" i="8"/>
  <c r="G25" i="8"/>
  <c r="L26" i="8" s="1"/>
  <c r="F25" i="8"/>
  <c r="E25" i="8"/>
  <c r="I23" i="8"/>
  <c r="H23" i="8"/>
  <c r="L24" i="8" s="1"/>
  <c r="G23" i="8"/>
  <c r="F23" i="8"/>
  <c r="E23" i="8"/>
  <c r="I21" i="8"/>
  <c r="H21" i="8"/>
  <c r="G21" i="8"/>
  <c r="F21" i="8"/>
  <c r="E21" i="8"/>
  <c r="L22" i="8" s="1"/>
  <c r="I19" i="8"/>
  <c r="H19" i="8"/>
  <c r="G19" i="8"/>
  <c r="F19" i="8"/>
  <c r="E19" i="8"/>
  <c r="L20" i="8" s="1"/>
  <c r="I17" i="8"/>
  <c r="H17" i="8"/>
  <c r="G17" i="8"/>
  <c r="F17" i="8"/>
  <c r="E17" i="8"/>
  <c r="I15" i="8"/>
  <c r="H15" i="8"/>
  <c r="G15" i="8"/>
  <c r="F15" i="8"/>
  <c r="E15" i="8"/>
  <c r="F13" i="8"/>
  <c r="G13" i="8"/>
  <c r="H13" i="8"/>
  <c r="I13" i="8"/>
  <c r="E13" i="8"/>
  <c r="L14" i="8" s="1"/>
  <c r="B3" i="3" s="1"/>
  <c r="AR60" i="8"/>
  <c r="AN54" i="8"/>
  <c r="AM54" i="8"/>
  <c r="AL54" i="8"/>
  <c r="Y80" i="8"/>
  <c r="Y76" i="8"/>
  <c r="Y74" i="8"/>
  <c r="Y72" i="8"/>
  <c r="Y70" i="8"/>
  <c r="B9" i="8"/>
  <c r="U36" i="8"/>
  <c r="U60" i="8" s="1"/>
  <c r="I55" i="8"/>
  <c r="I80" i="8" s="1"/>
  <c r="H55" i="8"/>
  <c r="G55" i="8"/>
  <c r="Q55" i="8" s="1"/>
  <c r="F55" i="8"/>
  <c r="E55" i="8"/>
  <c r="E80" i="8" s="1"/>
  <c r="I53" i="8"/>
  <c r="I78" i="8" s="1"/>
  <c r="H53" i="8"/>
  <c r="H78" i="8" s="1"/>
  <c r="G53" i="8"/>
  <c r="G78" i="8" s="1"/>
  <c r="F53" i="8"/>
  <c r="E53" i="8"/>
  <c r="E78" i="8" s="1"/>
  <c r="I51" i="8"/>
  <c r="I76" i="8" s="1"/>
  <c r="H51" i="8"/>
  <c r="H76" i="8" s="1"/>
  <c r="G51" i="8"/>
  <c r="Q51" i="8" s="1"/>
  <c r="F51" i="8"/>
  <c r="E51" i="8"/>
  <c r="E76" i="8" s="1"/>
  <c r="I49" i="8"/>
  <c r="I74" i="8" s="1"/>
  <c r="H49" i="8"/>
  <c r="G49" i="8"/>
  <c r="G74" i="8" s="1"/>
  <c r="F49" i="8"/>
  <c r="E49" i="8"/>
  <c r="E74" i="8" s="1"/>
  <c r="I47" i="8"/>
  <c r="I72" i="8" s="1"/>
  <c r="H47" i="8"/>
  <c r="G47" i="8"/>
  <c r="G72" i="8" s="1"/>
  <c r="F47" i="8"/>
  <c r="E47" i="8"/>
  <c r="E72" i="8" s="1"/>
  <c r="I45" i="8"/>
  <c r="I70" i="8" s="1"/>
  <c r="H45" i="8"/>
  <c r="G45" i="8"/>
  <c r="Q45" i="8" s="1"/>
  <c r="F45" i="8"/>
  <c r="F70" i="8" s="1"/>
  <c r="E45" i="8"/>
  <c r="E70" i="8" s="1"/>
  <c r="I43" i="8"/>
  <c r="I68" i="8" s="1"/>
  <c r="H43" i="8"/>
  <c r="H68" i="8" s="1"/>
  <c r="G43" i="8"/>
  <c r="Q43" i="8" s="1"/>
  <c r="F43" i="8"/>
  <c r="F68" i="8" s="1"/>
  <c r="E43" i="8"/>
  <c r="E68" i="8" s="1"/>
  <c r="I41" i="8"/>
  <c r="I66" i="8" s="1"/>
  <c r="H41" i="8"/>
  <c r="H66" i="8" s="1"/>
  <c r="G41" i="8"/>
  <c r="S41" i="8" s="1"/>
  <c r="F41" i="8"/>
  <c r="F66" i="8" s="1"/>
  <c r="E41" i="8"/>
  <c r="E66" i="8" s="1"/>
  <c r="I39" i="8"/>
  <c r="I64" i="8" s="1"/>
  <c r="H39" i="8"/>
  <c r="U40" i="8" s="1"/>
  <c r="U64" i="8" s="1"/>
  <c r="G39" i="8"/>
  <c r="G64" i="8" s="1"/>
  <c r="F39" i="8"/>
  <c r="F64" i="8" s="1"/>
  <c r="E39" i="8"/>
  <c r="E64" i="8" s="1"/>
  <c r="F37" i="8"/>
  <c r="G37" i="8"/>
  <c r="G62" i="8" s="1"/>
  <c r="H37" i="8"/>
  <c r="I37" i="8"/>
  <c r="I62" i="8" s="1"/>
  <c r="E37" i="8"/>
  <c r="E62" i="8" s="1"/>
  <c r="AE12" i="8"/>
  <c r="AA16" i="8"/>
  <c r="AE16" i="8" s="1"/>
  <c r="AA18" i="8"/>
  <c r="AE18" i="8" s="1"/>
  <c r="AA20" i="8"/>
  <c r="AE20" i="8" s="1"/>
  <c r="AA14" i="8"/>
  <c r="AE14" i="8" s="1"/>
  <c r="Y78" i="8"/>
  <c r="Y68" i="8"/>
  <c r="Y66" i="8"/>
  <c r="Y64" i="8"/>
  <c r="Y62" i="8"/>
  <c r="Y60" i="8"/>
  <c r="AE31" i="8"/>
  <c r="U9" i="8"/>
  <c r="O6" i="8"/>
  <c r="S30" i="8" s="1"/>
  <c r="B6" i="3" l="1"/>
  <c r="L43" i="8"/>
  <c r="B10" i="3"/>
  <c r="L51" i="8"/>
  <c r="B7" i="3"/>
  <c r="L45" i="8"/>
  <c r="B8" i="3"/>
  <c r="L47" i="8"/>
  <c r="L49" i="8"/>
  <c r="B9" i="3"/>
  <c r="L37" i="8"/>
  <c r="F62" i="8"/>
  <c r="G66" i="8"/>
  <c r="H72" i="8"/>
  <c r="F76" i="8"/>
  <c r="H80" i="8"/>
  <c r="G76" i="8"/>
  <c r="U38" i="8"/>
  <c r="U62" i="8" s="1"/>
  <c r="H62" i="8"/>
  <c r="G70" i="8"/>
  <c r="F72" i="8"/>
  <c r="F80" i="8"/>
  <c r="L53" i="8"/>
  <c r="H64" i="8"/>
  <c r="G68" i="8"/>
  <c r="H74" i="8"/>
  <c r="F78" i="8"/>
  <c r="H70" i="8"/>
  <c r="F74" i="8"/>
  <c r="G80" i="8"/>
  <c r="L55" i="8"/>
  <c r="L18" i="8"/>
  <c r="L16" i="8"/>
  <c r="U42" i="8"/>
  <c r="U66" i="8" s="1"/>
  <c r="Q40" i="8"/>
  <c r="S51" i="8"/>
  <c r="S53" i="8"/>
  <c r="Q38" i="8"/>
  <c r="U44" i="8"/>
  <c r="S45" i="8"/>
  <c r="S55" i="8"/>
  <c r="AC55" i="8" s="1"/>
  <c r="S37" i="8"/>
  <c r="Q41" i="8"/>
  <c r="AC41" i="8" s="1"/>
  <c r="S43" i="8"/>
  <c r="AC43" i="8" s="1"/>
  <c r="Q48" i="8"/>
  <c r="Q50" i="8"/>
  <c r="Q54" i="8"/>
  <c r="Q56" i="8"/>
  <c r="Q80" i="8" s="1"/>
  <c r="S38" i="8"/>
  <c r="S40" i="8"/>
  <c r="S46" i="8"/>
  <c r="S48" i="8"/>
  <c r="S50" i="8"/>
  <c r="S54" i="8"/>
  <c r="S56" i="8"/>
  <c r="S24" i="8"/>
  <c r="S47" i="8" s="1"/>
  <c r="S26" i="8"/>
  <c r="S49" i="8" s="1"/>
  <c r="S74" i="8" s="1"/>
  <c r="S28" i="8"/>
  <c r="S52" i="8" s="1"/>
  <c r="S22" i="8"/>
  <c r="S18" i="8"/>
  <c r="S42" i="8" s="1"/>
  <c r="S20" i="8"/>
  <c r="S44" i="8" s="1"/>
  <c r="S16" i="8"/>
  <c r="S39" i="8" s="1"/>
  <c r="S14" i="8"/>
  <c r="S12" i="8"/>
  <c r="S35" i="8" s="1"/>
  <c r="S60" i="8" s="1"/>
  <c r="U6" i="8"/>
  <c r="U48" i="8" s="1"/>
  <c r="U72" i="8" s="1"/>
  <c r="Q6" i="8"/>
  <c r="Q12" i="8" s="1"/>
  <c r="E11" i="5"/>
  <c r="B15" i="2"/>
  <c r="C14" i="1"/>
  <c r="C10" i="1"/>
  <c r="U56" i="8" l="1"/>
  <c r="U80" i="8" s="1"/>
  <c r="U46" i="8"/>
  <c r="U70" i="8" s="1"/>
  <c r="L41" i="8"/>
  <c r="B5" i="3"/>
  <c r="U50" i="8"/>
  <c r="U74" i="8" s="1"/>
  <c r="U52" i="8"/>
  <c r="U76" i="8" s="1"/>
  <c r="B4" i="3"/>
  <c r="L39" i="8"/>
  <c r="U54" i="8"/>
  <c r="U78" i="8" s="1"/>
  <c r="AR68" i="8"/>
  <c r="AC45" i="8"/>
  <c r="S70" i="8"/>
  <c r="AR78" i="8"/>
  <c r="AQ78" i="8"/>
  <c r="E11" i="3" s="1"/>
  <c r="AQ64" i="8"/>
  <c r="E4" i="3" s="1"/>
  <c r="AA64" i="8"/>
  <c r="S72" i="8"/>
  <c r="AR64" i="8"/>
  <c r="AC51" i="8"/>
  <c r="S76" i="8"/>
  <c r="AQ80" i="8"/>
  <c r="E12" i="3" s="1"/>
  <c r="AR80" i="8"/>
  <c r="AR76" i="8"/>
  <c r="AQ76" i="8"/>
  <c r="E10" i="3" s="1"/>
  <c r="AR66" i="8"/>
  <c r="AQ70" i="8"/>
  <c r="E7" i="3" s="1"/>
  <c r="AQ74" i="8"/>
  <c r="E9" i="3" s="1"/>
  <c r="AR74" i="8"/>
  <c r="AR62" i="8"/>
  <c r="AQ62" i="8"/>
  <c r="E3" i="3" s="1"/>
  <c r="AR72" i="8"/>
  <c r="AQ72" i="8"/>
  <c r="E8" i="3" s="1"/>
  <c r="AQ66" i="8"/>
  <c r="E5" i="3" s="1"/>
  <c r="AQ68" i="8"/>
  <c r="E6" i="3" s="1"/>
  <c r="AR70" i="8"/>
  <c r="S80" i="8"/>
  <c r="Q24" i="8"/>
  <c r="Q47" i="8" s="1"/>
  <c r="U68" i="8"/>
  <c r="W6" i="8"/>
  <c r="S66" i="8"/>
  <c r="Q35" i="8"/>
  <c r="I30" i="6"/>
  <c r="B17" i="2"/>
  <c r="B8" i="2"/>
  <c r="B6" i="2"/>
  <c r="C22" i="2" s="1"/>
  <c r="L25" i="6"/>
  <c r="J25" i="6"/>
  <c r="J24" i="6"/>
  <c r="L26" i="5"/>
  <c r="L22" i="5"/>
  <c r="B19" i="6"/>
  <c r="A22" i="6" s="1"/>
  <c r="A14" i="6"/>
  <c r="A24" i="5"/>
  <c r="J25" i="5"/>
  <c r="I28" i="5" s="1"/>
  <c r="A16" i="5"/>
  <c r="E10" i="5"/>
  <c r="AA72" i="8" l="1"/>
  <c r="W32" i="8"/>
  <c r="W56" i="8" s="1"/>
  <c r="AA80" i="8"/>
  <c r="AA62" i="8"/>
  <c r="AA60" i="8"/>
  <c r="AA68" i="8"/>
  <c r="AA66" i="8"/>
  <c r="AC47" i="8"/>
  <c r="Q72" i="8"/>
  <c r="AA30" i="8"/>
  <c r="AE30" i="8" s="1"/>
  <c r="AA28" i="8"/>
  <c r="AE28" i="8" s="1"/>
  <c r="B22" i="8"/>
  <c r="L24" i="6"/>
  <c r="N24" i="6" s="1"/>
  <c r="I27" i="6"/>
  <c r="I31" i="6"/>
  <c r="I35" i="6" s="1"/>
  <c r="AA22" i="8"/>
  <c r="AE22" i="8" s="1"/>
  <c r="B21" i="8"/>
  <c r="AA26" i="8"/>
  <c r="AE26" i="8" s="1"/>
  <c r="AA24" i="8"/>
  <c r="AE24" i="8" s="1"/>
  <c r="L25" i="5"/>
  <c r="N25" i="5" s="1"/>
  <c r="W30" i="8"/>
  <c r="W54" i="8" s="1"/>
  <c r="AC54" i="8" s="1"/>
  <c r="W28" i="8"/>
  <c r="W52" i="8" s="1"/>
  <c r="W76" i="8" s="1"/>
  <c r="W26" i="8"/>
  <c r="W50" i="8" s="1"/>
  <c r="W24" i="8"/>
  <c r="W48" i="8" s="1"/>
  <c r="W16" i="8"/>
  <c r="W40" i="8" s="1"/>
  <c r="W20" i="8"/>
  <c r="W44" i="8" s="1"/>
  <c r="W18" i="8"/>
  <c r="W42" i="8" s="1"/>
  <c r="W22" i="8"/>
  <c r="W46" i="8" s="1"/>
  <c r="W70" i="8" s="1"/>
  <c r="S68" i="8"/>
  <c r="S78" i="8"/>
  <c r="Q60" i="8"/>
  <c r="AC35" i="8"/>
  <c r="S62" i="8"/>
  <c r="S64" i="8"/>
  <c r="W14" i="8"/>
  <c r="W38" i="8" s="1"/>
  <c r="W12" i="8"/>
  <c r="K36" i="5"/>
  <c r="C26" i="2"/>
  <c r="C15" i="1"/>
  <c r="E6" i="1"/>
  <c r="W80" i="8" l="1"/>
  <c r="AC56" i="8"/>
  <c r="AE80" i="8" s="1"/>
  <c r="AG80" i="8" s="1"/>
  <c r="G12" i="3" s="1"/>
  <c r="W74" i="8"/>
  <c r="AC50" i="8"/>
  <c r="W72" i="8"/>
  <c r="AC48" i="8"/>
  <c r="AE72" i="8" s="1"/>
  <c r="AG72" i="8" s="1"/>
  <c r="G8" i="3" s="1"/>
  <c r="AA78" i="8"/>
  <c r="AA76" i="8"/>
  <c r="K35" i="6"/>
  <c r="I36" i="6"/>
  <c r="I37" i="6" s="1"/>
  <c r="I38" i="6" s="1"/>
  <c r="I39" i="6" s="1"/>
  <c r="AA74" i="8"/>
  <c r="AA70" i="8"/>
  <c r="W36" i="8"/>
  <c r="Q30" i="8" s="1"/>
  <c r="Q53" i="8" s="1"/>
  <c r="AC53" i="8" s="1"/>
  <c r="AE78" i="8" s="1"/>
  <c r="AG78" i="8" s="1"/>
  <c r="G11" i="3" s="1"/>
  <c r="W68" i="8"/>
  <c r="W66" i="8"/>
  <c r="I39" i="5"/>
  <c r="I40" i="5" s="1"/>
  <c r="B19" i="2"/>
  <c r="B18" i="2"/>
  <c r="C2" i="1"/>
  <c r="AC80" i="8" l="1"/>
  <c r="AH80" i="8" s="1"/>
  <c r="AC72" i="8"/>
  <c r="AH72" i="8" s="1"/>
  <c r="Q26" i="8"/>
  <c r="Q49" i="8" s="1"/>
  <c r="Q28" i="8"/>
  <c r="Q52" i="8" s="1"/>
  <c r="Q18" i="8"/>
  <c r="Q42" i="8" s="1"/>
  <c r="Q22" i="8"/>
  <c r="Q46" i="8" s="1"/>
  <c r="Q14" i="8"/>
  <c r="Q37" i="8" s="1"/>
  <c r="Q20" i="8"/>
  <c r="Q44" i="8" s="1"/>
  <c r="AC44" i="8" s="1"/>
  <c r="AE68" i="8" s="1"/>
  <c r="AG68" i="8" s="1"/>
  <c r="G6" i="3" s="1"/>
  <c r="Q16" i="8"/>
  <c r="Q39" i="8" s="1"/>
  <c r="W78" i="8"/>
  <c r="W60" i="8"/>
  <c r="AC60" i="8" s="1"/>
  <c r="AC36" i="8"/>
  <c r="AE60" i="8" s="1"/>
  <c r="AG60" i="8" s="1"/>
  <c r="G2" i="3" s="1"/>
  <c r="W62" i="8"/>
  <c r="AC38" i="8"/>
  <c r="AT80" i="8" l="1"/>
  <c r="F12" i="3"/>
  <c r="AD80" i="8"/>
  <c r="AH60" i="8"/>
  <c r="AI72" i="8" s="1"/>
  <c r="AD72" i="8"/>
  <c r="AC46" i="8"/>
  <c r="AE70" i="8" s="1"/>
  <c r="AG70" i="8" s="1"/>
  <c r="G7" i="3" s="1"/>
  <c r="Q70" i="8"/>
  <c r="AC70" i="8" s="1"/>
  <c r="AC52" i="8"/>
  <c r="AE76" i="8" s="1"/>
  <c r="AG76" i="8" s="1"/>
  <c r="G10" i="3" s="1"/>
  <c r="Q76" i="8"/>
  <c r="AC76" i="8" s="1"/>
  <c r="AC49" i="8"/>
  <c r="AE74" i="8" s="1"/>
  <c r="AG74" i="8" s="1"/>
  <c r="G9" i="3" s="1"/>
  <c r="Q74" i="8"/>
  <c r="AC74" i="8" s="1"/>
  <c r="F8" i="3"/>
  <c r="AT72" i="8"/>
  <c r="AF80" i="8"/>
  <c r="AF72" i="8"/>
  <c r="AF78" i="8"/>
  <c r="AF68" i="8"/>
  <c r="AC40" i="8"/>
  <c r="W64" i="8"/>
  <c r="AF70" i="8" l="1"/>
  <c r="AF74" i="8"/>
  <c r="AT60" i="8"/>
  <c r="AV72" i="8" s="1"/>
  <c r="F2" i="3"/>
  <c r="AI80" i="8"/>
  <c r="AD74" i="8"/>
  <c r="AH74" i="8"/>
  <c r="AH70" i="8"/>
  <c r="AD70" i="8"/>
  <c r="AD76" i="8"/>
  <c r="AH76" i="8"/>
  <c r="AF76" i="8"/>
  <c r="Q68" i="8"/>
  <c r="AC68" i="8" s="1"/>
  <c r="AH68" i="8" s="1"/>
  <c r="Q62" i="8"/>
  <c r="AC62" i="8" s="1"/>
  <c r="AH62" i="8" s="1"/>
  <c r="AC37" i="8"/>
  <c r="AE62" i="8" s="1"/>
  <c r="AV80" i="8" l="1"/>
  <c r="AI68" i="8"/>
  <c r="AT68" i="8"/>
  <c r="F6" i="3"/>
  <c r="AG62" i="8"/>
  <c r="G3" i="3" s="1"/>
  <c r="AF62" i="8"/>
  <c r="AT76" i="8"/>
  <c r="AI76" i="8"/>
  <c r="F10" i="3"/>
  <c r="F9" i="3"/>
  <c r="AT74" i="8"/>
  <c r="AI74" i="8"/>
  <c r="AI70" i="8"/>
  <c r="F7" i="3"/>
  <c r="AT70" i="8"/>
  <c r="F3" i="3"/>
  <c r="AT62" i="8"/>
  <c r="Q66" i="8"/>
  <c r="AC66" i="8" s="1"/>
  <c r="AH66" i="8" s="1"/>
  <c r="AC42" i="8"/>
  <c r="AE66" i="8" s="1"/>
  <c r="Q78" i="8"/>
  <c r="AC78" i="8" s="1"/>
  <c r="AD78" i="8" s="1"/>
  <c r="Q64" i="8"/>
  <c r="AC64" i="8" s="1"/>
  <c r="AH64" i="8" s="1"/>
  <c r="AC39" i="8"/>
  <c r="AE64" i="8" s="1"/>
  <c r="AD62" i="8"/>
  <c r="AD68" i="8"/>
  <c r="AV68" i="8" l="1"/>
  <c r="AH78" i="8"/>
  <c r="AG66" i="8"/>
  <c r="G5" i="3" s="1"/>
  <c r="AF66" i="8"/>
  <c r="AG64" i="8"/>
  <c r="G4" i="3" s="1"/>
  <c r="AF64" i="8"/>
  <c r="AV70" i="8"/>
  <c r="AV74" i="8"/>
  <c r="AV76" i="8"/>
  <c r="AV62" i="8"/>
  <c r="AI64" i="8"/>
  <c r="F4" i="3"/>
  <c r="AT64" i="8"/>
  <c r="AI66" i="8"/>
  <c r="F5" i="3"/>
  <c r="AT66" i="8"/>
  <c r="AD64" i="8"/>
  <c r="AD66" i="8"/>
  <c r="AT78" i="8" l="1"/>
  <c r="AI78" i="8"/>
  <c r="F11" i="3"/>
  <c r="AV64" i="8"/>
  <c r="AV66" i="8"/>
  <c r="AV78" i="8" l="1"/>
</calcChain>
</file>

<file path=xl/sharedStrings.xml><?xml version="1.0" encoding="utf-8"?>
<sst xmlns="http://schemas.openxmlformats.org/spreadsheetml/2006/main" count="465" uniqueCount="205">
  <si>
    <t>t siero</t>
  </si>
  <si>
    <t>impianto tipo</t>
  </si>
  <si>
    <t>mezzi per il trasporto al giorno</t>
  </si>
  <si>
    <t>cent/L</t>
  </si>
  <si>
    <t>€/L</t>
  </si>
  <si>
    <t>prezzo di vendita</t>
  </si>
  <si>
    <t>L/giorno</t>
  </si>
  <si>
    <t>Costo per trasporto</t>
  </si>
  <si>
    <t>€</t>
  </si>
  <si>
    <t>€/ton</t>
  </si>
  <si>
    <t>Entrate per vendita</t>
  </si>
  <si>
    <t>km il percorso medio dei camion</t>
  </si>
  <si>
    <t>diesel</t>
  </si>
  <si>
    <t>emission factor</t>
  </si>
  <si>
    <t>consumo di diesel camion</t>
  </si>
  <si>
    <t xml:space="preserve"> L/100km</t>
  </si>
  <si>
    <t>km percorsi al giorno</t>
  </si>
  <si>
    <t>consumo diesel [L]</t>
  </si>
  <si>
    <t>L/km</t>
  </si>
  <si>
    <t>emission factor diesel</t>
  </si>
  <si>
    <t>t CO2/MWh</t>
  </si>
  <si>
    <t>source</t>
  </si>
  <si>
    <t>https://www.eumayors.eu/IMG/pdf/technical_annex_en.pdf</t>
  </si>
  <si>
    <t>1 Gallon</t>
  </si>
  <si>
    <t>MWh</t>
  </si>
  <si>
    <t>1 L</t>
  </si>
  <si>
    <t>Diesel</t>
  </si>
  <si>
    <t>Gallons</t>
  </si>
  <si>
    <t>consumo diesel [MWh]</t>
  </si>
  <si>
    <t>CO2 emissions [t] per day</t>
  </si>
  <si>
    <t>per year</t>
  </si>
  <si>
    <t>for all plants</t>
  </si>
  <si>
    <t>per un impianto al giorno</t>
  </si>
  <si>
    <t>per un impianto al anno</t>
  </si>
  <si>
    <t>CO2 emission</t>
  </si>
  <si>
    <t>t</t>
  </si>
  <si>
    <t>Soluzione 1</t>
  </si>
  <si>
    <t>Soluzione 2</t>
  </si>
  <si>
    <t>Soluzione 3</t>
  </si>
  <si>
    <t>Soluzione 4</t>
  </si>
  <si>
    <t>Soluzione 5</t>
  </si>
  <si>
    <t>Soluzione 6</t>
  </si>
  <si>
    <t>Descrizione</t>
  </si>
  <si>
    <t>Stato attuale</t>
  </si>
  <si>
    <t>Costo annuale [€]</t>
  </si>
  <si>
    <t>Emissioni di CO2 all'anno [t]</t>
  </si>
  <si>
    <t>Nessuna modifica</t>
  </si>
  <si>
    <t>Azienda</t>
  </si>
  <si>
    <t>http://www.tecna-italy.com/index.php</t>
  </si>
  <si>
    <t>impianti per tutte le dimensioni</t>
  </si>
  <si>
    <t>Info importanti dal doc che ha mandato Anna</t>
  </si>
  <si>
    <t>siero magro</t>
  </si>
  <si>
    <t>volume</t>
  </si>
  <si>
    <t>siero a valle osmosi</t>
  </si>
  <si>
    <t>permeato</t>
  </si>
  <si>
    <t>Il permeato ottenuto con osmosi inversa è un acqua di ottima qualita che puo essere anche riutilizzata in azienda</t>
  </si>
  <si>
    <t>siero a valle ultrafiltrazione</t>
  </si>
  <si>
    <t>L'osmosi inversa rimuove l'acqua dal siero, concentrando 3 volte il volume iniziale</t>
  </si>
  <si>
    <t>permette di raggiungere valori piu elevati di concentrazione rispetto all'osmosi, concentrando 4 volte il volume iniziale</t>
  </si>
  <si>
    <t>La gamma degli IMPIANTI PREASSEMBLATI DI OSMOSI INVERSA copre un'ampia range di portate, da 250 lt/h sino a 50.000 lt/h.</t>
  </si>
  <si>
    <t>a noi ci servirebbe quanto?</t>
  </si>
  <si>
    <t>L/h</t>
  </si>
  <si>
    <t>quindi noi siamo nel mezzo di questi dati</t>
  </si>
  <si>
    <t>http://www.tecna-italy.com/docs/TECNA_brochure_H20_2012_08b_ITA.pdf</t>
  </si>
  <si>
    <t xml:space="preserve">Se gli arrivano </t>
  </si>
  <si>
    <t>avremo</t>
  </si>
  <si>
    <t>siero concentrato</t>
  </si>
  <si>
    <t xml:space="preserve">avremo quindi </t>
  </si>
  <si>
    <t>% in meno di volume da portare con i camion</t>
  </si>
  <si>
    <t>però</t>
  </si>
  <si>
    <t>del permeato cosa si fa?</t>
  </si>
  <si>
    <t>costi trasporto</t>
  </si>
  <si>
    <t>€/giorno</t>
  </si>
  <si>
    <t>€/anno</t>
  </si>
  <si>
    <t>entrate</t>
  </si>
  <si>
    <t>€ risparmio</t>
  </si>
  <si>
    <t>% risparmio</t>
  </si>
  <si>
    <t>prezzo di vendita siero concentrato</t>
  </si>
  <si>
    <t>costi finali di esercizio</t>
  </si>
  <si>
    <t>non usato</t>
  </si>
  <si>
    <t>in termini di costi?</t>
  </si>
  <si>
    <t>in termini di emissioni?</t>
  </si>
  <si>
    <t>km</t>
  </si>
  <si>
    <t>%</t>
  </si>
  <si>
    <t>t/giorno</t>
  </si>
  <si>
    <t>t/anno</t>
  </si>
  <si>
    <t>risparmio</t>
  </si>
  <si>
    <t>LATTE</t>
  </si>
  <si>
    <t>FORMAGGIO</t>
  </si>
  <si>
    <t>SCREMATURA</t>
  </si>
  <si>
    <t>LAVORAZIONE SIERO</t>
  </si>
  <si>
    <t>SIERO</t>
  </si>
  <si>
    <t>TRASPORTO</t>
  </si>
  <si>
    <t>TEMPERATURA</t>
  </si>
  <si>
    <t>ENERGIA RICHIESTA</t>
  </si>
  <si>
    <t>ENERGIA FINALE</t>
  </si>
  <si>
    <t>QUANTITÁ</t>
  </si>
  <si>
    <t>COSTO</t>
  </si>
  <si>
    <t>l/giorno</t>
  </si>
  <si>
    <t>°C</t>
  </si>
  <si>
    <t>Calore specifico latte</t>
  </si>
  <si>
    <t>kJ/Kkg</t>
  </si>
  <si>
    <t>Latte al giorno</t>
  </si>
  <si>
    <t>quintali</t>
  </si>
  <si>
    <t>kWh</t>
  </si>
  <si>
    <t>GAS</t>
  </si>
  <si>
    <t>ELETTRICITÀ</t>
  </si>
  <si>
    <t>Costo GAS</t>
  </si>
  <si>
    <t>Costo ELETTRICITÀ</t>
  </si>
  <si>
    <t>€/kWh</t>
  </si>
  <si>
    <t>Efficienza Caldaia</t>
  </si>
  <si>
    <t>Efficienza PdC</t>
  </si>
  <si>
    <t>TOT</t>
  </si>
  <si>
    <t>automezzi</t>
  </si>
  <si>
    <t>SCENARIO 1</t>
  </si>
  <si>
    <t>SCENARIO 2</t>
  </si>
  <si>
    <t>SCENARIO 3</t>
  </si>
  <si>
    <t>SCENARIO 4</t>
  </si>
  <si>
    <t>Osmosi inversa</t>
  </si>
  <si>
    <t>Nanofiltrazione</t>
  </si>
  <si>
    <t>Ultrafiltrazione</t>
  </si>
  <si>
    <t>SCENARIO 5</t>
  </si>
  <si>
    <t>Efficienza recupero calore</t>
  </si>
  <si>
    <t>Efficienza chiller</t>
  </si>
  <si>
    <t>CO2</t>
  </si>
  <si>
    <t>SCENARIO 6</t>
  </si>
  <si>
    <t>SCENARIO 7</t>
  </si>
  <si>
    <t>PV</t>
  </si>
  <si>
    <t>https://www.enea.it/it/Ricerca_sviluppo/documenti/ricerca-di-sistema-elettrico/tecnologie-elettriche/rse19.pdf</t>
  </si>
  <si>
    <t>Densitá latte</t>
  </si>
  <si>
    <t>kg/m³</t>
  </si>
  <si>
    <t>En- Osmosi inversa</t>
  </si>
  <si>
    <t>En-. Nanofiltrazione</t>
  </si>
  <si>
    <t>CO2 gas</t>
  </si>
  <si>
    <t>CO2 elettriccitá</t>
  </si>
  <si>
    <t>ALTRI CONSUMI</t>
  </si>
  <si>
    <t>RISPARMIO [€]</t>
  </si>
  <si>
    <t>RISPARMIO [CO2]</t>
  </si>
  <si>
    <t>RISPARMIO [€/anno]</t>
  </si>
  <si>
    <t>Giorni analisi</t>
  </si>
  <si>
    <t>COSTI OPERATIVI [€/giorno]</t>
  </si>
  <si>
    <t>INVESTIMENTI [€]</t>
  </si>
  <si>
    <t>Pompa di calore</t>
  </si>
  <si>
    <t>Scambiatore</t>
  </si>
  <si>
    <t>PV [€/kW]</t>
  </si>
  <si>
    <t>kWp</t>
  </si>
  <si>
    <t>kW</t>
  </si>
  <si>
    <t>PdC</t>
  </si>
  <si>
    <t>Manutenzione</t>
  </si>
  <si>
    <t>Vita utile</t>
  </si>
  <si>
    <t>BASE CASE</t>
  </si>
  <si>
    <t>X</t>
  </si>
  <si>
    <t>SCENARIO 8</t>
  </si>
  <si>
    <t>SCENARIO 9</t>
  </si>
  <si>
    <t>SCENARIO 10</t>
  </si>
  <si>
    <t xml:space="preserve">Costo trasporto siero </t>
  </si>
  <si>
    <t>€/litro</t>
  </si>
  <si>
    <t>Prezzo vendita siero non addensato</t>
  </si>
  <si>
    <t>Prezzo vendita siero addensato Osmosi</t>
  </si>
  <si>
    <t>Prezzo vendita siero addensato Nanofiltrazione</t>
  </si>
  <si>
    <t>Riduzione volume siero Osmosi</t>
  </si>
  <si>
    <t>Riduzione volume siero Nanofiltrazione</t>
  </si>
  <si>
    <t>CO2 anno</t>
  </si>
  <si>
    <t>COSTI OPERATIVI [€/anno]</t>
  </si>
  <si>
    <t>Investimento</t>
  </si>
  <si>
    <t>[anni]</t>
  </si>
  <si>
    <t>[€/anno]</t>
  </si>
  <si>
    <t>[€]</t>
  </si>
  <si>
    <t>TOT ANNO 1</t>
  </si>
  <si>
    <t>Recupero calore,</t>
  </si>
  <si>
    <t>PV,</t>
  </si>
  <si>
    <t>PdC,</t>
  </si>
  <si>
    <t>Soluzione 7</t>
  </si>
  <si>
    <t>Soluzione 8</t>
  </si>
  <si>
    <t>Soluzione 9</t>
  </si>
  <si>
    <t>Soluzione 10</t>
  </si>
  <si>
    <t>Osmosi</t>
  </si>
  <si>
    <t>Costo investimento</t>
  </si>
  <si>
    <t>Inv</t>
  </si>
  <si>
    <t>C esercizio</t>
  </si>
  <si>
    <t>Costo energia elettrica</t>
  </si>
  <si>
    <t>Costo membrane</t>
  </si>
  <si>
    <t>Costo prodotti chimici</t>
  </si>
  <si>
    <t>tot</t>
  </si>
  <si>
    <t>C trasporto</t>
  </si>
  <si>
    <t>Vendita siero</t>
  </si>
  <si>
    <t>C esercizio tot</t>
  </si>
  <si>
    <t>ANNI RITORNO INVESTIMENTO</t>
  </si>
  <si>
    <t>Manutenzione/Gestione</t>
  </si>
  <si>
    <t>Vita utile - 25 ANNI</t>
  </si>
  <si>
    <t>Investimento iniziale [€]</t>
  </si>
  <si>
    <t>Descrizione old</t>
  </si>
  <si>
    <t>Recupero calore</t>
  </si>
  <si>
    <t>Recupero calore, PV</t>
  </si>
  <si>
    <t>Recupero calore, PV, PdC</t>
  </si>
  <si>
    <t>Recupero calore, PV, PdC, Osmosi inversa</t>
  </si>
  <si>
    <t>PV, PdC</t>
  </si>
  <si>
    <t>Recupero calore, Osmosi inversa</t>
  </si>
  <si>
    <t>Recupero calore, PV, PdC, Nanofiltrazione</t>
  </si>
  <si>
    <t>Recupero calore, Nanofiltrazione</t>
  </si>
  <si>
    <t>soluzioni</t>
  </si>
  <si>
    <t>Investimento iniziale</t>
  </si>
  <si>
    <t>Costo annuale [€] start</t>
  </si>
  <si>
    <t>Risparmio CO2 [t]</t>
  </si>
  <si>
    <t>Infortuni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</si>
</sst>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-2]\ * #,##0.00_);_([$€-2]\ * \(#,##0.00\);_([$€-2]\ * &quot;-&quot;??_);_(@_)"/>
    <numFmt numFmtId="166" formatCode="_([$€-2]\ * #,##0_);_([$€-2]\ * \(#,##0\);_([$€-2]\ 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1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0" borderId="11" xfId="0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13" xfId="0" applyFill="1" applyBorder="1"/>
    <xf numFmtId="165" fontId="0" fillId="0" borderId="0" xfId="0" applyNumberFormat="1"/>
    <xf numFmtId="165" fontId="5" fillId="0" borderId="0" xfId="0" applyNumberFormat="1" applyFont="1"/>
    <xf numFmtId="2" fontId="0" fillId="0" borderId="0" xfId="0" applyNumberFormat="1"/>
    <xf numFmtId="0" fontId="0" fillId="0" borderId="15" xfId="0" applyBorder="1"/>
    <xf numFmtId="0" fontId="4" fillId="0" borderId="15" xfId="0" applyFont="1" applyBorder="1"/>
    <xf numFmtId="0" fontId="0" fillId="0" borderId="16" xfId="0" applyBorder="1"/>
    <xf numFmtId="0" fontId="0" fillId="0" borderId="18" xfId="0" applyBorder="1"/>
    <xf numFmtId="165" fontId="0" fillId="0" borderId="0" xfId="0" applyNumberFormat="1" applyBorder="1"/>
    <xf numFmtId="0" fontId="0" fillId="0" borderId="20" xfId="0" applyBorder="1"/>
    <xf numFmtId="0" fontId="0" fillId="0" borderId="21" xfId="0" applyBorder="1"/>
    <xf numFmtId="2" fontId="0" fillId="0" borderId="0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9" fontId="0" fillId="0" borderId="0" xfId="0" applyNumberFormat="1" applyBorder="1"/>
    <xf numFmtId="0" fontId="0" fillId="0" borderId="22" xfId="0" applyBorder="1"/>
    <xf numFmtId="2" fontId="0" fillId="0" borderId="6" xfId="0" applyNumberFormat="1" applyBorder="1"/>
    <xf numFmtId="0" fontId="0" fillId="0" borderId="23" xfId="0" applyBorder="1"/>
    <xf numFmtId="2" fontId="0" fillId="0" borderId="11" xfId="0" applyNumberFormat="1" applyBorder="1"/>
    <xf numFmtId="9" fontId="0" fillId="0" borderId="0" xfId="2" applyFont="1" applyBorder="1"/>
    <xf numFmtId="2" fontId="0" fillId="0" borderId="15" xfId="0" applyNumberFormat="1" applyBorder="1"/>
    <xf numFmtId="2" fontId="0" fillId="0" borderId="20" xfId="0" applyNumberFormat="1" applyBorder="1"/>
    <xf numFmtId="0" fontId="6" fillId="0" borderId="0" xfId="0" applyFont="1"/>
    <xf numFmtId="165" fontId="7" fillId="0" borderId="15" xfId="0" applyNumberFormat="1" applyFont="1" applyBorder="1"/>
    <xf numFmtId="0" fontId="7" fillId="0" borderId="0" xfId="0" applyFont="1" applyBorder="1"/>
    <xf numFmtId="9" fontId="7" fillId="0" borderId="0" xfId="2" applyFont="1" applyBorder="1"/>
    <xf numFmtId="165" fontId="7" fillId="0" borderId="0" xfId="0" applyNumberFormat="1" applyFont="1" applyBorder="1"/>
    <xf numFmtId="0" fontId="7" fillId="0" borderId="20" xfId="0" applyFont="1" applyBorder="1"/>
    <xf numFmtId="0" fontId="6" fillId="0" borderId="0" xfId="0" applyFont="1" applyAlignment="1">
      <alignment wrapText="1"/>
    </xf>
    <xf numFmtId="166" fontId="0" fillId="0" borderId="18" xfId="2" applyNumberFormat="1" applyFont="1" applyBorder="1"/>
    <xf numFmtId="166" fontId="0" fillId="0" borderId="18" xfId="0" applyNumberFormat="1" applyBorder="1"/>
    <xf numFmtId="166" fontId="0" fillId="0" borderId="0" xfId="0" applyNumberFormat="1"/>
    <xf numFmtId="166" fontId="4" fillId="0" borderId="0" xfId="0" applyNumberFormat="1" applyFont="1"/>
    <xf numFmtId="0" fontId="5" fillId="0" borderId="14" xfId="0" applyFont="1" applyBorder="1"/>
    <xf numFmtId="0" fontId="5" fillId="0" borderId="17" xfId="0" applyFont="1" applyBorder="1"/>
    <xf numFmtId="0" fontId="5" fillId="0" borderId="19" xfId="0" applyFont="1" applyBorder="1"/>
    <xf numFmtId="165" fontId="5" fillId="0" borderId="14" xfId="0" applyNumberFormat="1" applyFont="1" applyBorder="1"/>
    <xf numFmtId="0" fontId="0" fillId="0" borderId="0" xfId="0" applyFill="1"/>
    <xf numFmtId="0" fontId="5" fillId="0" borderId="0" xfId="0" applyFont="1" applyBorder="1"/>
    <xf numFmtId="165" fontId="5" fillId="0" borderId="0" xfId="0" applyNumberFormat="1" applyFont="1" applyBorder="1"/>
    <xf numFmtId="0" fontId="7" fillId="0" borderId="17" xfId="0" applyFont="1" applyBorder="1"/>
    <xf numFmtId="0" fontId="5" fillId="0" borderId="15" xfId="0" applyFont="1" applyBorder="1"/>
    <xf numFmtId="165" fontId="5" fillId="0" borderId="20" xfId="0" applyNumberFormat="1" applyFont="1" applyBorder="1"/>
    <xf numFmtId="1" fontId="0" fillId="0" borderId="0" xfId="0" applyNumberFormat="1" applyBorder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0" fillId="0" borderId="15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9" fontId="0" fillId="0" borderId="0" xfId="0" applyNumberFormat="1"/>
    <xf numFmtId="0" fontId="0" fillId="0" borderId="0" xfId="0" applyFill="1" applyBorder="1"/>
    <xf numFmtId="9" fontId="0" fillId="0" borderId="0" xfId="2" applyFont="1"/>
    <xf numFmtId="166" fontId="0" fillId="0" borderId="0" xfId="2" applyNumberFormat="1" applyFont="1"/>
    <xf numFmtId="166" fontId="9" fillId="0" borderId="0" xfId="0" applyNumberFormat="1" applyFont="1"/>
    <xf numFmtId="0" fontId="9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" xfId="0" applyNumberFormat="1" applyBorder="1"/>
    <xf numFmtId="166" fontId="0" fillId="0" borderId="1" xfId="2" applyNumberFormat="1" applyFont="1" applyBorder="1"/>
    <xf numFmtId="0" fontId="0" fillId="0" borderId="24" xfId="0" applyBorder="1"/>
    <xf numFmtId="0" fontId="0" fillId="0" borderId="25" xfId="0" applyBorder="1"/>
    <xf numFmtId="9" fontId="8" fillId="0" borderId="25" xfId="0" applyNumberFormat="1" applyFont="1" applyBorder="1"/>
    <xf numFmtId="9" fontId="8" fillId="0" borderId="26" xfId="0" applyNumberFormat="1" applyFont="1" applyBorder="1"/>
    <xf numFmtId="0" fontId="0" fillId="0" borderId="27" xfId="0" applyBorder="1"/>
    <xf numFmtId="165" fontId="0" fillId="0" borderId="28" xfId="0" applyNumberFormat="1" applyBorder="1"/>
    <xf numFmtId="0" fontId="0" fillId="0" borderId="29" xfId="0" applyBorder="1"/>
    <xf numFmtId="0" fontId="0" fillId="0" borderId="30" xfId="0" applyBorder="1"/>
    <xf numFmtId="167" fontId="0" fillId="0" borderId="15" xfId="3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0" fillId="0" borderId="0" xfId="0" applyFont="1"/>
    <xf numFmtId="0" fontId="11" fillId="0" borderId="0" xfId="0" applyFont="1"/>
    <xf numFmtId="1" fontId="0" fillId="0" borderId="15" xfId="0" applyNumberFormat="1" applyFont="1" applyBorder="1"/>
    <xf numFmtId="1" fontId="7" fillId="0" borderId="0" xfId="0" applyNumberFormat="1" applyFont="1" applyBorder="1"/>
    <xf numFmtId="1" fontId="0" fillId="0" borderId="0" xfId="0" applyNumberFormat="1" applyFont="1" applyBorder="1"/>
    <xf numFmtId="166" fontId="0" fillId="0" borderId="1" xfId="2" applyNumberFormat="1" applyFont="1" applyFill="1" applyBorder="1"/>
    <xf numFmtId="166" fontId="0" fillId="0" borderId="28" xfId="2" applyNumberFormat="1" applyFont="1" applyFill="1" applyBorder="1"/>
    <xf numFmtId="165" fontId="0" fillId="0" borderId="1" xfId="0" applyNumberFormat="1" applyFill="1" applyBorder="1"/>
    <xf numFmtId="165" fontId="0" fillId="0" borderId="28" xfId="0" applyNumberFormat="1" applyFill="1" applyBorder="1"/>
    <xf numFmtId="0" fontId="0" fillId="0" borderId="30" xfId="0" applyFill="1" applyBorder="1"/>
    <xf numFmtId="0" fontId="0" fillId="0" borderId="31" xfId="0" applyFill="1" applyBorder="1"/>
    <xf numFmtId="0" fontId="7" fillId="0" borderId="17" xfId="0" applyFont="1" applyFill="1" applyBorder="1"/>
    <xf numFmtId="0" fontId="5" fillId="0" borderId="6" xfId="0" applyFont="1" applyFill="1" applyBorder="1" applyAlignment="1">
      <alignment horizontal="center" vertical="center"/>
    </xf>
    <xf numFmtId="165" fontId="0" fillId="0" borderId="0" xfId="0" applyNumberFormat="1" applyFill="1" applyBorder="1"/>
    <xf numFmtId="2" fontId="0" fillId="0" borderId="0" xfId="0" applyNumberFormat="1" applyFill="1" applyBorder="1"/>
    <xf numFmtId="9" fontId="7" fillId="0" borderId="0" xfId="2" applyFont="1" applyFill="1" applyBorder="1"/>
    <xf numFmtId="1" fontId="0" fillId="0" borderId="0" xfId="0" applyNumberFormat="1" applyFont="1" applyFill="1" applyBorder="1"/>
    <xf numFmtId="166" fontId="0" fillId="0" borderId="18" xfId="2" applyNumberFormat="1" applyFont="1" applyFill="1" applyBorder="1"/>
    <xf numFmtId="166" fontId="9" fillId="0" borderId="0" xfId="0" applyNumberFormat="1" applyFont="1" applyFill="1"/>
    <xf numFmtId="166" fontId="0" fillId="0" borderId="0" xfId="0" applyNumberFormat="1" applyFill="1"/>
    <xf numFmtId="2" fontId="0" fillId="0" borderId="0" xfId="0" applyNumberFormat="1" applyFill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0" fillId="0" borderId="3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6</xdr:row>
      <xdr:rowOff>66675</xdr:rowOff>
    </xdr:from>
    <xdr:to>
      <xdr:col>12</xdr:col>
      <xdr:colOff>304492</xdr:colOff>
      <xdr:row>13</xdr:row>
      <xdr:rowOff>75979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9963B-B5AE-4797-B5C4-0E52D520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3025" y="1209675"/>
          <a:ext cx="2466667" cy="1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1577788</xdr:colOff>
      <xdr:row>81</xdr:row>
      <xdr:rowOff>88881</xdr:rowOff>
    </xdr:from>
    <xdr:to>
      <xdr:col>26</xdr:col>
      <xdr:colOff>39504</xdr:colOff>
      <xdr:row>107</xdr:row>
      <xdr:rowOff>44937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89818-FCB6-4EFD-A64B-ECB66EA0A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8488" y="11036281"/>
          <a:ext cx="8393116" cy="4743956"/>
        </a:xfrm>
        <a:prstGeom prst="rect">
          <a:avLst/>
        </a:prstGeom>
      </xdr:spPr>
    </xdr:pic>
    <xdr:clientData/>
  </xdr:twoCellAnchor>
  <xdr:twoCellAnchor editAs="oneCell">
    <xdr:from>
      <xdr:col>36</xdr:col>
      <xdr:colOff>7470</xdr:colOff>
      <xdr:row>11</xdr:row>
      <xdr:rowOff>184575</xdr:rowOff>
    </xdr:from>
    <xdr:to>
      <xdr:col>41</xdr:col>
      <xdr:colOff>468665</xdr:colOff>
      <xdr:row>21</xdr:row>
      <xdr:rowOff>167704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034C4D-2EF3-441C-831D-EE95E387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88770" y="2400725"/>
          <a:ext cx="5496745" cy="1824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umayors.eu/IMG/pdf/technical_annex_e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8A2E-9EBB-44A1-A995-2526145C3275}">
  <dimension ref="A1:F16"/>
  <sheetViews>
    <sheetView workbookViewId="0">
      <selection activeCell="C5" sqref="C5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50</v>
      </c>
      <c r="B2" t="s">
        <v>0</v>
      </c>
      <c r="C2">
        <f>50000</f>
        <v>50000</v>
      </c>
      <c r="D2" t="s">
        <v>6</v>
      </c>
    </row>
    <row r="3" spans="1:6" x14ac:dyDescent="0.25">
      <c r="A3">
        <v>2.5</v>
      </c>
      <c r="B3" t="s">
        <v>2</v>
      </c>
    </row>
    <row r="4" spans="1:6" x14ac:dyDescent="0.25">
      <c r="A4">
        <v>65</v>
      </c>
      <c r="B4" t="s">
        <v>11</v>
      </c>
    </row>
    <row r="5" spans="1:6" x14ac:dyDescent="0.25">
      <c r="A5">
        <v>1.5</v>
      </c>
      <c r="B5" t="s">
        <v>3</v>
      </c>
      <c r="C5">
        <v>1.4999999999999999E-2</v>
      </c>
      <c r="D5" t="s">
        <v>4</v>
      </c>
    </row>
    <row r="6" spans="1:6" x14ac:dyDescent="0.25">
      <c r="A6">
        <v>11</v>
      </c>
      <c r="B6" t="s">
        <v>9</v>
      </c>
      <c r="C6" t="s">
        <v>5</v>
      </c>
      <c r="E6">
        <f>A6/1000</f>
        <v>1.0999999999999999E-2</v>
      </c>
      <c r="F6" t="s">
        <v>4</v>
      </c>
    </row>
    <row r="8" spans="1:6" x14ac:dyDescent="0.25">
      <c r="A8" s="119" t="s">
        <v>32</v>
      </c>
      <c r="B8" s="120"/>
      <c r="C8" s="120"/>
      <c r="D8" s="121"/>
    </row>
    <row r="9" spans="1:6" x14ac:dyDescent="0.25">
      <c r="A9" s="118" t="s">
        <v>10</v>
      </c>
      <c r="B9" s="118"/>
      <c r="C9" s="2">
        <f>E6*C2</f>
        <v>550</v>
      </c>
      <c r="D9" s="2" t="s">
        <v>8</v>
      </c>
    </row>
    <row r="10" spans="1:6" x14ac:dyDescent="0.25">
      <c r="A10" s="118" t="s">
        <v>7</v>
      </c>
      <c r="B10" s="118"/>
      <c r="C10" s="2">
        <f>C5*C2</f>
        <v>750</v>
      </c>
      <c r="D10" s="2" t="s">
        <v>8</v>
      </c>
    </row>
    <row r="13" spans="1:6" x14ac:dyDescent="0.25">
      <c r="A13" s="119" t="s">
        <v>33</v>
      </c>
      <c r="B13" s="120"/>
      <c r="C13" s="120"/>
      <c r="D13" s="121"/>
    </row>
    <row r="14" spans="1:6" x14ac:dyDescent="0.25">
      <c r="A14" s="118" t="s">
        <v>10</v>
      </c>
      <c r="B14" s="118"/>
      <c r="C14" s="2">
        <f>E6*C2*365</f>
        <v>200750</v>
      </c>
      <c r="D14" s="2" t="s">
        <v>8</v>
      </c>
    </row>
    <row r="15" spans="1:6" x14ac:dyDescent="0.25">
      <c r="A15" s="118" t="s">
        <v>7</v>
      </c>
      <c r="B15" s="118"/>
      <c r="C15" s="2">
        <f>C5*C2*365</f>
        <v>273750</v>
      </c>
      <c r="D15" s="2" t="s">
        <v>8</v>
      </c>
    </row>
    <row r="16" spans="1:6" x14ac:dyDescent="0.25">
      <c r="C16">
        <f>C15-C14</f>
        <v>73000</v>
      </c>
    </row>
  </sheetData>
  <mergeCells count="6">
    <mergeCell ref="A15:B15"/>
    <mergeCell ref="A9:B9"/>
    <mergeCell ref="A10:B10"/>
    <mergeCell ref="A8:D8"/>
    <mergeCell ref="A13:D13"/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5DA-3A97-4EDD-86DE-C4AA4C053136}">
  <dimension ref="A1:F26"/>
  <sheetViews>
    <sheetView workbookViewId="0">
      <selection activeCell="H22" sqref="H22"/>
    </sheetView>
  </sheetViews>
  <sheetFormatPr defaultRowHeight="15" x14ac:dyDescent="0.25"/>
  <cols>
    <col min="1" max="1" width="24.28515625" bestFit="1" customWidth="1"/>
  </cols>
  <sheetData>
    <row r="1" spans="1:6" x14ac:dyDescent="0.25">
      <c r="B1" t="s">
        <v>12</v>
      </c>
    </row>
    <row r="2" spans="1:6" x14ac:dyDescent="0.25">
      <c r="A2" t="s">
        <v>13</v>
      </c>
    </row>
    <row r="4" spans="1:6" x14ac:dyDescent="0.25">
      <c r="A4" t="s">
        <v>14</v>
      </c>
      <c r="C4">
        <v>35</v>
      </c>
      <c r="D4" t="s">
        <v>15</v>
      </c>
      <c r="E4">
        <v>0.35</v>
      </c>
      <c r="F4" t="s">
        <v>18</v>
      </c>
    </row>
    <row r="6" spans="1:6" x14ac:dyDescent="0.25">
      <c r="A6" t="s">
        <v>16</v>
      </c>
      <c r="B6">
        <f>costi!A4*costi!A3*2</f>
        <v>325</v>
      </c>
    </row>
    <row r="8" spans="1:6" x14ac:dyDescent="0.25">
      <c r="A8" t="s">
        <v>17</v>
      </c>
      <c r="B8">
        <f>E4*B6</f>
        <v>113.74999999999999</v>
      </c>
    </row>
    <row r="10" spans="1:6" x14ac:dyDescent="0.25">
      <c r="A10" t="s">
        <v>19</v>
      </c>
      <c r="B10">
        <v>0.26700000000000002</v>
      </c>
      <c r="C10" t="s">
        <v>20</v>
      </c>
      <c r="E10" t="s">
        <v>21</v>
      </c>
      <c r="F10" s="1" t="s">
        <v>22</v>
      </c>
    </row>
    <row r="12" spans="1:6" x14ac:dyDescent="0.25">
      <c r="A12" t="s">
        <v>23</v>
      </c>
      <c r="B12">
        <v>4.07E-2</v>
      </c>
      <c r="C12" t="s">
        <v>24</v>
      </c>
      <c r="D12" t="s">
        <v>26</v>
      </c>
    </row>
    <row r="13" spans="1:6" x14ac:dyDescent="0.25">
      <c r="A13" t="s">
        <v>25</v>
      </c>
      <c r="B13">
        <v>0.26417200000000002</v>
      </c>
      <c r="C13" t="s">
        <v>27</v>
      </c>
    </row>
    <row r="15" spans="1:6" x14ac:dyDescent="0.25">
      <c r="A15" t="s">
        <v>28</v>
      </c>
      <c r="B15">
        <f>B8*B13*B12</f>
        <v>1.2230172954999998</v>
      </c>
    </row>
    <row r="17" spans="1:4" x14ac:dyDescent="0.25">
      <c r="A17" t="s">
        <v>29</v>
      </c>
      <c r="B17">
        <f>B15*B10</f>
        <v>0.32654561789849995</v>
      </c>
    </row>
    <row r="18" spans="1:4" x14ac:dyDescent="0.25">
      <c r="A18" t="s">
        <v>30</v>
      </c>
      <c r="B18">
        <f>B17*365</f>
        <v>119.18915053295248</v>
      </c>
    </row>
    <row r="19" spans="1:4" x14ac:dyDescent="0.25">
      <c r="A19" t="s">
        <v>31</v>
      </c>
      <c r="B19">
        <f>B18*20</f>
        <v>2383.7830106590495</v>
      </c>
    </row>
    <row r="21" spans="1:4" x14ac:dyDescent="0.25">
      <c r="A21" s="119" t="s">
        <v>32</v>
      </c>
      <c r="B21" s="120"/>
      <c r="C21" s="120"/>
      <c r="D21" s="121"/>
    </row>
    <row r="22" spans="1:4" x14ac:dyDescent="0.25">
      <c r="A22" s="118" t="s">
        <v>34</v>
      </c>
      <c r="B22" s="118"/>
      <c r="C22" s="2">
        <f>B10*B15</f>
        <v>0.32654561789849995</v>
      </c>
      <c r="D22" s="2" t="s">
        <v>35</v>
      </c>
    </row>
    <row r="25" spans="1:4" x14ac:dyDescent="0.25">
      <c r="A25" s="119" t="s">
        <v>33</v>
      </c>
      <c r="B25" s="120"/>
      <c r="C25" s="120"/>
      <c r="D25" s="121"/>
    </row>
    <row r="26" spans="1:4" x14ac:dyDescent="0.25">
      <c r="A26" s="118" t="s">
        <v>34</v>
      </c>
      <c r="B26" s="118"/>
      <c r="C26" s="2">
        <f>C22*365</f>
        <v>119.18915053295248</v>
      </c>
      <c r="D26" s="2" t="s">
        <v>35</v>
      </c>
    </row>
  </sheetData>
  <mergeCells count="4">
    <mergeCell ref="A21:D21"/>
    <mergeCell ref="A22:B22"/>
    <mergeCell ref="A25:D25"/>
    <mergeCell ref="A26:B26"/>
  </mergeCells>
  <hyperlinks>
    <hyperlink ref="F10" r:id="rId1" xr:uid="{6C428DA9-A9C0-45C0-B6F2-FF7AB48AB2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C8C-652F-4A13-BA69-F9F1ECA79FF9}">
  <dimension ref="A1:O40"/>
  <sheetViews>
    <sheetView topLeftCell="A4" workbookViewId="0">
      <selection activeCell="A16" sqref="A16"/>
    </sheetView>
  </sheetViews>
  <sheetFormatPr defaultRowHeight="15" x14ac:dyDescent="0.25"/>
  <sheetData>
    <row r="1" spans="1:14" x14ac:dyDescent="0.25">
      <c r="A1" t="s">
        <v>47</v>
      </c>
      <c r="B1" t="s">
        <v>48</v>
      </c>
    </row>
    <row r="2" spans="1:14" x14ac:dyDescent="0.25">
      <c r="A2" t="s">
        <v>50</v>
      </c>
    </row>
    <row r="4" spans="1:14" x14ac:dyDescent="0.25">
      <c r="A4" s="124" t="s">
        <v>49</v>
      </c>
      <c r="B4" s="124"/>
      <c r="C4" s="124"/>
      <c r="D4" s="124"/>
    </row>
    <row r="5" spans="1:14" ht="15" customHeight="1" x14ac:dyDescent="0.25">
      <c r="A5" s="125" t="s">
        <v>57</v>
      </c>
      <c r="B5" s="125"/>
      <c r="C5" s="125"/>
      <c r="D5" s="125"/>
      <c r="F5" t="s">
        <v>51</v>
      </c>
      <c r="G5" t="s">
        <v>53</v>
      </c>
      <c r="H5" t="s">
        <v>54</v>
      </c>
    </row>
    <row r="6" spans="1:14" x14ac:dyDescent="0.25">
      <c r="A6" s="125"/>
      <c r="B6" s="125"/>
      <c r="C6" s="125"/>
      <c r="D6" s="125"/>
      <c r="E6" t="s">
        <v>52</v>
      </c>
      <c r="F6">
        <v>100</v>
      </c>
      <c r="G6">
        <v>32.4</v>
      </c>
      <c r="H6">
        <v>67.599999999999994</v>
      </c>
    </row>
    <row r="7" spans="1:14" x14ac:dyDescent="0.25">
      <c r="A7" s="125"/>
      <c r="B7" s="125"/>
      <c r="C7" s="125"/>
      <c r="D7" s="125"/>
    </row>
    <row r="8" spans="1:14" ht="48.75" customHeight="1" x14ac:dyDescent="0.25">
      <c r="A8" s="126" t="s">
        <v>55</v>
      </c>
      <c r="B8" s="126"/>
      <c r="C8" s="126"/>
      <c r="D8" s="126"/>
    </row>
    <row r="9" spans="1:14" ht="15" customHeight="1" x14ac:dyDescent="0.25">
      <c r="A9" s="127" t="s">
        <v>59</v>
      </c>
      <c r="B9" s="127"/>
      <c r="C9" s="127"/>
      <c r="D9" s="127"/>
      <c r="E9" t="s">
        <v>60</v>
      </c>
    </row>
    <row r="10" spans="1:14" x14ac:dyDescent="0.25">
      <c r="A10" s="127"/>
      <c r="B10" s="127"/>
      <c r="C10" s="127"/>
      <c r="D10" s="127"/>
      <c r="E10">
        <f>50000</f>
        <v>50000</v>
      </c>
      <c r="F10" t="s">
        <v>6</v>
      </c>
    </row>
    <row r="11" spans="1:14" x14ac:dyDescent="0.25">
      <c r="A11" s="127"/>
      <c r="B11" s="127"/>
      <c r="C11" s="127"/>
      <c r="D11" s="127"/>
      <c r="E11">
        <f>E10/24</f>
        <v>2083.3333333333335</v>
      </c>
      <c r="F11" t="s">
        <v>61</v>
      </c>
      <c r="N11" t="s">
        <v>63</v>
      </c>
    </row>
    <row r="12" spans="1:14" x14ac:dyDescent="0.25">
      <c r="A12" s="127"/>
      <c r="B12" s="127"/>
      <c r="C12" s="127"/>
      <c r="D12" s="127"/>
      <c r="E12" t="s">
        <v>62</v>
      </c>
    </row>
    <row r="15" spans="1:14" x14ac:dyDescent="0.25">
      <c r="A15" t="s">
        <v>64</v>
      </c>
    </row>
    <row r="16" spans="1:14" x14ac:dyDescent="0.25">
      <c r="A16">
        <f>50000</f>
        <v>50000</v>
      </c>
      <c r="B16" t="s">
        <v>6</v>
      </c>
    </row>
    <row r="17" spans="1:15" x14ac:dyDescent="0.25">
      <c r="A17" t="s">
        <v>65</v>
      </c>
    </row>
    <row r="18" spans="1:15" x14ac:dyDescent="0.25">
      <c r="B18" t="s">
        <v>66</v>
      </c>
    </row>
    <row r="19" spans="1:15" x14ac:dyDescent="0.25">
      <c r="B19">
        <f>G6/F6*A16</f>
        <v>16200</v>
      </c>
      <c r="C19" t="s">
        <v>6</v>
      </c>
    </row>
    <row r="20" spans="1:15" x14ac:dyDescent="0.25">
      <c r="B20" t="s">
        <v>54</v>
      </c>
    </row>
    <row r="21" spans="1:15" x14ac:dyDescent="0.25">
      <c r="B21">
        <f>A16*H6/F6</f>
        <v>33799.999999999993</v>
      </c>
      <c r="C21" t="s">
        <v>6</v>
      </c>
      <c r="H21" s="3"/>
      <c r="I21" s="4"/>
      <c r="J21" s="4"/>
      <c r="K21" s="4"/>
      <c r="L21" s="4"/>
      <c r="M21" s="4"/>
      <c r="N21" s="4"/>
      <c r="O21" s="5"/>
    </row>
    <row r="22" spans="1:15" x14ac:dyDescent="0.25">
      <c r="H22" s="6" t="s">
        <v>77</v>
      </c>
      <c r="I22" s="7"/>
      <c r="J22" s="7"/>
      <c r="K22" s="7"/>
      <c r="L22" s="7">
        <f>costi!E6*(1+'Osmosi inversa'!H6/100)</f>
        <v>1.8435999999999998E-2</v>
      </c>
      <c r="M22" s="7"/>
      <c r="N22" s="7" t="s">
        <v>79</v>
      </c>
      <c r="O22" s="8"/>
    </row>
    <row r="23" spans="1:15" x14ac:dyDescent="0.25">
      <c r="A23" t="s">
        <v>67</v>
      </c>
      <c r="H23" s="9"/>
      <c r="I23" s="10"/>
      <c r="J23" s="10"/>
      <c r="K23" s="10"/>
      <c r="L23" s="10"/>
      <c r="M23" s="10"/>
      <c r="N23" s="10"/>
      <c r="O23" s="11"/>
    </row>
    <row r="24" spans="1:15" x14ac:dyDescent="0.25">
      <c r="A24">
        <f>B21/A16*100</f>
        <v>67.59999999999998</v>
      </c>
      <c r="B24" t="s">
        <v>68</v>
      </c>
      <c r="G24" s="13" t="s">
        <v>80</v>
      </c>
      <c r="H24" s="14"/>
      <c r="I24" s="4"/>
      <c r="J24" s="4"/>
      <c r="K24" s="4"/>
      <c r="L24" s="4"/>
      <c r="M24" s="4"/>
      <c r="N24" s="4"/>
      <c r="O24" s="5"/>
    </row>
    <row r="25" spans="1:15" x14ac:dyDescent="0.25">
      <c r="A25" t="s">
        <v>69</v>
      </c>
      <c r="G25" s="6" t="s">
        <v>71</v>
      </c>
      <c r="H25" s="7">
        <f>costi!C5*'Osmosi inversa'!B19</f>
        <v>243</v>
      </c>
      <c r="I25" s="7" t="s">
        <v>72</v>
      </c>
      <c r="J25" s="7">
        <f>H25*365</f>
        <v>88695</v>
      </c>
      <c r="K25" s="7" t="s">
        <v>73</v>
      </c>
      <c r="L25" s="7">
        <f>costi!C15-'Osmosi inversa'!J25</f>
        <v>185055</v>
      </c>
      <c r="M25" s="7" t="s">
        <v>75</v>
      </c>
      <c r="N25" s="7">
        <f>L25/costi!C15*100</f>
        <v>67.600000000000009</v>
      </c>
      <c r="O25" s="8" t="s">
        <v>76</v>
      </c>
    </row>
    <row r="26" spans="1:15" x14ac:dyDescent="0.25">
      <c r="A26" t="s">
        <v>70</v>
      </c>
      <c r="G26" s="6" t="s">
        <v>74</v>
      </c>
      <c r="H26" s="7">
        <v>550</v>
      </c>
      <c r="I26" s="7" t="s">
        <v>72</v>
      </c>
      <c r="J26" s="7">
        <f>H26*365</f>
        <v>200750</v>
      </c>
      <c r="K26" s="7" t="s">
        <v>73</v>
      </c>
      <c r="L26" s="7">
        <f>costi!C14-'Osmosi inversa'!J26</f>
        <v>0</v>
      </c>
      <c r="M26" s="7" t="s">
        <v>75</v>
      </c>
      <c r="N26" s="7"/>
      <c r="O26" s="8"/>
    </row>
    <row r="27" spans="1:15" x14ac:dyDescent="0.25">
      <c r="G27" s="6"/>
      <c r="H27" s="7"/>
      <c r="I27" s="7"/>
      <c r="J27" s="7"/>
      <c r="K27" s="7"/>
      <c r="L27" s="7"/>
      <c r="M27" s="7"/>
      <c r="N27" s="7"/>
      <c r="O27" s="8"/>
    </row>
    <row r="28" spans="1:15" x14ac:dyDescent="0.25">
      <c r="G28" s="15" t="s">
        <v>78</v>
      </c>
      <c r="H28" s="16"/>
      <c r="I28" s="17">
        <f>J25-J26</f>
        <v>-112055</v>
      </c>
      <c r="J28" s="18" t="s">
        <v>73</v>
      </c>
      <c r="K28" s="10"/>
      <c r="L28" s="10"/>
      <c r="M28" s="10"/>
      <c r="N28" s="10"/>
      <c r="O28" s="11"/>
    </row>
    <row r="29" spans="1:15" x14ac:dyDescent="0.25">
      <c r="G29" s="13" t="s">
        <v>81</v>
      </c>
      <c r="H29" s="14"/>
      <c r="I29" s="4"/>
      <c r="J29" s="4"/>
      <c r="K29" s="4"/>
      <c r="L29" s="4"/>
      <c r="M29" s="4"/>
      <c r="N29" s="4"/>
      <c r="O29" s="5"/>
    </row>
    <row r="30" spans="1:15" x14ac:dyDescent="0.25">
      <c r="G30" s="6" t="s">
        <v>14</v>
      </c>
      <c r="H30" s="7"/>
      <c r="I30" s="7">
        <v>35</v>
      </c>
      <c r="J30" s="7" t="s">
        <v>15</v>
      </c>
      <c r="K30" s="7">
        <v>0.35</v>
      </c>
      <c r="L30" s="7" t="s">
        <v>18</v>
      </c>
      <c r="M30" s="7"/>
      <c r="N30" s="7"/>
      <c r="O30" s="8"/>
    </row>
    <row r="31" spans="1:15" x14ac:dyDescent="0.25">
      <c r="G31" s="6" t="s">
        <v>16</v>
      </c>
      <c r="H31" s="7"/>
      <c r="I31" s="7">
        <f>'CO2'!B6*'Osmosi inversa'!G6/100</f>
        <v>105.3</v>
      </c>
      <c r="J31" s="7" t="s">
        <v>82</v>
      </c>
      <c r="K31" s="7"/>
      <c r="L31" s="7"/>
      <c r="M31" s="7"/>
      <c r="N31" s="7"/>
      <c r="O31" s="8"/>
    </row>
    <row r="32" spans="1:15" x14ac:dyDescent="0.25">
      <c r="G32" s="6" t="s">
        <v>17</v>
      </c>
      <c r="H32" s="7"/>
      <c r="I32" s="7">
        <f>I31*K30</f>
        <v>36.854999999999997</v>
      </c>
      <c r="J32" s="7"/>
      <c r="K32" s="7"/>
      <c r="L32" s="7"/>
      <c r="M32" s="7"/>
      <c r="N32" s="7"/>
      <c r="O32" s="8"/>
    </row>
    <row r="33" spans="7:15" x14ac:dyDescent="0.25">
      <c r="G33" s="6" t="s">
        <v>19</v>
      </c>
      <c r="H33" s="7"/>
      <c r="I33" s="7">
        <v>0.26700000000000002</v>
      </c>
      <c r="J33" s="7" t="s">
        <v>20</v>
      </c>
      <c r="K33" s="7"/>
      <c r="L33" s="7"/>
      <c r="M33" s="7"/>
      <c r="N33" s="7"/>
      <c r="O33" s="8"/>
    </row>
    <row r="34" spans="7:15" x14ac:dyDescent="0.25">
      <c r="G34" s="122" t="s">
        <v>23</v>
      </c>
      <c r="H34" s="123"/>
      <c r="I34" s="7">
        <v>4.07E-2</v>
      </c>
      <c r="J34" s="7" t="s">
        <v>24</v>
      </c>
      <c r="K34" s="7" t="s">
        <v>26</v>
      </c>
      <c r="L34" s="7"/>
      <c r="M34" s="7"/>
      <c r="N34" s="7"/>
      <c r="O34" s="8"/>
    </row>
    <row r="35" spans="7:15" x14ac:dyDescent="0.25">
      <c r="G35" s="122" t="s">
        <v>25</v>
      </c>
      <c r="H35" s="123"/>
      <c r="I35" s="7">
        <v>0.26417200000000002</v>
      </c>
      <c r="J35" s="7" t="s">
        <v>27</v>
      </c>
      <c r="K35" s="7"/>
      <c r="L35" s="7"/>
      <c r="M35" s="7"/>
      <c r="N35" s="7"/>
      <c r="O35" s="8"/>
    </row>
    <row r="36" spans="7:15" x14ac:dyDescent="0.25">
      <c r="G36" s="6" t="s">
        <v>28</v>
      </c>
      <c r="H36" s="7"/>
      <c r="I36" s="7">
        <f>I35*I34*I32</f>
        <v>0.39625760374199998</v>
      </c>
      <c r="J36" s="7" t="s">
        <v>24</v>
      </c>
      <c r="K36" s="7">
        <f>I36/'CO2'!B15*100</f>
        <v>32.4</v>
      </c>
      <c r="L36" s="7" t="s">
        <v>83</v>
      </c>
      <c r="M36" s="7"/>
      <c r="N36" s="7"/>
      <c r="O36" s="8"/>
    </row>
    <row r="37" spans="7:15" x14ac:dyDescent="0.25">
      <c r="G37" s="122" t="s">
        <v>34</v>
      </c>
      <c r="H37" s="123"/>
      <c r="I37" s="7">
        <f>I36*I33</f>
        <v>0.105800780199114</v>
      </c>
      <c r="J37" s="7" t="s">
        <v>84</v>
      </c>
      <c r="K37" s="7"/>
      <c r="L37" s="7"/>
      <c r="M37" s="7"/>
      <c r="N37" s="7"/>
      <c r="O37" s="8"/>
    </row>
    <row r="38" spans="7:15" x14ac:dyDescent="0.25">
      <c r="G38" s="119" t="s">
        <v>34</v>
      </c>
      <c r="H38" s="120"/>
      <c r="I38" s="17">
        <f>I37*365</f>
        <v>38.617284772676612</v>
      </c>
      <c r="J38" s="18" t="s">
        <v>85</v>
      </c>
      <c r="K38" s="7"/>
      <c r="L38" s="7"/>
      <c r="M38" s="7"/>
      <c r="N38" s="7"/>
      <c r="O38" s="8"/>
    </row>
    <row r="39" spans="7:15" x14ac:dyDescent="0.25">
      <c r="G39" s="6" t="s">
        <v>86</v>
      </c>
      <c r="H39" s="7"/>
      <c r="I39" s="7">
        <f>'CO2'!C26-'Osmosi inversa'!I38</f>
        <v>80.57186576027587</v>
      </c>
      <c r="J39" s="4" t="s">
        <v>85</v>
      </c>
      <c r="K39" s="7"/>
      <c r="L39" s="7"/>
      <c r="M39" s="7"/>
      <c r="N39" s="7"/>
      <c r="O39" s="8"/>
    </row>
    <row r="40" spans="7:15" x14ac:dyDescent="0.25">
      <c r="G40" s="9" t="s">
        <v>86</v>
      </c>
      <c r="H40" s="10"/>
      <c r="I40" s="10">
        <f>I39/'CO2'!C26*100</f>
        <v>67.599999999999994</v>
      </c>
      <c r="J40" s="19" t="s">
        <v>83</v>
      </c>
      <c r="K40" s="10"/>
      <c r="L40" s="10"/>
      <c r="M40" s="10"/>
      <c r="N40" s="10"/>
      <c r="O40" s="11"/>
    </row>
  </sheetData>
  <mergeCells count="8">
    <mergeCell ref="G34:H34"/>
    <mergeCell ref="G35:H35"/>
    <mergeCell ref="G37:H37"/>
    <mergeCell ref="G38:H38"/>
    <mergeCell ref="A4:D4"/>
    <mergeCell ref="A5:D7"/>
    <mergeCell ref="A8:D8"/>
    <mergeCell ref="A9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4202-EFB0-4FCA-9EB4-1D4A4CA3F2D2}">
  <dimension ref="A1:F16"/>
  <sheetViews>
    <sheetView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21.42578125" bestFit="1" customWidth="1"/>
  </cols>
  <sheetData>
    <row r="1" spans="1:6" ht="15.75" thickBot="1" x14ac:dyDescent="0.3">
      <c r="C1" t="s">
        <v>176</v>
      </c>
    </row>
    <row r="2" spans="1:6" ht="15.75" thickBot="1" x14ac:dyDescent="0.3">
      <c r="A2" s="91" t="s">
        <v>178</v>
      </c>
      <c r="B2" s="92" t="s">
        <v>177</v>
      </c>
      <c r="C2" s="93">
        <v>205000</v>
      </c>
      <c r="D2" t="s">
        <v>8</v>
      </c>
    </row>
    <row r="3" spans="1:6" x14ac:dyDescent="0.25">
      <c r="A3" s="128" t="s">
        <v>179</v>
      </c>
      <c r="B3" s="27" t="s">
        <v>180</v>
      </c>
      <c r="C3" s="29">
        <f>40*10*E3*365</f>
        <v>21900</v>
      </c>
      <c r="D3" t="s">
        <v>73</v>
      </c>
      <c r="E3">
        <f>'analisi energetica'!B5</f>
        <v>0.15</v>
      </c>
      <c r="F3" t="s">
        <v>109</v>
      </c>
    </row>
    <row r="4" spans="1:6" x14ac:dyDescent="0.25">
      <c r="A4" s="129"/>
      <c r="B4" s="7" t="s">
        <v>181</v>
      </c>
      <c r="C4" s="30">
        <f>70*365</f>
        <v>25550</v>
      </c>
      <c r="D4" t="s">
        <v>73</v>
      </c>
    </row>
    <row r="5" spans="1:6" ht="15.75" thickBot="1" x14ac:dyDescent="0.3">
      <c r="A5" s="130"/>
      <c r="B5" s="32" t="s">
        <v>182</v>
      </c>
      <c r="C5" s="33">
        <f>35*365</f>
        <v>12775</v>
      </c>
      <c r="D5" t="s">
        <v>73</v>
      </c>
    </row>
    <row r="6" spans="1:6" x14ac:dyDescent="0.25">
      <c r="B6" s="73" t="s">
        <v>183</v>
      </c>
      <c r="C6">
        <f>SUM(C3:C5)</f>
        <v>60225</v>
      </c>
      <c r="D6" t="s">
        <v>73</v>
      </c>
    </row>
    <row r="8" spans="1:6" x14ac:dyDescent="0.25">
      <c r="A8" t="s">
        <v>184</v>
      </c>
      <c r="B8" t="s">
        <v>184</v>
      </c>
      <c r="C8">
        <v>88695</v>
      </c>
      <c r="D8" t="s">
        <v>73</v>
      </c>
    </row>
    <row r="9" spans="1:6" x14ac:dyDescent="0.25">
      <c r="E9">
        <f>C10-C8</f>
        <v>165563.99999999997</v>
      </c>
    </row>
    <row r="10" spans="1:6" x14ac:dyDescent="0.25">
      <c r="A10" t="s">
        <v>185</v>
      </c>
      <c r="B10" t="s">
        <v>185</v>
      </c>
      <c r="C10">
        <f>0.043*'Osmosi inversa'!B19*365</f>
        <v>254258.99999999997</v>
      </c>
      <c r="D10" t="s">
        <v>73</v>
      </c>
    </row>
    <row r="11" spans="1:6" ht="15.75" thickBot="1" x14ac:dyDescent="0.3"/>
    <row r="12" spans="1:6" ht="15.75" thickBot="1" x14ac:dyDescent="0.3">
      <c r="B12" t="s">
        <v>186</v>
      </c>
      <c r="C12" s="91">
        <f>C6+C8-C10</f>
        <v>-105338.99999999997</v>
      </c>
      <c r="D12" s="93" t="s">
        <v>73</v>
      </c>
    </row>
    <row r="15" spans="1:6" ht="15.75" thickBot="1" x14ac:dyDescent="0.3"/>
    <row r="16" spans="1:6" ht="15.75" thickBot="1" x14ac:dyDescent="0.3">
      <c r="A16" s="91" t="s">
        <v>124</v>
      </c>
      <c r="B16" s="92"/>
      <c r="C16" s="93">
        <f>'Osmosi inversa'!I38</f>
        <v>38.617284772676612</v>
      </c>
      <c r="D16" t="s">
        <v>85</v>
      </c>
    </row>
  </sheetData>
  <mergeCells count="1">
    <mergeCell ref="A3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B4AD-CD2C-4638-B27C-6006EF0A50B0}">
  <dimension ref="A1:O39"/>
  <sheetViews>
    <sheetView workbookViewId="0">
      <selection activeCell="J24" sqref="J24"/>
    </sheetView>
  </sheetViews>
  <sheetFormatPr defaultRowHeight="15" x14ac:dyDescent="0.25"/>
  <sheetData>
    <row r="1" spans="1:8" x14ac:dyDescent="0.25">
      <c r="A1" t="s">
        <v>47</v>
      </c>
      <c r="B1" t="s">
        <v>48</v>
      </c>
    </row>
    <row r="2" spans="1:8" x14ac:dyDescent="0.25">
      <c r="A2" t="s">
        <v>50</v>
      </c>
    </row>
    <row r="4" spans="1:8" x14ac:dyDescent="0.25">
      <c r="A4" s="124" t="s">
        <v>49</v>
      </c>
      <c r="B4" s="124"/>
      <c r="C4" s="124"/>
      <c r="D4" s="124"/>
    </row>
    <row r="5" spans="1:8" x14ac:dyDescent="0.25">
      <c r="A5" s="125" t="s">
        <v>58</v>
      </c>
      <c r="B5" s="125"/>
      <c r="C5" s="125"/>
      <c r="D5" s="125"/>
      <c r="F5" t="s">
        <v>51</v>
      </c>
      <c r="G5" t="s">
        <v>56</v>
      </c>
      <c r="H5" t="s">
        <v>54</v>
      </c>
    </row>
    <row r="6" spans="1:8" x14ac:dyDescent="0.25">
      <c r="A6" s="125"/>
      <c r="B6" s="125"/>
      <c r="C6" s="125"/>
      <c r="D6" s="125"/>
      <c r="E6" t="s">
        <v>52</v>
      </c>
      <c r="F6">
        <v>100</v>
      </c>
      <c r="G6">
        <v>24</v>
      </c>
      <c r="H6">
        <v>76</v>
      </c>
    </row>
    <row r="7" spans="1:8" ht="28.5" customHeight="1" x14ac:dyDescent="0.25">
      <c r="A7" s="125"/>
      <c r="B7" s="125"/>
      <c r="C7" s="125"/>
      <c r="D7" s="125"/>
    </row>
    <row r="8" spans="1:8" x14ac:dyDescent="0.25">
      <c r="A8" s="126"/>
      <c r="B8" s="126"/>
      <c r="C8" s="126"/>
      <c r="D8" s="126"/>
    </row>
    <row r="13" spans="1:8" x14ac:dyDescent="0.25">
      <c r="A13" t="s">
        <v>64</v>
      </c>
    </row>
    <row r="14" spans="1:8" x14ac:dyDescent="0.25">
      <c r="A14">
        <f>50000</f>
        <v>50000</v>
      </c>
      <c r="B14" t="s">
        <v>6</v>
      </c>
    </row>
    <row r="15" spans="1:8" x14ac:dyDescent="0.25">
      <c r="A15" t="s">
        <v>65</v>
      </c>
    </row>
    <row r="16" spans="1:8" x14ac:dyDescent="0.25">
      <c r="B16" t="s">
        <v>66</v>
      </c>
    </row>
    <row r="17" spans="1:15" x14ac:dyDescent="0.25">
      <c r="B17">
        <f>G6/F6*A14</f>
        <v>12000</v>
      </c>
      <c r="C17" t="s">
        <v>6</v>
      </c>
    </row>
    <row r="18" spans="1:15" x14ac:dyDescent="0.25">
      <c r="B18" t="s">
        <v>54</v>
      </c>
    </row>
    <row r="19" spans="1:15" x14ac:dyDescent="0.25">
      <c r="B19">
        <f>A14*H6/F6</f>
        <v>38000</v>
      </c>
      <c r="C19" t="s">
        <v>6</v>
      </c>
    </row>
    <row r="21" spans="1:15" x14ac:dyDescent="0.25">
      <c r="A21" t="s">
        <v>67</v>
      </c>
    </row>
    <row r="22" spans="1:15" x14ac:dyDescent="0.25">
      <c r="A22">
        <f>B19/A14*100</f>
        <v>76</v>
      </c>
      <c r="B22" t="s">
        <v>68</v>
      </c>
    </row>
    <row r="23" spans="1:15" x14ac:dyDescent="0.25">
      <c r="A23" t="s">
        <v>69</v>
      </c>
      <c r="G23" s="3" t="s">
        <v>80</v>
      </c>
      <c r="H23" s="4"/>
      <c r="I23" s="4"/>
      <c r="J23" s="4"/>
      <c r="K23" s="4"/>
      <c r="L23" s="4"/>
      <c r="M23" s="4"/>
      <c r="N23" s="4"/>
      <c r="O23" s="5"/>
    </row>
    <row r="24" spans="1:15" x14ac:dyDescent="0.25">
      <c r="A24" t="s">
        <v>70</v>
      </c>
      <c r="G24" s="6" t="s">
        <v>71</v>
      </c>
      <c r="H24" s="7">
        <f>costi!C5*Nanofiltrazione!B17</f>
        <v>180</v>
      </c>
      <c r="I24" s="7" t="s">
        <v>72</v>
      </c>
      <c r="J24" s="7">
        <f>H24*365</f>
        <v>65700</v>
      </c>
      <c r="K24" s="7" t="s">
        <v>73</v>
      </c>
      <c r="L24" s="7">
        <f>costi!C15-Nanofiltrazione!J24</f>
        <v>208050</v>
      </c>
      <c r="M24" s="7" t="s">
        <v>75</v>
      </c>
      <c r="N24" s="7">
        <f>L24/costi!C15*100</f>
        <v>76</v>
      </c>
      <c r="O24" s="8" t="s">
        <v>76</v>
      </c>
    </row>
    <row r="25" spans="1:15" x14ac:dyDescent="0.25">
      <c r="G25" s="6" t="s">
        <v>74</v>
      </c>
      <c r="H25" s="7">
        <v>550</v>
      </c>
      <c r="I25" s="7" t="s">
        <v>72</v>
      </c>
      <c r="J25" s="7">
        <f>H25*365</f>
        <v>200750</v>
      </c>
      <c r="K25" s="7" t="s">
        <v>73</v>
      </c>
      <c r="L25" s="7">
        <f>costi!C14-Nanofiltrazione!J25</f>
        <v>0</v>
      </c>
      <c r="M25" s="7" t="s">
        <v>75</v>
      </c>
      <c r="N25" s="7"/>
      <c r="O25" s="8"/>
    </row>
    <row r="26" spans="1:15" x14ac:dyDescent="0.25">
      <c r="G26" s="6"/>
      <c r="H26" s="7"/>
      <c r="I26" s="7"/>
      <c r="J26" s="7"/>
      <c r="K26" s="7"/>
      <c r="L26" s="7"/>
      <c r="M26" s="7"/>
      <c r="N26" s="7"/>
      <c r="O26" s="8"/>
    </row>
    <row r="27" spans="1:15" x14ac:dyDescent="0.25">
      <c r="G27" s="9" t="s">
        <v>78</v>
      </c>
      <c r="H27" s="10"/>
      <c r="I27" s="12">
        <f>J24-J25</f>
        <v>-135050</v>
      </c>
      <c r="J27" s="10" t="s">
        <v>73</v>
      </c>
      <c r="K27" s="10"/>
      <c r="L27" s="10"/>
      <c r="M27" s="10"/>
      <c r="N27" s="10"/>
      <c r="O27" s="11"/>
    </row>
    <row r="28" spans="1:15" x14ac:dyDescent="0.25">
      <c r="G28" s="13" t="s">
        <v>81</v>
      </c>
      <c r="H28" s="14"/>
      <c r="I28" s="4"/>
      <c r="J28" s="4"/>
      <c r="K28" s="4"/>
      <c r="L28" s="4"/>
      <c r="M28" s="4"/>
      <c r="N28" s="4"/>
      <c r="O28" s="5"/>
    </row>
    <row r="29" spans="1:15" x14ac:dyDescent="0.25">
      <c r="G29" s="6" t="s">
        <v>14</v>
      </c>
      <c r="H29" s="7"/>
      <c r="I29" s="7">
        <v>35</v>
      </c>
      <c r="J29" s="7" t="s">
        <v>15</v>
      </c>
      <c r="K29" s="7">
        <v>0.35</v>
      </c>
      <c r="L29" s="7" t="s">
        <v>18</v>
      </c>
      <c r="M29" s="7"/>
      <c r="N29" s="7"/>
      <c r="O29" s="8"/>
    </row>
    <row r="30" spans="1:15" x14ac:dyDescent="0.25">
      <c r="G30" s="6" t="s">
        <v>16</v>
      </c>
      <c r="H30" s="7"/>
      <c r="I30" s="7">
        <f>'CO2'!B6*Nanofiltrazione!G6/100</f>
        <v>78</v>
      </c>
      <c r="J30" s="7" t="s">
        <v>82</v>
      </c>
      <c r="K30" s="7"/>
      <c r="L30" s="7"/>
      <c r="M30" s="7"/>
      <c r="N30" s="7"/>
      <c r="O30" s="8"/>
    </row>
    <row r="31" spans="1:15" x14ac:dyDescent="0.25">
      <c r="G31" s="6" t="s">
        <v>17</v>
      </c>
      <c r="H31" s="7"/>
      <c r="I31" s="7">
        <f>I30*K29</f>
        <v>27.299999999999997</v>
      </c>
      <c r="J31" s="7"/>
      <c r="K31" s="7"/>
      <c r="L31" s="7"/>
      <c r="M31" s="7"/>
      <c r="N31" s="7"/>
      <c r="O31" s="8"/>
    </row>
    <row r="32" spans="1:15" x14ac:dyDescent="0.25">
      <c r="G32" s="6" t="s">
        <v>19</v>
      </c>
      <c r="H32" s="7"/>
      <c r="I32" s="7">
        <v>0.26700000000000002</v>
      </c>
      <c r="J32" s="7" t="s">
        <v>20</v>
      </c>
      <c r="K32" s="7"/>
      <c r="L32" s="7"/>
      <c r="M32" s="7"/>
      <c r="N32" s="7"/>
      <c r="O32" s="8"/>
    </row>
    <row r="33" spans="7:15" x14ac:dyDescent="0.25">
      <c r="G33" s="122" t="s">
        <v>23</v>
      </c>
      <c r="H33" s="123"/>
      <c r="I33" s="7">
        <v>4.07E-2</v>
      </c>
      <c r="J33" s="7" t="s">
        <v>24</v>
      </c>
      <c r="K33" s="7" t="s">
        <v>26</v>
      </c>
      <c r="L33" s="7"/>
      <c r="M33" s="7"/>
      <c r="N33" s="7"/>
      <c r="O33" s="8"/>
    </row>
    <row r="34" spans="7:15" x14ac:dyDescent="0.25">
      <c r="G34" s="122" t="s">
        <v>25</v>
      </c>
      <c r="H34" s="123"/>
      <c r="I34" s="7">
        <v>0.26417200000000002</v>
      </c>
      <c r="J34" s="7" t="s">
        <v>27</v>
      </c>
      <c r="K34" s="7"/>
      <c r="L34" s="7"/>
      <c r="M34" s="7"/>
      <c r="N34" s="7"/>
      <c r="O34" s="8"/>
    </row>
    <row r="35" spans="7:15" x14ac:dyDescent="0.25">
      <c r="G35" s="6" t="s">
        <v>28</v>
      </c>
      <c r="H35" s="7"/>
      <c r="I35" s="7">
        <f>I34*I33*I31</f>
        <v>0.29352415092</v>
      </c>
      <c r="J35" s="7" t="s">
        <v>24</v>
      </c>
      <c r="K35" s="7" t="e">
        <f>I35/'CO2'!B14*100</f>
        <v>#DIV/0!</v>
      </c>
      <c r="L35" s="7" t="s">
        <v>83</v>
      </c>
      <c r="M35" s="7"/>
      <c r="N35" s="7"/>
      <c r="O35" s="8"/>
    </row>
    <row r="36" spans="7:15" x14ac:dyDescent="0.25">
      <c r="G36" s="122" t="s">
        <v>34</v>
      </c>
      <c r="H36" s="123"/>
      <c r="I36" s="7">
        <f>I35*I32</f>
        <v>7.8370948295640008E-2</v>
      </c>
      <c r="J36" s="7" t="s">
        <v>84</v>
      </c>
      <c r="K36" s="7"/>
      <c r="L36" s="7"/>
      <c r="M36" s="7"/>
      <c r="N36" s="7"/>
      <c r="O36" s="8"/>
    </row>
    <row r="37" spans="7:15" x14ac:dyDescent="0.25">
      <c r="G37" s="119" t="s">
        <v>34</v>
      </c>
      <c r="H37" s="120"/>
      <c r="I37" s="17">
        <f>I36*365</f>
        <v>28.605396127908602</v>
      </c>
      <c r="J37" s="18" t="s">
        <v>85</v>
      </c>
      <c r="K37" s="7"/>
      <c r="L37" s="7"/>
      <c r="M37" s="7"/>
      <c r="N37" s="7"/>
      <c r="O37" s="8"/>
    </row>
    <row r="38" spans="7:15" x14ac:dyDescent="0.25">
      <c r="G38" s="6" t="s">
        <v>86</v>
      </c>
      <c r="H38" s="7"/>
      <c r="I38" s="7">
        <f>'CO2'!C26-Nanofiltrazione!I37</f>
        <v>90.583754405043877</v>
      </c>
      <c r="J38" s="4" t="s">
        <v>85</v>
      </c>
      <c r="K38" s="7"/>
      <c r="L38" s="7"/>
      <c r="M38" s="7"/>
      <c r="N38" s="7"/>
      <c r="O38" s="8"/>
    </row>
    <row r="39" spans="7:15" x14ac:dyDescent="0.25">
      <c r="G39" s="9" t="s">
        <v>86</v>
      </c>
      <c r="H39" s="10"/>
      <c r="I39" s="10">
        <f>I38/'CO2'!C26*100</f>
        <v>75.999999999999986</v>
      </c>
      <c r="J39" s="19" t="s">
        <v>83</v>
      </c>
      <c r="K39" s="10"/>
      <c r="L39" s="10"/>
      <c r="M39" s="10"/>
      <c r="N39" s="10"/>
      <c r="O39" s="11"/>
    </row>
  </sheetData>
  <mergeCells count="7">
    <mergeCell ref="G37:H37"/>
    <mergeCell ref="A4:D4"/>
    <mergeCell ref="A5:D7"/>
    <mergeCell ref="A8:D8"/>
    <mergeCell ref="G33:H33"/>
    <mergeCell ref="G34:H34"/>
    <mergeCell ref="G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4EFF-ADB4-4050-B0E0-4916454DDB0B}">
  <dimension ref="A1:F16"/>
  <sheetViews>
    <sheetView workbookViewId="0">
      <selection activeCell="E9" sqref="E9"/>
    </sheetView>
  </sheetViews>
  <sheetFormatPr defaultRowHeight="15" x14ac:dyDescent="0.25"/>
  <cols>
    <col min="1" max="1" width="10.42578125" bestFit="1" customWidth="1"/>
    <col min="2" max="2" width="21.42578125" bestFit="1" customWidth="1"/>
  </cols>
  <sheetData>
    <row r="1" spans="1:6" ht="15.75" thickBot="1" x14ac:dyDescent="0.3">
      <c r="C1" t="s">
        <v>176</v>
      </c>
    </row>
    <row r="2" spans="1:6" ht="15.75" thickBot="1" x14ac:dyDescent="0.3">
      <c r="A2" s="91" t="s">
        <v>178</v>
      </c>
      <c r="B2" s="92" t="s">
        <v>177</v>
      </c>
      <c r="C2" s="93">
        <v>220000</v>
      </c>
      <c r="D2" t="s">
        <v>8</v>
      </c>
    </row>
    <row r="3" spans="1:6" x14ac:dyDescent="0.25">
      <c r="A3" s="128" t="s">
        <v>179</v>
      </c>
      <c r="B3" s="27" t="s">
        <v>180</v>
      </c>
      <c r="C3" s="29">
        <f>40*10*E3*365</f>
        <v>21900</v>
      </c>
      <c r="D3" t="s">
        <v>73</v>
      </c>
      <c r="E3">
        <f>'analisi energetica'!B5</f>
        <v>0.15</v>
      </c>
      <c r="F3" t="s">
        <v>109</v>
      </c>
    </row>
    <row r="4" spans="1:6" x14ac:dyDescent="0.25">
      <c r="A4" s="129"/>
      <c r="B4" s="7" t="s">
        <v>181</v>
      </c>
      <c r="C4" s="30">
        <f>70*365</f>
        <v>25550</v>
      </c>
      <c r="D4" t="s">
        <v>73</v>
      </c>
    </row>
    <row r="5" spans="1:6" ht="15.75" thickBot="1" x14ac:dyDescent="0.3">
      <c r="A5" s="130"/>
      <c r="B5" s="32" t="s">
        <v>182</v>
      </c>
      <c r="C5" s="33">
        <f>35*365</f>
        <v>12775</v>
      </c>
      <c r="D5" t="s">
        <v>73</v>
      </c>
    </row>
    <row r="6" spans="1:6" x14ac:dyDescent="0.25">
      <c r="B6" s="73" t="s">
        <v>183</v>
      </c>
      <c r="C6">
        <f>SUM(C3:C5)</f>
        <v>60225</v>
      </c>
      <c r="D6" t="s">
        <v>73</v>
      </c>
    </row>
    <row r="8" spans="1:6" x14ac:dyDescent="0.25">
      <c r="A8" t="s">
        <v>184</v>
      </c>
      <c r="B8" t="s">
        <v>184</v>
      </c>
      <c r="C8">
        <v>65700</v>
      </c>
      <c r="D8" t="s">
        <v>73</v>
      </c>
    </row>
    <row r="9" spans="1:6" x14ac:dyDescent="0.25">
      <c r="E9">
        <f>C10-C8</f>
        <v>153300</v>
      </c>
    </row>
    <row r="10" spans="1:6" x14ac:dyDescent="0.25">
      <c r="A10" t="s">
        <v>185</v>
      </c>
      <c r="B10" t="s">
        <v>185</v>
      </c>
      <c r="C10">
        <f>0.05*Nanofiltrazione!B17*365</f>
        <v>219000</v>
      </c>
      <c r="D10" t="s">
        <v>73</v>
      </c>
    </row>
    <row r="11" spans="1:6" ht="15.75" thickBot="1" x14ac:dyDescent="0.3"/>
    <row r="12" spans="1:6" ht="15.75" thickBot="1" x14ac:dyDescent="0.3">
      <c r="B12" t="s">
        <v>186</v>
      </c>
      <c r="C12" s="91">
        <f>C6+C8-C10</f>
        <v>-93075</v>
      </c>
      <c r="D12" s="93" t="s">
        <v>73</v>
      </c>
    </row>
    <row r="15" spans="1:6" ht="15.75" thickBot="1" x14ac:dyDescent="0.3"/>
    <row r="16" spans="1:6" ht="15.75" thickBot="1" x14ac:dyDescent="0.3">
      <c r="A16" s="91" t="s">
        <v>124</v>
      </c>
      <c r="B16" s="92"/>
      <c r="C16" s="93">
        <f>Nanofiltrazione!I37</f>
        <v>28.605396127908602</v>
      </c>
      <c r="D16" t="s">
        <v>85</v>
      </c>
    </row>
  </sheetData>
  <mergeCells count="1">
    <mergeCell ref="A3:A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C99-35B2-4D11-8904-C5103991B253}">
  <dimension ref="A1:H21"/>
  <sheetViews>
    <sheetView workbookViewId="0">
      <selection activeCell="G12" sqref="A1:G12"/>
    </sheetView>
  </sheetViews>
  <sheetFormatPr defaultRowHeight="15" x14ac:dyDescent="0.25"/>
  <cols>
    <col min="1" max="1" width="12.28515625" bestFit="1" customWidth="1"/>
    <col min="2" max="2" width="35.5703125" bestFit="1" customWidth="1"/>
    <col min="3" max="3" width="39" bestFit="1" customWidth="1"/>
    <col min="4" max="4" width="15.85546875" customWidth="1"/>
    <col min="5" max="5" width="20" bestFit="1" customWidth="1"/>
    <col min="6" max="6" width="16.5703125" bestFit="1" customWidth="1"/>
    <col min="7" max="7" width="26.140625" bestFit="1" customWidth="1"/>
  </cols>
  <sheetData>
    <row r="1" spans="1:8" x14ac:dyDescent="0.25">
      <c r="B1" t="s">
        <v>191</v>
      </c>
      <c r="C1" t="s">
        <v>42</v>
      </c>
      <c r="D1" t="s">
        <v>189</v>
      </c>
      <c r="E1" t="s">
        <v>190</v>
      </c>
      <c r="F1" t="s">
        <v>44</v>
      </c>
      <c r="G1" t="s">
        <v>45</v>
      </c>
    </row>
    <row r="2" spans="1:8" x14ac:dyDescent="0.25">
      <c r="A2" t="s">
        <v>43</v>
      </c>
      <c r="B2" t="s">
        <v>46</v>
      </c>
      <c r="C2" t="s">
        <v>46</v>
      </c>
      <c r="D2" s="60">
        <v>25</v>
      </c>
      <c r="E2" s="78">
        <f>'analisi energetica'!AQ60</f>
        <v>0</v>
      </c>
      <c r="F2" s="78">
        <f>'analisi energetica'!AR60+'analisi energetica'!AH60</f>
        <v>227607.91666666663</v>
      </c>
      <c r="G2" s="79">
        <f>'analisi energetica'!AG60</f>
        <v>484.16664219961916</v>
      </c>
    </row>
    <row r="3" spans="1:8" x14ac:dyDescent="0.25">
      <c r="A3" t="s">
        <v>36</v>
      </c>
      <c r="B3" t="str">
        <f>'analisi energetica'!L14</f>
        <v xml:space="preserve">Recupero calore,    </v>
      </c>
      <c r="C3" t="s">
        <v>192</v>
      </c>
      <c r="D3" s="60">
        <v>25</v>
      </c>
      <c r="E3" s="78">
        <f>'analisi energetica'!AQ62</f>
        <v>166666.66666666666</v>
      </c>
      <c r="F3" s="78">
        <f>'analisi energetica'!AR62+'analisi energetica'!AH62</f>
        <v>145397.421875</v>
      </c>
      <c r="G3" s="79">
        <f>'analisi energetica'!AG62</f>
        <v>316.08144272045246</v>
      </c>
    </row>
    <row r="4" spans="1:8" x14ac:dyDescent="0.25">
      <c r="A4" t="s">
        <v>37</v>
      </c>
      <c r="B4" t="str">
        <f>'analisi energetica'!L16</f>
        <v xml:space="preserve">Recupero calore, PV,   </v>
      </c>
      <c r="C4" t="s">
        <v>193</v>
      </c>
      <c r="D4" s="60">
        <v>25</v>
      </c>
      <c r="E4" s="78">
        <f>'analisi energetica'!AQ64</f>
        <v>241666.66666666666</v>
      </c>
      <c r="F4" s="78">
        <f>'analisi energetica'!AR64+'analisi energetica'!AH64</f>
        <v>137369.17187500003</v>
      </c>
      <c r="G4" s="79">
        <f>'analisi energetica'!AG64</f>
        <v>287.81547772045252</v>
      </c>
    </row>
    <row r="5" spans="1:8" x14ac:dyDescent="0.25">
      <c r="A5" t="s">
        <v>38</v>
      </c>
      <c r="B5" t="str">
        <f>'analisi energetica'!L18</f>
        <v xml:space="preserve">Recupero calore, PV, PdC,  </v>
      </c>
      <c r="C5" t="s">
        <v>194</v>
      </c>
      <c r="D5" s="60">
        <v>25</v>
      </c>
      <c r="E5" s="78">
        <f>'analisi energetica'!AQ66</f>
        <v>575000</v>
      </c>
      <c r="F5" s="78">
        <f>'analisi energetica'!AR66+'analisi energetica'!AH66</f>
        <v>122865.46875</v>
      </c>
      <c r="G5" s="79">
        <f>'analisi energetica'!AG66</f>
        <v>267.68095990795246</v>
      </c>
    </row>
    <row r="6" spans="1:8" x14ac:dyDescent="0.25">
      <c r="A6" t="s">
        <v>39</v>
      </c>
      <c r="B6" t="str">
        <f>'analisi energetica'!L20</f>
        <v xml:space="preserve"> PV, PdC,  </v>
      </c>
      <c r="C6" t="s">
        <v>196</v>
      </c>
      <c r="D6" s="60">
        <v>25</v>
      </c>
      <c r="E6" s="78">
        <f>'analisi energetica'!AQ68</f>
        <v>408333.33333333331</v>
      </c>
      <c r="F6" s="78">
        <f>'analisi energetica'!AR68+'analisi energetica'!AH68</f>
        <v>155149.66666666666</v>
      </c>
      <c r="G6" s="79">
        <f>'analisi energetica'!AG68</f>
        <v>374.85607719961916</v>
      </c>
    </row>
    <row r="7" spans="1:8" x14ac:dyDescent="0.25">
      <c r="A7" t="s">
        <v>40</v>
      </c>
      <c r="B7" t="str">
        <f>'analisi energetica'!L22</f>
        <v xml:space="preserve">Recupero calore, PV, PdC, Osmosi inversa </v>
      </c>
      <c r="C7" t="s">
        <v>195</v>
      </c>
      <c r="D7" s="60">
        <v>25</v>
      </c>
      <c r="E7" s="78">
        <f>'analisi energetica'!AQ70</f>
        <v>916666.66666666663</v>
      </c>
      <c r="F7" s="78">
        <f>'analisi energetica'!AR70+'analisi energetica'!AH70</f>
        <v>-55473.531250000087</v>
      </c>
      <c r="G7" s="79">
        <f>'analisi energetica'!AG70</f>
        <v>187.10909414767664</v>
      </c>
    </row>
    <row r="8" spans="1:8" x14ac:dyDescent="0.25">
      <c r="A8" t="s">
        <v>41</v>
      </c>
      <c r="B8" t="str">
        <f>'analisi energetica'!L24</f>
        <v xml:space="preserve">   Osmosi inversa </v>
      </c>
      <c r="C8" t="s">
        <v>118</v>
      </c>
      <c r="D8" s="60">
        <v>25</v>
      </c>
      <c r="E8" s="78">
        <f>'analisi energetica'!AQ72</f>
        <v>341666.66666666663</v>
      </c>
      <c r="F8" s="78">
        <f>'analisi energetica'!AR72+'analisi energetica'!AH72</f>
        <v>49268.91666666657</v>
      </c>
      <c r="G8" s="79">
        <f>'analisi energetica'!AG72</f>
        <v>403.59477643934332</v>
      </c>
    </row>
    <row r="9" spans="1:8" x14ac:dyDescent="0.25">
      <c r="A9" t="s">
        <v>172</v>
      </c>
      <c r="B9" t="str">
        <f>'analisi energetica'!L26</f>
        <v xml:space="preserve">Recupero calore,   Osmosi inversa </v>
      </c>
      <c r="C9" t="s">
        <v>197</v>
      </c>
      <c r="D9" s="60">
        <v>25</v>
      </c>
      <c r="E9" s="78">
        <f>'analisi energetica'!AQ74</f>
        <v>508333.33333333326</v>
      </c>
      <c r="F9" s="78">
        <f>'analisi energetica'!AR74+'analisi energetica'!AH74</f>
        <v>-32941.578125000087</v>
      </c>
      <c r="G9" s="79">
        <f>'analisi energetica'!AG74</f>
        <v>235.50957696017662</v>
      </c>
    </row>
    <row r="10" spans="1:8" x14ac:dyDescent="0.25">
      <c r="A10" t="s">
        <v>173</v>
      </c>
      <c r="B10" t="str">
        <f>'analisi energetica'!L28</f>
        <v>Recupero calore, PV, PdC,  Nanofiltrazione</v>
      </c>
      <c r="C10" t="s">
        <v>198</v>
      </c>
      <c r="D10" s="60">
        <v>25</v>
      </c>
      <c r="E10" s="78">
        <f>'analisi energetica'!AQ76</f>
        <v>941666.66666666663</v>
      </c>
      <c r="F10" s="78">
        <f>'analisi energetica'!AR76+'analisi energetica'!AH76</f>
        <v>-43209.53125</v>
      </c>
      <c r="G10" s="79">
        <f>'analisi energetica'!AG76</f>
        <v>177.09720550290862</v>
      </c>
    </row>
    <row r="11" spans="1:8" x14ac:dyDescent="0.25">
      <c r="A11" t="s">
        <v>174</v>
      </c>
      <c r="B11" t="str">
        <f>'analisi energetica'!L30</f>
        <v>Recupero calore,    Nanofiltrazione</v>
      </c>
      <c r="C11" t="s">
        <v>199</v>
      </c>
      <c r="D11" s="60">
        <v>25</v>
      </c>
      <c r="E11" s="78">
        <f>'analisi energetica'!AQ78</f>
        <v>533333.33333333326</v>
      </c>
      <c r="F11" s="78">
        <f>'analisi energetica'!AR78+'analisi energetica'!AH78</f>
        <v>-20677.578125</v>
      </c>
      <c r="G11" s="79">
        <f>'analisi energetica'!AG78</f>
        <v>225.4976883154086</v>
      </c>
    </row>
    <row r="12" spans="1:8" x14ac:dyDescent="0.25">
      <c r="A12" t="s">
        <v>175</v>
      </c>
      <c r="B12" t="str">
        <f>'analisi energetica'!L32</f>
        <v xml:space="preserve">    Nanofiltrazione</v>
      </c>
      <c r="C12" t="s">
        <v>119</v>
      </c>
      <c r="D12" s="60">
        <v>25</v>
      </c>
      <c r="E12" s="78">
        <f>'analisi energetica'!AQ80</f>
        <v>366666.66666666663</v>
      </c>
      <c r="F12" s="78">
        <f>'analisi energetica'!AR80+'analisi energetica'!AH80</f>
        <v>61532.916666666657</v>
      </c>
      <c r="G12" s="79">
        <f>'analisi energetica'!AG80</f>
        <v>393.58288779457524</v>
      </c>
      <c r="H12" s="78"/>
    </row>
    <row r="13" spans="1:8" x14ac:dyDescent="0.25">
      <c r="D13" s="60"/>
    </row>
    <row r="14" spans="1:8" x14ac:dyDescent="0.25">
      <c r="D14" s="60"/>
      <c r="E14" s="78"/>
      <c r="F14" s="78"/>
      <c r="G14" s="79"/>
    </row>
    <row r="16" spans="1:8" x14ac:dyDescent="0.25">
      <c r="G16" s="26"/>
    </row>
    <row r="18" spans="7:7" x14ac:dyDescent="0.25">
      <c r="G18" s="26"/>
    </row>
    <row r="20" spans="7:7" x14ac:dyDescent="0.25">
      <c r="G20" s="26"/>
    </row>
    <row r="21" spans="7:7" x14ac:dyDescent="0.25">
      <c r="G21" s="26"/>
    </row>
  </sheetData>
  <phoneticPr fontId="2" type="noConversion"/>
  <conditionalFormatting sqref="G2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B34-F20C-4FF8-A826-8A7E9884F3FE}">
  <dimension ref="A1:I12"/>
  <sheetViews>
    <sheetView workbookViewId="0">
      <selection activeCell="I1" sqref="I1"/>
    </sheetView>
  </sheetViews>
  <sheetFormatPr defaultRowHeight="15" x14ac:dyDescent="0.25"/>
  <cols>
    <col min="1" max="1" width="12.28515625" bestFit="1" customWidth="1"/>
    <col min="2" max="2" width="39" bestFit="1" customWidth="1"/>
    <col min="3" max="3" width="15.85546875" customWidth="1"/>
    <col min="4" max="4" width="20" bestFit="1" customWidth="1"/>
    <col min="5" max="5" width="16.5703125" bestFit="1" customWidth="1"/>
    <col min="6" max="6" width="26.140625" bestFit="1" customWidth="1"/>
    <col min="7" max="7" width="20.28515625" bestFit="1" customWidth="1"/>
  </cols>
  <sheetData>
    <row r="1" spans="1:9" x14ac:dyDescent="0.25">
      <c r="A1" t="s">
        <v>200</v>
      </c>
      <c r="B1" t="s">
        <v>42</v>
      </c>
      <c r="C1" t="s">
        <v>149</v>
      </c>
      <c r="D1" t="s">
        <v>201</v>
      </c>
      <c r="E1" t="s">
        <v>202</v>
      </c>
      <c r="F1" t="s">
        <v>45</v>
      </c>
      <c r="G1" t="s">
        <v>44</v>
      </c>
      <c r="H1" t="s">
        <v>203</v>
      </c>
      <c r="I1" t="s">
        <v>204</v>
      </c>
    </row>
    <row r="2" spans="1:9" x14ac:dyDescent="0.25">
      <c r="A2" t="s">
        <v>43</v>
      </c>
      <c r="B2" t="s">
        <v>46</v>
      </c>
      <c r="C2" s="60">
        <v>25</v>
      </c>
      <c r="D2" s="78">
        <v>0</v>
      </c>
      <c r="E2" s="78">
        <v>227607.91666666663</v>
      </c>
      <c r="F2" s="79">
        <v>484.16664219961916</v>
      </c>
      <c r="G2" s="78">
        <v>0</v>
      </c>
      <c r="H2" s="78">
        <f>0</f>
        <v>0</v>
      </c>
      <c r="I2" s="78">
        <v>0</v>
      </c>
    </row>
    <row r="3" spans="1:9" x14ac:dyDescent="0.25">
      <c r="A3" t="s">
        <v>36</v>
      </c>
      <c r="B3" t="s">
        <v>118</v>
      </c>
      <c r="C3" s="60">
        <v>25</v>
      </c>
      <c r="D3" s="78">
        <v>341666.66666666663</v>
      </c>
      <c r="E3" s="78">
        <v>49268.91666666657</v>
      </c>
      <c r="F3" s="79">
        <v>403.59477643934332</v>
      </c>
      <c r="G3" s="78">
        <f>E3-$E$2</f>
        <v>-178339.00000000006</v>
      </c>
      <c r="H3" s="78">
        <f>$F$2-F3</f>
        <v>80.571865760275841</v>
      </c>
      <c r="I3">
        <v>-67.599999999999994</v>
      </c>
    </row>
    <row r="4" spans="1:9" x14ac:dyDescent="0.25">
      <c r="A4" t="s">
        <v>37</v>
      </c>
      <c r="B4" t="s">
        <v>119</v>
      </c>
      <c r="C4" s="60">
        <v>25</v>
      </c>
      <c r="D4" s="78">
        <v>366666.66666666663</v>
      </c>
      <c r="E4" s="78">
        <v>61532.916666666657</v>
      </c>
      <c r="F4" s="79">
        <v>393.58288779457524</v>
      </c>
      <c r="G4" s="78">
        <f t="shared" ref="G4:G12" si="0">E4-$E$2</f>
        <v>-166074.99999999997</v>
      </c>
      <c r="H4" s="78">
        <f t="shared" ref="H4:H12" si="1">$F$2-F4</f>
        <v>90.583754405043919</v>
      </c>
      <c r="I4">
        <v>-76</v>
      </c>
    </row>
    <row r="5" spans="1:9" x14ac:dyDescent="0.25">
      <c r="A5" t="s">
        <v>38</v>
      </c>
      <c r="B5" t="s">
        <v>192</v>
      </c>
      <c r="C5" s="60">
        <v>25</v>
      </c>
      <c r="D5" s="78">
        <v>166666.66666666666</v>
      </c>
      <c r="E5" s="78">
        <v>145397.421875</v>
      </c>
      <c r="F5" s="79">
        <v>316.08144272045246</v>
      </c>
      <c r="G5" s="78">
        <f t="shared" si="0"/>
        <v>-82210.494791666628</v>
      </c>
      <c r="H5" s="78">
        <f t="shared" si="1"/>
        <v>168.0851994791667</v>
      </c>
      <c r="I5" s="78">
        <v>0</v>
      </c>
    </row>
    <row r="6" spans="1:9" x14ac:dyDescent="0.25">
      <c r="A6" t="s">
        <v>39</v>
      </c>
      <c r="B6" t="s">
        <v>197</v>
      </c>
      <c r="C6" s="60">
        <v>25</v>
      </c>
      <c r="D6" s="78">
        <v>508333.33333333326</v>
      </c>
      <c r="E6" s="78">
        <v>-32941.578125000087</v>
      </c>
      <c r="F6" s="79">
        <v>235.50957696017662</v>
      </c>
      <c r="G6" s="78">
        <f t="shared" si="0"/>
        <v>-260549.49479166672</v>
      </c>
      <c r="H6" s="78">
        <f t="shared" si="1"/>
        <v>248.65706523944255</v>
      </c>
      <c r="I6">
        <v>-67.599999999999994</v>
      </c>
    </row>
    <row r="7" spans="1:9" x14ac:dyDescent="0.25">
      <c r="A7" t="s">
        <v>40</v>
      </c>
      <c r="B7" t="s">
        <v>199</v>
      </c>
      <c r="C7" s="60">
        <v>25</v>
      </c>
      <c r="D7" s="78">
        <v>533333.33333333326</v>
      </c>
      <c r="E7" s="78">
        <v>-20677.578125</v>
      </c>
      <c r="F7" s="79">
        <v>225.4976883154086</v>
      </c>
      <c r="G7" s="78">
        <f t="shared" si="0"/>
        <v>-248285.49479166663</v>
      </c>
      <c r="H7" s="78">
        <f t="shared" si="1"/>
        <v>258.66895388421057</v>
      </c>
      <c r="I7">
        <v>-76</v>
      </c>
    </row>
    <row r="8" spans="1:9" x14ac:dyDescent="0.25">
      <c r="A8" t="s">
        <v>41</v>
      </c>
      <c r="B8" t="s">
        <v>193</v>
      </c>
      <c r="C8" s="60">
        <v>25</v>
      </c>
      <c r="D8" s="78">
        <v>241666.66666666666</v>
      </c>
      <c r="E8" s="78">
        <v>137369.17187500003</v>
      </c>
      <c r="F8" s="79">
        <v>287.81547772045252</v>
      </c>
      <c r="G8" s="78">
        <f t="shared" si="0"/>
        <v>-90238.744791666599</v>
      </c>
      <c r="H8" s="78">
        <f t="shared" si="1"/>
        <v>196.35116447916664</v>
      </c>
      <c r="I8" s="78">
        <v>0</v>
      </c>
    </row>
    <row r="9" spans="1:9" x14ac:dyDescent="0.25">
      <c r="A9" t="s">
        <v>172</v>
      </c>
      <c r="B9" t="s">
        <v>194</v>
      </c>
      <c r="C9" s="60">
        <v>25</v>
      </c>
      <c r="D9" s="78">
        <v>575000</v>
      </c>
      <c r="E9" s="78">
        <v>122865.46875</v>
      </c>
      <c r="F9" s="79">
        <v>267.68095990795246</v>
      </c>
      <c r="G9" s="78">
        <f t="shared" si="0"/>
        <v>-104742.44791666663</v>
      </c>
      <c r="H9" s="78">
        <f t="shared" si="1"/>
        <v>216.48568229166671</v>
      </c>
      <c r="I9" s="78">
        <v>0</v>
      </c>
    </row>
    <row r="10" spans="1:9" x14ac:dyDescent="0.25">
      <c r="A10" t="s">
        <v>173</v>
      </c>
      <c r="B10" t="s">
        <v>195</v>
      </c>
      <c r="C10" s="60">
        <v>25</v>
      </c>
      <c r="D10" s="78">
        <v>916666.66666666663</v>
      </c>
      <c r="E10" s="78">
        <v>-55473.531250000087</v>
      </c>
      <c r="F10" s="79">
        <v>187.10909414767664</v>
      </c>
      <c r="G10" s="78">
        <f t="shared" si="0"/>
        <v>-283081.44791666674</v>
      </c>
      <c r="H10" s="78">
        <f t="shared" si="1"/>
        <v>297.05754805194249</v>
      </c>
      <c r="I10">
        <v>-67.599999999999994</v>
      </c>
    </row>
    <row r="11" spans="1:9" x14ac:dyDescent="0.25">
      <c r="A11" t="s">
        <v>174</v>
      </c>
      <c r="B11" t="s">
        <v>198</v>
      </c>
      <c r="C11" s="60">
        <v>25</v>
      </c>
      <c r="D11" s="78">
        <v>941666.66666666663</v>
      </c>
      <c r="E11" s="78">
        <v>-43209.53125</v>
      </c>
      <c r="F11" s="79">
        <v>177.09720550290862</v>
      </c>
      <c r="G11" s="78">
        <f t="shared" si="0"/>
        <v>-270817.44791666663</v>
      </c>
      <c r="H11" s="78">
        <f t="shared" si="1"/>
        <v>307.06943669671057</v>
      </c>
      <c r="I11">
        <v>-76</v>
      </c>
    </row>
    <row r="12" spans="1:9" x14ac:dyDescent="0.25">
      <c r="A12" t="s">
        <v>175</v>
      </c>
      <c r="B12" t="s">
        <v>196</v>
      </c>
      <c r="C12" s="60">
        <v>25</v>
      </c>
      <c r="D12" s="78">
        <v>408333.33333333331</v>
      </c>
      <c r="E12" s="78">
        <v>155149.66666666666</v>
      </c>
      <c r="F12" s="79">
        <v>374.85607719961916</v>
      </c>
      <c r="G12" s="78">
        <f t="shared" si="0"/>
        <v>-72458.249999999971</v>
      </c>
      <c r="H12" s="78">
        <f t="shared" si="1"/>
        <v>109.310565</v>
      </c>
      <c r="I12" s="78">
        <v>0</v>
      </c>
    </row>
  </sheetData>
  <conditionalFormatting sqref="F2:F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4B4D-49ED-4555-A642-65AAA6BBE06C}">
  <dimension ref="A1:AV85"/>
  <sheetViews>
    <sheetView tabSelected="1" topLeftCell="S19" zoomScale="60" zoomScaleNormal="60" workbookViewId="0">
      <selection activeCell="AM28" sqref="AM28"/>
    </sheetView>
  </sheetViews>
  <sheetFormatPr defaultRowHeight="15" x14ac:dyDescent="0.25"/>
  <cols>
    <col min="1" max="1" width="34.42578125" customWidth="1"/>
    <col min="3" max="3" width="17.140625" customWidth="1"/>
    <col min="11" max="11" width="13.140625" customWidth="1"/>
    <col min="12" max="12" width="39.7109375" style="20" customWidth="1"/>
    <col min="13" max="13" width="18.42578125" customWidth="1"/>
    <col min="14" max="14" width="14.42578125" customWidth="1"/>
    <col min="15" max="15" width="9.7109375" customWidth="1"/>
    <col min="16" max="16" width="10.42578125" customWidth="1"/>
    <col min="17" max="17" width="12.7109375" customWidth="1"/>
    <col min="18" max="18" width="6.42578125" customWidth="1"/>
    <col min="19" max="19" width="15.5703125" customWidth="1"/>
    <col min="20" max="20" width="6.42578125" customWidth="1"/>
    <col min="21" max="21" width="13.140625" customWidth="1"/>
    <col min="22" max="22" width="6.42578125" customWidth="1"/>
    <col min="23" max="23" width="15.5703125" customWidth="1"/>
    <col min="24" max="24" width="6.42578125" customWidth="1"/>
    <col min="25" max="25" width="10.140625" customWidth="1"/>
    <col min="26" max="26" width="6.42578125" customWidth="1"/>
    <col min="27" max="27" width="15.5703125" customWidth="1"/>
    <col min="28" max="28" width="12.28515625" customWidth="1"/>
    <col min="29" max="29" width="11.5703125" customWidth="1"/>
    <col min="30" max="30" width="11.85546875" customWidth="1"/>
    <col min="31" max="31" width="12.42578125" customWidth="1"/>
    <col min="32" max="34" width="11.42578125" customWidth="1"/>
    <col min="35" max="35" width="12.140625" customWidth="1"/>
    <col min="36" max="36" width="10.5703125" customWidth="1"/>
    <col min="37" max="37" width="11.42578125" customWidth="1"/>
    <col min="38" max="41" width="15.140625" customWidth="1"/>
    <col min="42" max="42" width="12.7109375" customWidth="1"/>
    <col min="43" max="43" width="19.5703125" customWidth="1"/>
    <col min="44" max="44" width="12.85546875" customWidth="1"/>
    <col min="45" max="45" width="16" customWidth="1"/>
    <col min="46" max="46" width="17.7109375" customWidth="1"/>
  </cols>
  <sheetData>
    <row r="1" spans="1:37" x14ac:dyDescent="0.25">
      <c r="A1" s="2" t="s">
        <v>100</v>
      </c>
      <c r="B1" s="2">
        <v>3.9</v>
      </c>
      <c r="C1" s="2" t="s">
        <v>101</v>
      </c>
    </row>
    <row r="2" spans="1:37" x14ac:dyDescent="0.25">
      <c r="A2" t="s">
        <v>129</v>
      </c>
      <c r="B2">
        <v>1030</v>
      </c>
      <c r="C2" t="s">
        <v>130</v>
      </c>
    </row>
    <row r="3" spans="1:37" x14ac:dyDescent="0.25">
      <c r="A3" s="2" t="s">
        <v>102</v>
      </c>
      <c r="B3" s="2">
        <v>600</v>
      </c>
      <c r="C3" s="2" t="s">
        <v>103</v>
      </c>
    </row>
    <row r="4" spans="1:37" s="21" customFormat="1" ht="30" x14ac:dyDescent="0.25">
      <c r="A4" s="2" t="s">
        <v>107</v>
      </c>
      <c r="B4" s="115">
        <v>0.1</v>
      </c>
      <c r="C4" s="2" t="s">
        <v>109</v>
      </c>
      <c r="N4" s="21" t="s">
        <v>127</v>
      </c>
      <c r="O4" s="21" t="s">
        <v>87</v>
      </c>
      <c r="Q4" s="21" t="s">
        <v>88</v>
      </c>
      <c r="S4" s="21" t="s">
        <v>89</v>
      </c>
      <c r="U4" s="21" t="s">
        <v>90</v>
      </c>
      <c r="W4" s="21" t="s">
        <v>91</v>
      </c>
      <c r="Y4" s="21" t="s">
        <v>135</v>
      </c>
      <c r="AA4" s="21" t="s">
        <v>92</v>
      </c>
      <c r="AC4" s="25" t="s">
        <v>112</v>
      </c>
      <c r="AD4" s="25"/>
      <c r="AE4" s="21" t="s">
        <v>124</v>
      </c>
    </row>
    <row r="5" spans="1:37" x14ac:dyDescent="0.25">
      <c r="A5" s="22" t="s">
        <v>108</v>
      </c>
      <c r="B5" s="116">
        <v>0.15</v>
      </c>
      <c r="C5" s="22" t="s">
        <v>109</v>
      </c>
    </row>
    <row r="6" spans="1:37" x14ac:dyDescent="0.25">
      <c r="A6" s="73" t="s">
        <v>155</v>
      </c>
      <c r="B6" s="73">
        <v>1.4999999999999999E-2</v>
      </c>
      <c r="C6" s="73" t="s">
        <v>156</v>
      </c>
      <c r="L6" s="20" t="s">
        <v>96</v>
      </c>
      <c r="O6">
        <f>B3*100</f>
        <v>60000</v>
      </c>
      <c r="P6" t="s">
        <v>98</v>
      </c>
      <c r="Q6">
        <f>O6</f>
        <v>60000</v>
      </c>
      <c r="R6" t="s">
        <v>98</v>
      </c>
      <c r="S6">
        <v>50000</v>
      </c>
      <c r="T6" t="s">
        <v>98</v>
      </c>
      <c r="U6">
        <f>S6</f>
        <v>50000</v>
      </c>
      <c r="V6" t="s">
        <v>98</v>
      </c>
      <c r="W6">
        <f>U6</f>
        <v>50000</v>
      </c>
      <c r="X6" t="s">
        <v>98</v>
      </c>
    </row>
    <row r="7" spans="1:37" x14ac:dyDescent="0.25">
      <c r="A7" s="73" t="s">
        <v>157</v>
      </c>
      <c r="B7" s="73">
        <v>1.0999999999999999E-2</v>
      </c>
      <c r="C7" s="73" t="s">
        <v>156</v>
      </c>
    </row>
    <row r="8" spans="1:37" x14ac:dyDescent="0.25">
      <c r="A8" s="73" t="s">
        <v>158</v>
      </c>
      <c r="B8" s="73">
        <v>4.2999999999999997E-2</v>
      </c>
      <c r="C8" s="73" t="s">
        <v>156</v>
      </c>
    </row>
    <row r="9" spans="1:37" ht="15.75" x14ac:dyDescent="0.25">
      <c r="A9" s="73" t="s">
        <v>159</v>
      </c>
      <c r="B9" s="60">
        <f>50/1000</f>
        <v>0.05</v>
      </c>
      <c r="C9" s="73" t="s">
        <v>156</v>
      </c>
      <c r="E9" s="94" t="s">
        <v>169</v>
      </c>
      <c r="F9" s="94" t="s">
        <v>170</v>
      </c>
      <c r="G9" s="94" t="s">
        <v>171</v>
      </c>
      <c r="H9" s="94" t="s">
        <v>118</v>
      </c>
      <c r="I9" s="94" t="s">
        <v>119</v>
      </c>
      <c r="J9" s="94"/>
      <c r="L9" s="20" t="s">
        <v>93</v>
      </c>
      <c r="O9">
        <v>16</v>
      </c>
      <c r="P9" t="s">
        <v>99</v>
      </c>
      <c r="Q9">
        <v>45</v>
      </c>
      <c r="R9" t="s">
        <v>99</v>
      </c>
      <c r="S9">
        <v>55</v>
      </c>
      <c r="T9" t="s">
        <v>99</v>
      </c>
      <c r="U9">
        <f>Q9</f>
        <v>45</v>
      </c>
      <c r="W9">
        <v>8</v>
      </c>
      <c r="X9" t="s">
        <v>99</v>
      </c>
    </row>
    <row r="10" spans="1:37" x14ac:dyDescent="0.25">
      <c r="F10" s="72">
        <v>0.2</v>
      </c>
      <c r="AK10" t="s">
        <v>128</v>
      </c>
    </row>
    <row r="11" spans="1:37" ht="15.75" thickBot="1" x14ac:dyDescent="0.3">
      <c r="A11" s="23" t="s">
        <v>110</v>
      </c>
      <c r="B11" s="23">
        <v>0.8</v>
      </c>
    </row>
    <row r="12" spans="1:37" x14ac:dyDescent="0.25">
      <c r="A12" s="23" t="s">
        <v>111</v>
      </c>
      <c r="B12" s="23">
        <v>3</v>
      </c>
      <c r="L12" s="56" t="s">
        <v>94</v>
      </c>
      <c r="M12" s="64" t="s">
        <v>150</v>
      </c>
      <c r="N12" s="27"/>
      <c r="O12" s="27"/>
      <c r="P12" s="27"/>
      <c r="Q12" s="27">
        <f>Q$6*$B$1/3600*(Q$9-O$9)</f>
        <v>1885</v>
      </c>
      <c r="R12" s="27" t="s">
        <v>104</v>
      </c>
      <c r="S12" s="27">
        <f>S$6*$B$1/3600*(S$9-Q$9)</f>
        <v>541.66666666666663</v>
      </c>
      <c r="T12" s="27" t="s">
        <v>104</v>
      </c>
      <c r="U12" s="28"/>
      <c r="V12" s="27"/>
      <c r="W12" s="27">
        <f>W$6*$B$1/3600*(W$9-U$9)</f>
        <v>-2004.1666666666665</v>
      </c>
      <c r="X12" s="27" t="s">
        <v>104</v>
      </c>
      <c r="Y12" s="27"/>
      <c r="Z12" s="27"/>
      <c r="AA12" s="27">
        <v>2.5</v>
      </c>
      <c r="AB12" s="27" t="s">
        <v>113</v>
      </c>
      <c r="AC12" s="27"/>
      <c r="AD12" s="27"/>
      <c r="AE12" s="27">
        <f>costi!$A$4*2*'CO2'!$B$13*'CO2'!$E$4*'CO2'!$B$12*'CO2'!$B$10*'analisi energetica'!AA12</f>
        <v>0.32654561789849995</v>
      </c>
      <c r="AF12" s="27" t="s">
        <v>84</v>
      </c>
      <c r="AG12" s="27"/>
      <c r="AH12" s="27"/>
      <c r="AI12" s="29"/>
    </row>
    <row r="13" spans="1:37" x14ac:dyDescent="0.25">
      <c r="A13" s="23" t="s">
        <v>122</v>
      </c>
      <c r="B13" s="23">
        <v>0.65</v>
      </c>
      <c r="E13" t="str">
        <f>IF(E14="X",E$9,"")</f>
        <v>Recupero calore,</v>
      </c>
      <c r="F13" t="str">
        <f t="shared" ref="F13:I13" si="0">IF(F14="X",F$9,"")</f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 s="57"/>
      <c r="M13" s="6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30"/>
    </row>
    <row r="14" spans="1:37" x14ac:dyDescent="0.25">
      <c r="A14" s="23" t="s">
        <v>123</v>
      </c>
      <c r="B14" s="23">
        <v>2.5</v>
      </c>
      <c r="E14" s="95" t="s">
        <v>151</v>
      </c>
      <c r="F14" s="95"/>
      <c r="G14" s="95"/>
      <c r="H14" s="95"/>
      <c r="I14" s="95"/>
      <c r="J14" s="95"/>
      <c r="L14" s="63" t="str">
        <f>$E13&amp;" "&amp;$F13&amp;" "&amp;$G13&amp;" "&amp;$H13&amp;" "&amp;$I13</f>
        <v xml:space="preserve">Recupero calore,    </v>
      </c>
      <c r="M14" s="62" t="s">
        <v>114</v>
      </c>
      <c r="N14" s="7"/>
      <c r="O14" s="7"/>
      <c r="P14" s="7"/>
      <c r="Q14" s="66">
        <f>IF($E14="X",$Q$12-(ABS($W$12)+$W$36)*$B$13,$Q$12)</f>
        <v>61.208333333333485</v>
      </c>
      <c r="R14" s="66"/>
      <c r="S14" s="66">
        <f>S$6*$B$1/3600*(S$9-Q$9)</f>
        <v>541.66666666666663</v>
      </c>
      <c r="T14" s="66"/>
      <c r="U14" s="66"/>
      <c r="V14" s="66"/>
      <c r="W14" s="66">
        <f>W$6*$B$1/3600*(W$9-U$9)</f>
        <v>-2004.1666666666665</v>
      </c>
      <c r="X14" s="7"/>
      <c r="Y14" s="7"/>
      <c r="Z14" s="7"/>
      <c r="AA14" s="7">
        <f>IF(H14="X",(1-'Osmosi inversa'!$A$24/100)*'analisi energetica'!$AA$12,IF(I14="X",(1-Nanofiltrazione!$A$22/100)*'analisi energetica'!$AA$12,$AA$12))</f>
        <v>2.5</v>
      </c>
      <c r="AB14" s="7" t="s">
        <v>113</v>
      </c>
      <c r="AC14" s="7"/>
      <c r="AD14" s="7"/>
      <c r="AE14" s="7">
        <f>costi!$A$4*2*'CO2'!$B$13*'CO2'!$E$4*'CO2'!$B$12*'CO2'!$B$10*'analisi energetica'!AA14</f>
        <v>0.32654561789849995</v>
      </c>
      <c r="AF14" s="7" t="s">
        <v>84</v>
      </c>
      <c r="AG14" s="7"/>
      <c r="AH14" s="7"/>
      <c r="AI14" s="30"/>
    </row>
    <row r="15" spans="1:37" x14ac:dyDescent="0.25">
      <c r="A15" s="23" t="s">
        <v>131</v>
      </c>
      <c r="B15" s="23">
        <v>0</v>
      </c>
      <c r="E15" t="str">
        <f>IF(E16="X",E$9,"")</f>
        <v>Recupero calore,</v>
      </c>
      <c r="F15" t="str">
        <f t="shared" ref="F15" si="1">IF(F16="X",F$9,"")</f>
        <v>PV,</v>
      </c>
      <c r="G15" t="str">
        <f t="shared" ref="G15" si="2">IF(G16="X",G$9,"")</f>
        <v/>
      </c>
      <c r="H15" t="str">
        <f t="shared" ref="H15" si="3">IF(H16="X",H$9,"")</f>
        <v/>
      </c>
      <c r="I15" t="str">
        <f t="shared" ref="I15" si="4">IF(I16="X",I$9,"")</f>
        <v/>
      </c>
      <c r="L15" s="63"/>
      <c r="M15" s="61"/>
      <c r="N15" s="7"/>
      <c r="O15" s="7"/>
      <c r="P15" s="7"/>
      <c r="Q15" s="66"/>
      <c r="R15" s="66"/>
      <c r="S15" s="66"/>
      <c r="T15" s="66"/>
      <c r="U15" s="66"/>
      <c r="V15" s="66"/>
      <c r="W15" s="6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30"/>
    </row>
    <row r="16" spans="1:37" x14ac:dyDescent="0.25">
      <c r="A16" s="23" t="s">
        <v>132</v>
      </c>
      <c r="B16" s="23">
        <v>0</v>
      </c>
      <c r="E16" s="95" t="s">
        <v>151</v>
      </c>
      <c r="F16" s="95" t="s">
        <v>151</v>
      </c>
      <c r="G16" s="95"/>
      <c r="H16" s="95"/>
      <c r="I16" s="95"/>
      <c r="J16" s="95"/>
      <c r="L16" s="63" t="str">
        <f>$E15&amp;" "&amp;$F15&amp;" "&amp;$G15&amp;" "&amp;$H15&amp;" "&amp;$I15</f>
        <v xml:space="preserve">Recupero calore, PV,   </v>
      </c>
      <c r="M16" s="62" t="s">
        <v>115</v>
      </c>
      <c r="N16" s="37">
        <v>0.2</v>
      </c>
      <c r="O16" s="7"/>
      <c r="P16" s="7"/>
      <c r="Q16" s="66">
        <f>IF($E16="X",$Q$12-(ABS($W$12)+$W$36)*$B$13,$Q$12)</f>
        <v>61.208333333333485</v>
      </c>
      <c r="R16" s="66"/>
      <c r="S16" s="66">
        <f t="shared" ref="S16:S22" si="5">S$6*$B$1/3600*(S$9-Q$9)</f>
        <v>541.66666666666663</v>
      </c>
      <c r="T16" s="66"/>
      <c r="U16" s="66"/>
      <c r="V16" s="66"/>
      <c r="W16" s="66">
        <f t="shared" ref="W16:W22" si="6">W$6*$B$1/3600*(W$9-U$9)</f>
        <v>-2004.1666666666665</v>
      </c>
      <c r="X16" s="7"/>
      <c r="Y16" s="7"/>
      <c r="Z16" s="7"/>
      <c r="AA16" s="7">
        <f>IF(H16="X",(1-'Osmosi inversa'!$A$24/100)*'analisi energetica'!$AA$12,IF(I16="X",(1-Nanofiltrazione!$A$22/100)*'analisi energetica'!$AA$12,$AA$12))</f>
        <v>2.5</v>
      </c>
      <c r="AB16" s="7"/>
      <c r="AC16" s="7"/>
      <c r="AD16" s="7"/>
      <c r="AE16" s="7">
        <f>costi!$A$4*2*'CO2'!$B$13*'CO2'!$E$4*'CO2'!$B$12*'CO2'!$B$10*'analisi energetica'!AA16</f>
        <v>0.32654561789849995</v>
      </c>
      <c r="AF16" s="7" t="s">
        <v>84</v>
      </c>
      <c r="AG16" s="7"/>
      <c r="AH16" s="7"/>
      <c r="AI16" s="30"/>
    </row>
    <row r="17" spans="1:35" x14ac:dyDescent="0.25">
      <c r="E17" t="str">
        <f>IF(E18="X",E$9,"")</f>
        <v>Recupero calore,</v>
      </c>
      <c r="F17" t="str">
        <f t="shared" ref="F17" si="7">IF(F18="X",F$9,"")</f>
        <v>PV,</v>
      </c>
      <c r="G17" t="str">
        <f t="shared" ref="G17" si="8">IF(G18="X",G$9,"")</f>
        <v>PdC,</v>
      </c>
      <c r="H17" t="str">
        <f t="shared" ref="H17" si="9">IF(H18="X",H$9,"")</f>
        <v/>
      </c>
      <c r="I17" t="str">
        <f t="shared" ref="I17" si="10">IF(I18="X",I$9,"")</f>
        <v/>
      </c>
      <c r="L17" s="63"/>
      <c r="M17" s="61"/>
      <c r="N17" s="7"/>
      <c r="O17" s="7"/>
      <c r="P17" s="7"/>
      <c r="Q17" s="66"/>
      <c r="R17" s="66"/>
      <c r="S17" s="66"/>
      <c r="T17" s="66"/>
      <c r="U17" s="66"/>
      <c r="V17" s="66"/>
      <c r="W17" s="66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30"/>
    </row>
    <row r="18" spans="1:35" x14ac:dyDescent="0.25">
      <c r="A18" t="s">
        <v>133</v>
      </c>
      <c r="B18" s="60">
        <v>0.20200000000000001</v>
      </c>
      <c r="E18" s="95" t="s">
        <v>151</v>
      </c>
      <c r="F18" s="95" t="s">
        <v>151</v>
      </c>
      <c r="G18" s="95" t="s">
        <v>151</v>
      </c>
      <c r="H18" s="95"/>
      <c r="I18" s="95"/>
      <c r="J18" s="95"/>
      <c r="L18" s="63" t="str">
        <f>$E17&amp;" "&amp;$F17&amp;" "&amp;$G17&amp;" "&amp;$H17&amp;" "&amp;$I17</f>
        <v xml:space="preserve">Recupero calore, PV, PdC,  </v>
      </c>
      <c r="M18" s="62" t="s">
        <v>116</v>
      </c>
      <c r="N18" s="37">
        <v>0.2</v>
      </c>
      <c r="O18" s="7"/>
      <c r="P18" s="7"/>
      <c r="Q18" s="66">
        <f>IF($E18="X",$Q$12-(ABS($W$12)+$W$36)*$B$13,$Q$12)</f>
        <v>61.208333333333485</v>
      </c>
      <c r="R18" s="66"/>
      <c r="S18" s="66">
        <f t="shared" si="5"/>
        <v>541.66666666666663</v>
      </c>
      <c r="T18" s="66"/>
      <c r="U18" s="66"/>
      <c r="V18" s="66"/>
      <c r="W18" s="66">
        <f t="shared" si="6"/>
        <v>-2004.1666666666665</v>
      </c>
      <c r="X18" s="7"/>
      <c r="Y18" s="7"/>
      <c r="Z18" s="7"/>
      <c r="AA18" s="7">
        <f>IF(H18="X",(1-'Osmosi inversa'!$A$24/100)*'analisi energetica'!$AA$12,IF(I18="X",(1-Nanofiltrazione!$A$22/100)*'analisi energetica'!$AA$12,$AA$12))</f>
        <v>2.5</v>
      </c>
      <c r="AB18" s="7"/>
      <c r="AC18" s="7"/>
      <c r="AD18" s="7"/>
      <c r="AE18" s="7">
        <f>costi!$A$4*2*'CO2'!$B$13*'CO2'!$E$4*'CO2'!$B$12*'CO2'!$B$10*'analisi energetica'!AA18</f>
        <v>0.32654561789849995</v>
      </c>
      <c r="AF18" s="7"/>
      <c r="AG18" s="7"/>
      <c r="AH18" s="7"/>
      <c r="AI18" s="30"/>
    </row>
    <row r="19" spans="1:35" x14ac:dyDescent="0.25">
      <c r="A19" t="s">
        <v>134</v>
      </c>
      <c r="B19" s="60">
        <v>0.48299999999999998</v>
      </c>
      <c r="E19" t="str">
        <f>IF(E20="X",E$9,"")</f>
        <v/>
      </c>
      <c r="F19" t="str">
        <f t="shared" ref="F19" si="11">IF(F20="X",F$9,"")</f>
        <v>PV,</v>
      </c>
      <c r="G19" t="str">
        <f t="shared" ref="G19" si="12">IF(G20="X",G$9,"")</f>
        <v>PdC,</v>
      </c>
      <c r="H19" t="str">
        <f t="shared" ref="H19" si="13">IF(H20="X",H$9,"")</f>
        <v/>
      </c>
      <c r="I19" t="str">
        <f t="shared" ref="I19" si="14">IF(I20="X",I$9,"")</f>
        <v/>
      </c>
      <c r="L19" s="63"/>
      <c r="M19" s="61"/>
      <c r="N19" s="7"/>
      <c r="O19" s="7"/>
      <c r="P19" s="7"/>
      <c r="Q19" s="66"/>
      <c r="R19" s="66"/>
      <c r="S19" s="66"/>
      <c r="T19" s="66"/>
      <c r="U19" s="66"/>
      <c r="V19" s="66"/>
      <c r="W19" s="6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0"/>
    </row>
    <row r="20" spans="1:35" x14ac:dyDescent="0.25">
      <c r="E20" s="95"/>
      <c r="F20" s="95" t="s">
        <v>151</v>
      </c>
      <c r="G20" s="95" t="s">
        <v>151</v>
      </c>
      <c r="H20" s="95"/>
      <c r="I20" s="95"/>
      <c r="J20" s="95"/>
      <c r="L20" s="63" t="str">
        <f>$E19&amp;" "&amp;$F19&amp;" "&amp;$G19&amp;" "&amp;$H19&amp;" "&amp;$I19</f>
        <v xml:space="preserve"> PV, PdC,  </v>
      </c>
      <c r="M20" s="62" t="s">
        <v>117</v>
      </c>
      <c r="N20" s="42">
        <v>0.2</v>
      </c>
      <c r="O20" s="7"/>
      <c r="P20" s="7"/>
      <c r="Q20" s="66">
        <f>IF($E20="X",$Q$12-(ABS($W$12)+$W$36)*$B$13,$Q$12)</f>
        <v>1885</v>
      </c>
      <c r="R20" s="66"/>
      <c r="S20" s="66">
        <f t="shared" si="5"/>
        <v>541.66666666666663</v>
      </c>
      <c r="T20" s="66"/>
      <c r="U20" s="66"/>
      <c r="V20" s="66"/>
      <c r="W20" s="66">
        <f t="shared" si="6"/>
        <v>-2004.1666666666665</v>
      </c>
      <c r="X20" s="7"/>
      <c r="Y20" s="7"/>
      <c r="Z20" s="7"/>
      <c r="AA20" s="7">
        <f>IF(H20="X",(1-'Osmosi inversa'!$A$24/100)*'analisi energetica'!$AA$12,IF(I20="X",(1-Nanofiltrazione!$A$22/100)*'analisi energetica'!$AA$12,$AA$12))</f>
        <v>2.5</v>
      </c>
      <c r="AB20" s="7" t="s">
        <v>113</v>
      </c>
      <c r="AC20" s="7"/>
      <c r="AD20" s="7"/>
      <c r="AE20" s="7">
        <f>costi!$A$4*2*'CO2'!$B$13*'CO2'!$E$4*'CO2'!$B$12*'CO2'!$B$10*'analisi energetica'!AA20</f>
        <v>0.32654561789849995</v>
      </c>
      <c r="AF20" s="7" t="s">
        <v>84</v>
      </c>
      <c r="AG20" s="7"/>
      <c r="AH20" s="7"/>
      <c r="AI20" s="30"/>
    </row>
    <row r="21" spans="1:35" x14ac:dyDescent="0.25">
      <c r="A21" t="s">
        <v>160</v>
      </c>
      <c r="B21" s="74">
        <f>1-'Osmosi inversa'!A24/100</f>
        <v>0.32400000000000018</v>
      </c>
      <c r="E21" t="str">
        <f>IF(E22="X",E$9,"")</f>
        <v>Recupero calore,</v>
      </c>
      <c r="F21" t="str">
        <f t="shared" ref="F21" si="15">IF(F22="X",F$9,"")</f>
        <v>PV,</v>
      </c>
      <c r="G21" t="str">
        <f t="shared" ref="G21" si="16">IF(G22="X",G$9,"")</f>
        <v>PdC,</v>
      </c>
      <c r="H21" t="str">
        <f t="shared" ref="H21" si="17">IF(H22="X",H$9,"")</f>
        <v>Osmosi inversa</v>
      </c>
      <c r="I21" t="str">
        <f t="shared" ref="I21" si="18">IF(I22="X",I$9,"")</f>
        <v/>
      </c>
      <c r="L21" s="63"/>
      <c r="M21" s="61"/>
      <c r="N21" s="7"/>
      <c r="O21" s="7"/>
      <c r="P21" s="7"/>
      <c r="Q21" s="66"/>
      <c r="R21" s="66"/>
      <c r="S21" s="66"/>
      <c r="T21" s="66"/>
      <c r="U21" s="66"/>
      <c r="V21" s="66"/>
      <c r="W21" s="66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0"/>
    </row>
    <row r="22" spans="1:35" x14ac:dyDescent="0.25">
      <c r="A22" t="s">
        <v>161</v>
      </c>
      <c r="B22" s="74">
        <f>1-Nanofiltrazione!A22/100</f>
        <v>0.24</v>
      </c>
      <c r="E22" s="95" t="s">
        <v>151</v>
      </c>
      <c r="F22" s="95" t="s">
        <v>151</v>
      </c>
      <c r="G22" s="95" t="s">
        <v>151</v>
      </c>
      <c r="H22" s="95" t="s">
        <v>151</v>
      </c>
      <c r="I22" s="95"/>
      <c r="J22" s="95"/>
      <c r="L22" s="63" t="str">
        <f>$E21&amp;" "&amp;$F21&amp;" "&amp;$G21&amp;" "&amp;$H21&amp;" "&amp;$I21</f>
        <v xml:space="preserve">Recupero calore, PV, PdC, Osmosi inversa </v>
      </c>
      <c r="M22" s="62" t="s">
        <v>121</v>
      </c>
      <c r="N22" s="37">
        <v>0</v>
      </c>
      <c r="O22" s="7"/>
      <c r="P22" s="7"/>
      <c r="Q22" s="66">
        <f>IF($E22="X",$Q$12-(ABS($W$12)+$W$36)*$B$13,$Q$12)</f>
        <v>61.208333333333485</v>
      </c>
      <c r="R22" s="66"/>
      <c r="S22" s="66">
        <f t="shared" si="5"/>
        <v>541.66666666666663</v>
      </c>
      <c r="T22" s="66"/>
      <c r="U22" s="66"/>
      <c r="V22" s="66"/>
      <c r="W22" s="66">
        <f t="shared" si="6"/>
        <v>-2004.1666666666665</v>
      </c>
      <c r="X22" s="7"/>
      <c r="Y22" s="7"/>
      <c r="Z22" s="7"/>
      <c r="AA22" s="7">
        <f>IF(H22="X",(1-'Osmosi inversa'!$A$24/100)*'analisi energetica'!$AA$12,IF(I22="X",(1-Nanofiltrazione!$A$22/100)*'analisi energetica'!$AA$12,$AA$12))</f>
        <v>0.8100000000000005</v>
      </c>
      <c r="AB22" s="7"/>
      <c r="AC22" s="7"/>
      <c r="AD22" s="7"/>
      <c r="AE22" s="7">
        <f>costi!$A$4*2*'CO2'!$B$13*'CO2'!$E$4*'CO2'!$B$12*'CO2'!$B$10*'analisi energetica'!AA22</f>
        <v>0.10580078019911406</v>
      </c>
      <c r="AF22" s="7" t="s">
        <v>84</v>
      </c>
      <c r="AG22" s="7"/>
      <c r="AH22" s="7"/>
      <c r="AI22" s="30"/>
    </row>
    <row r="23" spans="1:35" x14ac:dyDescent="0.25">
      <c r="E23" t="str">
        <f>IF(E24="X",E$9,"")</f>
        <v/>
      </c>
      <c r="F23" t="str">
        <f t="shared" ref="F23" si="19">IF(F24="X",F$9,"")</f>
        <v/>
      </c>
      <c r="G23" t="str">
        <f t="shared" ref="G23" si="20">IF(G24="X",G$9,"")</f>
        <v/>
      </c>
      <c r="H23" t="str">
        <f t="shared" ref="H23" si="21">IF(H24="X",H$9,"")</f>
        <v>Osmosi inversa</v>
      </c>
      <c r="I23" t="str">
        <f t="shared" ref="I23" si="22">IF(I24="X",I$9,"")</f>
        <v/>
      </c>
      <c r="L23" s="6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30"/>
    </row>
    <row r="24" spans="1:35" x14ac:dyDescent="0.25">
      <c r="A24" t="s">
        <v>139</v>
      </c>
      <c r="B24">
        <v>365</v>
      </c>
      <c r="E24" s="95"/>
      <c r="F24" s="95"/>
      <c r="G24" s="95"/>
      <c r="H24" s="95" t="s">
        <v>151</v>
      </c>
      <c r="I24" s="95"/>
      <c r="J24" s="95"/>
      <c r="L24" s="63" t="str">
        <f>$E23&amp;" "&amp;$F23&amp;" "&amp;$G23&amp;" "&amp;$H23&amp;" "&amp;$I23</f>
        <v xml:space="preserve">   Osmosi inversa </v>
      </c>
      <c r="M24" s="62" t="s">
        <v>125</v>
      </c>
      <c r="N24" s="7"/>
      <c r="O24" s="7"/>
      <c r="P24" s="7"/>
      <c r="Q24" s="66">
        <f>IF($E24="X",$Q$12-(ABS($W$12)+$W$36)*$B$13,$Q$12)</f>
        <v>1885</v>
      </c>
      <c r="R24" s="66"/>
      <c r="S24" s="66">
        <f t="shared" ref="S24" si="23">S$6*$B$1/3600*(S$9-Q$9)</f>
        <v>541.66666666666663</v>
      </c>
      <c r="T24" s="66"/>
      <c r="U24" s="66"/>
      <c r="V24" s="66"/>
      <c r="W24" s="66">
        <f t="shared" ref="W24" si="24">W$6*$B$1/3600*(W$9-U$9)</f>
        <v>-2004.1666666666665</v>
      </c>
      <c r="X24" s="7"/>
      <c r="Y24" s="7"/>
      <c r="Z24" s="7"/>
      <c r="AA24" s="7">
        <f>IF(H24="X",(1-'Osmosi inversa'!$A$24/100)*'analisi energetica'!$AA$12,IF(I24="X",(1-Nanofiltrazione!$A$22/100)*'analisi energetica'!$AA$12,$AA$12))</f>
        <v>0.8100000000000005</v>
      </c>
      <c r="AB24" s="7"/>
      <c r="AC24" s="7"/>
      <c r="AD24" s="7"/>
      <c r="AE24" s="7">
        <f>costi!$A$4*2*'CO2'!$B$13*'CO2'!$E$4*'CO2'!$B$12*'CO2'!$B$10*'analisi energetica'!AA24</f>
        <v>0.10580078019911406</v>
      </c>
      <c r="AF24" s="7"/>
      <c r="AG24" s="7"/>
      <c r="AH24" s="7"/>
      <c r="AI24" s="30"/>
    </row>
    <row r="25" spans="1:35" x14ac:dyDescent="0.25">
      <c r="E25" t="str">
        <f>IF(E26="X",E$9,"")</f>
        <v>Recupero calore,</v>
      </c>
      <c r="F25" t="str">
        <f t="shared" ref="F25" si="25">IF(F26="X",F$9,"")</f>
        <v/>
      </c>
      <c r="G25" t="str">
        <f t="shared" ref="G25" si="26">IF(G26="X",G$9,"")</f>
        <v/>
      </c>
      <c r="H25" t="str">
        <f t="shared" ref="H25" si="27">IF(H26="X",H$9,"")</f>
        <v>Osmosi inversa</v>
      </c>
      <c r="I25" t="str">
        <f t="shared" ref="I25" si="28">IF(I26="X",I$9,"")</f>
        <v/>
      </c>
      <c r="L25" s="6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30"/>
    </row>
    <row r="26" spans="1:35" x14ac:dyDescent="0.25">
      <c r="E26" s="95" t="s">
        <v>151</v>
      </c>
      <c r="F26" s="95"/>
      <c r="G26" s="95"/>
      <c r="H26" s="95" t="s">
        <v>151</v>
      </c>
      <c r="I26" s="95"/>
      <c r="J26" s="95"/>
      <c r="L26" s="63" t="str">
        <f>$E25&amp;" "&amp;$F25&amp;" "&amp;$G25&amp;" "&amp;$H25&amp;" "&amp;$I25</f>
        <v xml:space="preserve">Recupero calore,   Osmosi inversa </v>
      </c>
      <c r="M26" s="62" t="s">
        <v>126</v>
      </c>
      <c r="N26" s="7"/>
      <c r="O26" s="7"/>
      <c r="P26" s="7"/>
      <c r="Q26" s="66">
        <f>IF($E26="X",$Q$12-(ABS($W$12)+$W$36)*$B$13,$Q$12)</f>
        <v>61.208333333333485</v>
      </c>
      <c r="R26" s="66"/>
      <c r="S26" s="66">
        <f t="shared" ref="S26" si="29">S$6*$B$1/3600*(S$9-Q$9)</f>
        <v>541.66666666666663</v>
      </c>
      <c r="T26" s="66"/>
      <c r="U26" s="66"/>
      <c r="V26" s="66"/>
      <c r="W26" s="66">
        <f t="shared" ref="W26" si="30">W$6*$B$1/3600*(W$9-U$9)</f>
        <v>-2004.1666666666665</v>
      </c>
      <c r="X26" s="7"/>
      <c r="Y26" s="7"/>
      <c r="Z26" s="7"/>
      <c r="AA26" s="7">
        <f>IF(H26="X",(1-'Osmosi inversa'!$A$24/100)*'analisi energetica'!$AA$12,IF(I26="X",(1-Nanofiltrazione!$A$22/100)*'analisi energetica'!$AA$12,$AA$12))</f>
        <v>0.8100000000000005</v>
      </c>
      <c r="AB26" s="7"/>
      <c r="AC26" s="7"/>
      <c r="AD26" s="7"/>
      <c r="AE26" s="7">
        <f>costi!$A$4*2*'CO2'!$B$13*'CO2'!$E$4*'CO2'!$B$12*'CO2'!$B$10*'analisi energetica'!AA26</f>
        <v>0.10580078019911406</v>
      </c>
      <c r="AF26" s="7"/>
      <c r="AG26" s="7"/>
      <c r="AH26" s="7"/>
      <c r="AI26" s="30"/>
    </row>
    <row r="27" spans="1:35" x14ac:dyDescent="0.25">
      <c r="E27" t="str">
        <f>IF(E28="X",E$9,"")</f>
        <v>Recupero calore,</v>
      </c>
      <c r="F27" t="str">
        <f t="shared" ref="F27" si="31">IF(F28="X",F$9,"")</f>
        <v>PV,</v>
      </c>
      <c r="G27" t="str">
        <f t="shared" ref="G27" si="32">IF(G28="X",G$9,"")</f>
        <v>PdC,</v>
      </c>
      <c r="H27" t="str">
        <f t="shared" ref="H27" si="33">IF(H28="X",H$9,"")</f>
        <v/>
      </c>
      <c r="I27" t="str">
        <f t="shared" ref="I27" si="34">IF(I28="X",I$9,"")</f>
        <v>Nanofiltrazione</v>
      </c>
      <c r="L27" s="63"/>
      <c r="M27" s="6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30"/>
    </row>
    <row r="28" spans="1:35" x14ac:dyDescent="0.25">
      <c r="E28" s="95" t="s">
        <v>151</v>
      </c>
      <c r="F28" s="95" t="s">
        <v>151</v>
      </c>
      <c r="G28" s="95" t="s">
        <v>151</v>
      </c>
      <c r="H28" s="95"/>
      <c r="I28" s="95" t="s">
        <v>151</v>
      </c>
      <c r="J28" s="95"/>
      <c r="L28" s="63" t="str">
        <f>$E27&amp;" "&amp;$F27&amp;" "&amp;$G27&amp;" "&amp;$H27&amp;" "&amp;$I27</f>
        <v>Recupero calore, PV, PdC,  Nanofiltrazione</v>
      </c>
      <c r="M28" s="62" t="s">
        <v>152</v>
      </c>
      <c r="N28" s="7"/>
      <c r="O28" s="7"/>
      <c r="P28" s="7"/>
      <c r="Q28" s="66">
        <f>IF($E28="X",$Q$12-(ABS($W$12)+$W$36)*$B$13,$Q$12)</f>
        <v>61.208333333333485</v>
      </c>
      <c r="R28" s="66"/>
      <c r="S28" s="66">
        <f t="shared" ref="S28" si="35">S$6*$B$1/3600*(S$9-Q$9)</f>
        <v>541.66666666666663</v>
      </c>
      <c r="T28" s="66"/>
      <c r="U28" s="66"/>
      <c r="V28" s="66"/>
      <c r="W28" s="66">
        <f t="shared" ref="W28" si="36">W$6*$B$1/3600*(W$9-U$9)</f>
        <v>-2004.1666666666665</v>
      </c>
      <c r="X28" s="7"/>
      <c r="Y28" s="7"/>
      <c r="Z28" s="7"/>
      <c r="AA28" s="7">
        <f>IF(H28="X",(1-'Osmosi inversa'!$A$24/100)*'analisi energetica'!$AA$12,IF(I28="X",(1-Nanofiltrazione!$A$22/100)*'analisi energetica'!$AA$12,$AA$12))</f>
        <v>0.6</v>
      </c>
      <c r="AB28" s="7"/>
      <c r="AC28" s="7"/>
      <c r="AD28" s="7"/>
      <c r="AE28" s="7">
        <f>costi!$A$4*2*'CO2'!$B$13*'CO2'!$E$4*'CO2'!$B$12*'CO2'!$B$10*'analisi energetica'!AA28</f>
        <v>7.8370948295639994E-2</v>
      </c>
      <c r="AF28" s="7"/>
      <c r="AG28" s="7"/>
      <c r="AH28" s="7"/>
      <c r="AI28" s="30"/>
    </row>
    <row r="29" spans="1:35" x14ac:dyDescent="0.25">
      <c r="E29" t="str">
        <f>IF(E30="X",E$9,"")</f>
        <v>Recupero calore,</v>
      </c>
      <c r="F29" t="str">
        <f t="shared" ref="F29" si="37">IF(F30="X",F$9,"")</f>
        <v/>
      </c>
      <c r="G29" t="str">
        <f t="shared" ref="G29" si="38">IF(G30="X",G$9,"")</f>
        <v/>
      </c>
      <c r="H29" t="str">
        <f t="shared" ref="H29" si="39">IF(H30="X",H$9,"")</f>
        <v/>
      </c>
      <c r="I29" t="str">
        <f>IF(I30="X",I$9,"")</f>
        <v>Nanofiltrazione</v>
      </c>
      <c r="L29" s="63"/>
      <c r="M29" s="6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30"/>
    </row>
    <row r="30" spans="1:35" x14ac:dyDescent="0.25">
      <c r="E30" s="95" t="s">
        <v>151</v>
      </c>
      <c r="F30" s="95"/>
      <c r="G30" s="95"/>
      <c r="H30" s="95"/>
      <c r="I30" s="95" t="s">
        <v>151</v>
      </c>
      <c r="J30" s="95"/>
      <c r="L30" s="63" t="str">
        <f>$E29&amp;" "&amp;$F29&amp;" "&amp;$G29&amp;" "&amp;$H29&amp;" "&amp;$I29</f>
        <v>Recupero calore,    Nanofiltrazione</v>
      </c>
      <c r="M30" s="62" t="s">
        <v>153</v>
      </c>
      <c r="N30" s="7"/>
      <c r="O30" s="7"/>
      <c r="P30" s="7"/>
      <c r="Q30" s="66">
        <f>IF($E30="X",$Q$12-(ABS($W$12)+$W$36)*$B$13,$Q$12)</f>
        <v>61.208333333333485</v>
      </c>
      <c r="R30" s="66"/>
      <c r="S30" s="66">
        <f t="shared" ref="S30" si="40">S$6*$B$1/3600*(S$9-Q$9)</f>
        <v>541.66666666666663</v>
      </c>
      <c r="T30" s="66"/>
      <c r="U30" s="66"/>
      <c r="V30" s="66"/>
      <c r="W30" s="66">
        <f t="shared" ref="W30" si="41">W$6*$B$1/3600*(W$9-U$9)</f>
        <v>-2004.1666666666665</v>
      </c>
      <c r="X30" s="7"/>
      <c r="Y30" s="7"/>
      <c r="Z30" s="7"/>
      <c r="AA30" s="7">
        <f>IF(H30="X",(1-'Osmosi inversa'!$A$24/100)*'analisi energetica'!$AA$12,IF(I30="X",(1-Nanofiltrazione!$A$22/100)*'analisi energetica'!$AA$12,$AA$12))</f>
        <v>0.6</v>
      </c>
      <c r="AB30" s="7"/>
      <c r="AC30" s="7"/>
      <c r="AD30" s="7"/>
      <c r="AE30" s="7">
        <f>costi!$A$4*2*'CO2'!$B$13*'CO2'!$E$4*'CO2'!$B$12*'CO2'!$B$10*'analisi energetica'!AA30</f>
        <v>7.8370948295639994E-2</v>
      </c>
      <c r="AF30" s="7"/>
      <c r="AG30" s="7"/>
      <c r="AH30" s="7"/>
      <c r="AI30" s="30"/>
    </row>
    <row r="31" spans="1:35" x14ac:dyDescent="0.25">
      <c r="E31" t="str">
        <f>IF(E32="X",E$9,"")</f>
        <v/>
      </c>
      <c r="F31" t="str">
        <f t="shared" ref="F31" si="42">IF(F32="X",F$9,"")</f>
        <v/>
      </c>
      <c r="G31" t="str">
        <f t="shared" ref="G31" si="43">IF(G32="X",G$9,"")</f>
        <v/>
      </c>
      <c r="H31" t="str">
        <f t="shared" ref="H31" si="44">IF(H32="X",H$9,"")</f>
        <v/>
      </c>
      <c r="I31" t="str">
        <f>IF(I32="X",I$9,"")</f>
        <v>Nanofiltrazione</v>
      </c>
      <c r="L31" s="63"/>
      <c r="M31" s="6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f>costi!$A$4*2*'CO2'!$B$13*'CO2'!$E$4*'CO2'!$B$12*'CO2'!$B$10*'analisi energetica'!AA31</f>
        <v>0</v>
      </c>
      <c r="AF31" s="7" t="s">
        <v>84</v>
      </c>
      <c r="AG31" s="7"/>
      <c r="AH31" s="7"/>
      <c r="AI31" s="30"/>
    </row>
    <row r="32" spans="1:35" x14ac:dyDescent="0.25">
      <c r="I32" s="95" t="s">
        <v>151</v>
      </c>
      <c r="L32" s="63" t="str">
        <f>$E31&amp;" "&amp;$F31&amp;" "&amp;$G31&amp;" "&amp;$H31&amp;" "&amp;$I31</f>
        <v xml:space="preserve">    Nanofiltrazione</v>
      </c>
      <c r="M32" s="62" t="s">
        <v>154</v>
      </c>
      <c r="N32" s="7"/>
      <c r="O32" s="7"/>
      <c r="P32" s="7"/>
      <c r="Q32" s="66">
        <f>IF($E32="X",$Q$12-(ABS($W$12)+$W$36)*$B$13,$Q$12)</f>
        <v>1885</v>
      </c>
      <c r="R32" s="66"/>
      <c r="S32" s="66">
        <f t="shared" ref="S32" si="45">S$6*$B$1/3600*(S$9-Q$9)</f>
        <v>541.66666666666663</v>
      </c>
      <c r="T32" s="66"/>
      <c r="U32" s="66"/>
      <c r="V32" s="66"/>
      <c r="W32" s="66">
        <f t="shared" ref="W32" si="46">W$6*$B$1/3600*(W$9-U$9)</f>
        <v>-2004.1666666666665</v>
      </c>
      <c r="X32" s="7"/>
      <c r="Y32" s="7"/>
      <c r="Z32" s="7"/>
      <c r="AA32" s="7">
        <f>IF(H32="X",(1-'Osmosi inversa'!$A$24/100)*'analisi energetica'!$AA$12,IF(I32="X",(1-Nanofiltrazione!$A$22/100)*'analisi energetica'!$AA$12,$AA$12))</f>
        <v>0.6</v>
      </c>
      <c r="AB32" s="7"/>
      <c r="AC32" s="7"/>
      <c r="AD32" s="7"/>
      <c r="AE32" s="7">
        <f>costi!$A$4*2*'CO2'!$B$13*'CO2'!$E$4*'CO2'!$B$12*'CO2'!$B$10*'analisi energetica'!AA32</f>
        <v>7.8370948295639994E-2</v>
      </c>
      <c r="AF32" s="7"/>
      <c r="AG32" s="7"/>
      <c r="AH32" s="7"/>
      <c r="AI32" s="30"/>
    </row>
    <row r="33" spans="5:39" ht="15.75" thickBot="1" x14ac:dyDescent="0.3">
      <c r="L33" s="58"/>
      <c r="M33" s="65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3"/>
    </row>
    <row r="34" spans="5:39" ht="15.75" thickBot="1" x14ac:dyDescent="0.3"/>
    <row r="35" spans="5:39" x14ac:dyDescent="0.25">
      <c r="L35" s="56" t="s">
        <v>95</v>
      </c>
      <c r="M35" s="131" t="s">
        <v>150</v>
      </c>
      <c r="N35" s="27" t="s">
        <v>105</v>
      </c>
      <c r="O35" s="27"/>
      <c r="P35" s="27"/>
      <c r="Q35" s="69">
        <f>Q12/$B$11</f>
        <v>2356.25</v>
      </c>
      <c r="R35" s="69" t="s">
        <v>104</v>
      </c>
      <c r="S35" s="69">
        <f>S12/$B$11</f>
        <v>677.08333333333326</v>
      </c>
      <c r="T35" s="27"/>
      <c r="U35" s="27"/>
      <c r="V35" s="27"/>
      <c r="W35" s="27"/>
      <c r="X35" s="27"/>
      <c r="Y35" s="27"/>
      <c r="Z35" s="27" t="s">
        <v>104</v>
      </c>
      <c r="AA35" s="27"/>
      <c r="AB35" s="27"/>
      <c r="AC35" s="27">
        <f>Q35+S35+U35+W35+Y35</f>
        <v>3033.333333333333</v>
      </c>
      <c r="AD35" s="90"/>
      <c r="AE35" s="90"/>
      <c r="AF35" s="27"/>
      <c r="AG35" s="27"/>
      <c r="AH35" s="27"/>
      <c r="AI35" s="29"/>
    </row>
    <row r="36" spans="5:39" ht="15.75" thickBot="1" x14ac:dyDescent="0.3">
      <c r="L36" s="57"/>
      <c r="M36" s="132"/>
      <c r="N36" s="7" t="s">
        <v>106</v>
      </c>
      <c r="O36" s="7"/>
      <c r="P36" s="7"/>
      <c r="Q36" s="66"/>
      <c r="R36" s="66"/>
      <c r="S36" s="66"/>
      <c r="T36" s="7"/>
      <c r="U36" s="10">
        <f>IF(H35="X",$U$6*$B$15/1000,IF(I35="X",$U$6*$B$16/1000,0))</f>
        <v>0</v>
      </c>
      <c r="V36" s="7"/>
      <c r="W36" s="7">
        <f>ABS(W12/$B$14)</f>
        <v>801.66666666666663</v>
      </c>
      <c r="X36" s="7"/>
      <c r="Y36" s="7"/>
      <c r="Z36" s="7"/>
      <c r="AA36" s="7"/>
      <c r="AB36" s="7"/>
      <c r="AC36" s="7">
        <f>Q36+S36+U36+W36+Y36</f>
        <v>801.66666666666663</v>
      </c>
      <c r="AD36" s="7"/>
      <c r="AE36" s="7"/>
      <c r="AF36" s="7"/>
      <c r="AG36" s="7"/>
      <c r="AH36" s="7"/>
      <c r="AI36" s="30"/>
    </row>
    <row r="37" spans="5:39" x14ac:dyDescent="0.25">
      <c r="E37" t="str">
        <f>E14</f>
        <v>X</v>
      </c>
      <c r="F37">
        <f t="shared" ref="F37:I55" si="47">F14</f>
        <v>0</v>
      </c>
      <c r="G37">
        <f t="shared" si="47"/>
        <v>0</v>
      </c>
      <c r="H37">
        <f t="shared" si="47"/>
        <v>0</v>
      </c>
      <c r="I37">
        <f t="shared" si="47"/>
        <v>0</v>
      </c>
      <c r="L37" s="63" t="str">
        <f>L14</f>
        <v xml:space="preserve">Recupero calore,    </v>
      </c>
      <c r="M37" s="131" t="s">
        <v>114</v>
      </c>
      <c r="N37" s="4" t="s">
        <v>105</v>
      </c>
      <c r="O37" s="4"/>
      <c r="P37" s="4"/>
      <c r="Q37" s="70">
        <f>IF($G37="X",0,Q14/$B$11)</f>
        <v>76.510416666666856</v>
      </c>
      <c r="R37" s="70" t="s">
        <v>104</v>
      </c>
      <c r="S37" s="70">
        <f>IF($G37="X",0,S14/$B$11)</f>
        <v>677.08333333333326</v>
      </c>
      <c r="T37" s="4"/>
      <c r="U37" s="4"/>
      <c r="V37" s="4"/>
      <c r="W37" s="4"/>
      <c r="X37" s="4"/>
      <c r="Y37" s="4"/>
      <c r="Z37" s="27" t="s">
        <v>104</v>
      </c>
      <c r="AA37" s="4"/>
      <c r="AB37" s="4"/>
      <c r="AC37" s="39">
        <f t="shared" ref="AC37:AC56" si="48">Q37+S37+U37+W37+Y37</f>
        <v>753.59375000000011</v>
      </c>
      <c r="AD37" s="4"/>
      <c r="AE37" s="4"/>
      <c r="AF37" s="4"/>
      <c r="AG37" s="4"/>
      <c r="AH37" s="4"/>
      <c r="AI37" s="38"/>
    </row>
    <row r="38" spans="5:39" x14ac:dyDescent="0.25">
      <c r="L38" s="63"/>
      <c r="M38" s="132"/>
      <c r="N38" s="10" t="s">
        <v>106</v>
      </c>
      <c r="O38" s="10"/>
      <c r="P38" s="10"/>
      <c r="Q38" s="71">
        <f>IF($G37="X",Q14/$B$12,0)</f>
        <v>0</v>
      </c>
      <c r="R38" s="71"/>
      <c r="S38" s="71">
        <f>IF($G37="X",S14/$B$12,0)</f>
        <v>0</v>
      </c>
      <c r="T38" s="10"/>
      <c r="U38" s="10">
        <f>IF(H37="X",$U$6*$B$15/1000,IF(I37="X",$U$6*$B$16/1000,0))</f>
        <v>0</v>
      </c>
      <c r="V38" s="10"/>
      <c r="W38" s="10">
        <f>ABS(W14/$B$14)*IF(F37="X",(1-$F$10),1)</f>
        <v>801.66666666666663</v>
      </c>
      <c r="X38" s="10"/>
      <c r="Y38" s="10"/>
      <c r="Z38" s="10"/>
      <c r="AA38" s="10"/>
      <c r="AB38" s="10"/>
      <c r="AC38" s="41">
        <f t="shared" si="48"/>
        <v>801.66666666666663</v>
      </c>
      <c r="AD38" s="10"/>
      <c r="AE38" s="10"/>
      <c r="AF38" s="10"/>
      <c r="AG38" s="10"/>
      <c r="AH38" s="10"/>
      <c r="AI38" s="40"/>
    </row>
    <row r="39" spans="5:39" x14ac:dyDescent="0.25">
      <c r="E39" t="str">
        <f>E16</f>
        <v>X</v>
      </c>
      <c r="F39" t="str">
        <f t="shared" si="47"/>
        <v>X</v>
      </c>
      <c r="G39">
        <f t="shared" si="47"/>
        <v>0</v>
      </c>
      <c r="H39">
        <f t="shared" si="47"/>
        <v>0</v>
      </c>
      <c r="I39">
        <f t="shared" si="47"/>
        <v>0</v>
      </c>
      <c r="L39" s="63" t="str">
        <f>L16</f>
        <v xml:space="preserve">Recupero calore, PV,   </v>
      </c>
      <c r="M39" s="67" t="s">
        <v>115</v>
      </c>
      <c r="N39" s="4" t="s">
        <v>105</v>
      </c>
      <c r="O39" s="4"/>
      <c r="P39" s="4"/>
      <c r="Q39" s="70">
        <f>IF($G39="X",0,Q16/$B$11)</f>
        <v>76.510416666666856</v>
      </c>
      <c r="R39" s="70" t="s">
        <v>104</v>
      </c>
      <c r="S39" s="70">
        <f>IF($G39="X",0,S16/$B$11)</f>
        <v>677.08333333333326</v>
      </c>
      <c r="T39" s="4"/>
      <c r="U39" s="4"/>
      <c r="V39" s="4"/>
      <c r="W39" s="4"/>
      <c r="X39" s="4"/>
      <c r="Y39" s="4"/>
      <c r="Z39" s="4"/>
      <c r="AA39" s="4"/>
      <c r="AB39" s="4"/>
      <c r="AC39" s="39">
        <f t="shared" si="48"/>
        <v>753.59375000000011</v>
      </c>
      <c r="AD39" s="4"/>
      <c r="AE39" s="4"/>
      <c r="AF39" s="4"/>
      <c r="AG39" s="4"/>
      <c r="AH39" s="4"/>
      <c r="AI39" s="38"/>
    </row>
    <row r="40" spans="5:39" x14ac:dyDescent="0.25">
      <c r="L40" s="63"/>
      <c r="M40" s="68"/>
      <c r="N40" s="10" t="s">
        <v>106</v>
      </c>
      <c r="O40" s="10"/>
      <c r="P40" s="10"/>
      <c r="Q40" s="71">
        <f>IF($G39="X",Q16/$B$12,0)</f>
        <v>0</v>
      </c>
      <c r="R40" s="71"/>
      <c r="S40" s="71">
        <f>IF($G39="X",S16/$B$12,0)</f>
        <v>0</v>
      </c>
      <c r="T40" s="10"/>
      <c r="U40" s="10">
        <f>IF(H39="X",$U$6*$B$15/1000,IF(I39="X",$U$6*$B$16/1000,0))</f>
        <v>0</v>
      </c>
      <c r="V40" s="10"/>
      <c r="W40" s="10">
        <f>ABS(W16/$B$14)*IF(F39="X",(1-$F$10),1)</f>
        <v>641.33333333333337</v>
      </c>
      <c r="X40" s="10"/>
      <c r="Y40" s="10"/>
      <c r="Z40" s="10"/>
      <c r="AA40" s="10"/>
      <c r="AB40" s="10"/>
      <c r="AC40" s="41">
        <f t="shared" si="48"/>
        <v>641.33333333333337</v>
      </c>
      <c r="AD40" s="10"/>
      <c r="AE40" s="10"/>
      <c r="AF40" s="10"/>
      <c r="AG40" s="10"/>
      <c r="AH40" s="10"/>
      <c r="AI40" s="40"/>
    </row>
    <row r="41" spans="5:39" x14ac:dyDescent="0.25">
      <c r="E41" t="str">
        <f>E18</f>
        <v>X</v>
      </c>
      <c r="F41" t="str">
        <f t="shared" si="47"/>
        <v>X</v>
      </c>
      <c r="G41" t="str">
        <f t="shared" si="47"/>
        <v>X</v>
      </c>
      <c r="H41">
        <f t="shared" si="47"/>
        <v>0</v>
      </c>
      <c r="I41">
        <f t="shared" si="47"/>
        <v>0</v>
      </c>
      <c r="L41" s="63" t="str">
        <f>L18</f>
        <v xml:space="preserve">Recupero calore, PV, PdC,  </v>
      </c>
      <c r="M41" s="67" t="s">
        <v>116</v>
      </c>
      <c r="N41" s="4" t="s">
        <v>105</v>
      </c>
      <c r="O41" s="4"/>
      <c r="P41" s="4"/>
      <c r="Q41" s="70">
        <f>IF($G41="X",0,Q18/$B$11)</f>
        <v>0</v>
      </c>
      <c r="R41" s="70"/>
      <c r="S41" s="70">
        <f>IF($G41="X",0,S18/$B$11)</f>
        <v>0</v>
      </c>
      <c r="T41" s="4"/>
      <c r="U41" s="4"/>
      <c r="V41" s="4"/>
      <c r="W41" s="4"/>
      <c r="X41" s="4"/>
      <c r="Y41" s="4"/>
      <c r="Z41" s="4"/>
      <c r="AA41" s="4"/>
      <c r="AB41" s="4"/>
      <c r="AC41" s="39">
        <f t="shared" si="48"/>
        <v>0</v>
      </c>
      <c r="AD41" s="4"/>
      <c r="AE41" s="4"/>
      <c r="AF41" s="4"/>
      <c r="AG41" s="4"/>
      <c r="AH41" s="4"/>
      <c r="AI41" s="38"/>
    </row>
    <row r="42" spans="5:39" x14ac:dyDescent="0.25">
      <c r="L42" s="63"/>
      <c r="M42" s="68"/>
      <c r="N42" s="10" t="s">
        <v>106</v>
      </c>
      <c r="O42" s="10"/>
      <c r="P42" s="10"/>
      <c r="Q42" s="71">
        <f>IF($G41="X",Q18/$B$12,0)</f>
        <v>20.402777777777828</v>
      </c>
      <c r="R42" s="71"/>
      <c r="S42" s="71">
        <f>IF($G41="X",S18/$B$12,0)</f>
        <v>180.55555555555554</v>
      </c>
      <c r="T42" s="10"/>
      <c r="U42" s="10">
        <f>IF(H41="X",$U$6*$B$15/1000,IF(I41="X",$U$6*$B$16/1000,0))</f>
        <v>0</v>
      </c>
      <c r="V42" s="10"/>
      <c r="W42" s="10">
        <f>ABS(W18/$B$14)*IF(F41="X",(1-$F$10),1)</f>
        <v>641.33333333333337</v>
      </c>
      <c r="X42" s="10"/>
      <c r="Y42" s="10"/>
      <c r="Z42" s="10"/>
      <c r="AA42" s="10"/>
      <c r="AB42" s="10"/>
      <c r="AC42" s="41">
        <f t="shared" si="48"/>
        <v>842.29166666666674</v>
      </c>
      <c r="AD42" s="10"/>
      <c r="AE42" s="10"/>
      <c r="AF42" s="10"/>
      <c r="AG42" s="10"/>
      <c r="AH42" s="10"/>
      <c r="AI42" s="40"/>
    </row>
    <row r="43" spans="5:39" x14ac:dyDescent="0.25">
      <c r="E43">
        <f>E20</f>
        <v>0</v>
      </c>
      <c r="F43" t="str">
        <f t="shared" si="47"/>
        <v>X</v>
      </c>
      <c r="G43" t="str">
        <f t="shared" si="47"/>
        <v>X</v>
      </c>
      <c r="H43">
        <f t="shared" si="47"/>
        <v>0</v>
      </c>
      <c r="I43">
        <f t="shared" si="47"/>
        <v>0</v>
      </c>
      <c r="L43" s="63" t="str">
        <f>L20</f>
        <v xml:space="preserve"> PV, PdC,  </v>
      </c>
      <c r="M43" s="67" t="s">
        <v>117</v>
      </c>
      <c r="N43" s="4" t="s">
        <v>105</v>
      </c>
      <c r="O43" s="4"/>
      <c r="P43" s="4"/>
      <c r="Q43" s="70">
        <f>IF($G43="X",0,Q20/$B$11)</f>
        <v>0</v>
      </c>
      <c r="R43" s="70"/>
      <c r="S43" s="70">
        <f>IF($G43="X",0,S20/$B$11)</f>
        <v>0</v>
      </c>
      <c r="T43" s="4"/>
      <c r="U43" s="4"/>
      <c r="V43" s="4"/>
      <c r="W43" s="4"/>
      <c r="X43" s="4"/>
      <c r="Y43" s="4"/>
      <c r="Z43" s="4"/>
      <c r="AA43" s="4"/>
      <c r="AB43" s="4"/>
      <c r="AC43" s="39">
        <f t="shared" ref="AC43:AC54" si="49">Q43+S43+U43+W43+Y43</f>
        <v>0</v>
      </c>
      <c r="AD43" s="4"/>
      <c r="AE43" s="4"/>
      <c r="AF43" s="4"/>
      <c r="AG43" s="4"/>
      <c r="AH43" s="4"/>
      <c r="AI43" s="38"/>
    </row>
    <row r="44" spans="5:39" x14ac:dyDescent="0.25">
      <c r="L44" s="63"/>
      <c r="M44" s="68"/>
      <c r="N44" s="10" t="s">
        <v>106</v>
      </c>
      <c r="O44" s="10"/>
      <c r="P44" s="10"/>
      <c r="Q44" s="71">
        <f>IF($G43="X",Q20/$B$12,0)</f>
        <v>628.33333333333337</v>
      </c>
      <c r="R44" s="71"/>
      <c r="S44" s="71">
        <f>IF($G43="X",S20/$B$12,0)</f>
        <v>180.55555555555554</v>
      </c>
      <c r="T44" s="10"/>
      <c r="U44" s="10">
        <f>IF(H43="X",$U$6*$B$15/1000,IF(I43="X",$U$6*$B$16/1000,0))</f>
        <v>0</v>
      </c>
      <c r="V44" s="10" t="s">
        <v>104</v>
      </c>
      <c r="W44" s="10">
        <f>ABS(W20/$B$14)*IF(F43="X",(1-$F$10),1)</f>
        <v>641.33333333333337</v>
      </c>
      <c r="X44" s="10"/>
      <c r="Y44" s="10"/>
      <c r="Z44" s="10"/>
      <c r="AA44" s="10"/>
      <c r="AB44" s="10"/>
      <c r="AC44" s="41">
        <f t="shared" si="49"/>
        <v>1450.2222222222222</v>
      </c>
      <c r="AD44" s="10"/>
      <c r="AE44" s="10"/>
      <c r="AF44" s="10"/>
      <c r="AG44" s="10"/>
      <c r="AH44" s="10"/>
      <c r="AI44" s="40"/>
      <c r="AL44" t="s">
        <v>127</v>
      </c>
      <c r="AM44" t="s">
        <v>147</v>
      </c>
    </row>
    <row r="45" spans="5:39" x14ac:dyDescent="0.25">
      <c r="E45" t="str">
        <f>E22</f>
        <v>X</v>
      </c>
      <c r="F45" t="str">
        <f t="shared" si="47"/>
        <v>X</v>
      </c>
      <c r="G45" t="str">
        <f t="shared" si="47"/>
        <v>X</v>
      </c>
      <c r="H45" t="str">
        <f t="shared" si="47"/>
        <v>X</v>
      </c>
      <c r="I45">
        <f t="shared" si="47"/>
        <v>0</v>
      </c>
      <c r="L45" s="63" t="str">
        <f>L22</f>
        <v xml:space="preserve">Recupero calore, PV, PdC, Osmosi inversa </v>
      </c>
      <c r="M45" s="67" t="s">
        <v>121</v>
      </c>
      <c r="N45" s="4" t="s">
        <v>105</v>
      </c>
      <c r="O45" s="7"/>
      <c r="P45" s="7"/>
      <c r="Q45" s="70">
        <f>IF($G45="X",0,Q22/$B$11)</f>
        <v>0</v>
      </c>
      <c r="R45" s="70"/>
      <c r="S45" s="70">
        <f>IF($G45="X",0,S22/$B$11)</f>
        <v>0</v>
      </c>
      <c r="T45" s="7"/>
      <c r="U45" s="7"/>
      <c r="V45" s="7"/>
      <c r="W45" s="7"/>
      <c r="X45" s="4"/>
      <c r="Y45" s="4"/>
      <c r="Z45" s="4"/>
      <c r="AA45" s="4"/>
      <c r="AB45" s="4"/>
      <c r="AC45" s="39">
        <f t="shared" si="49"/>
        <v>0</v>
      </c>
      <c r="AD45" s="7"/>
      <c r="AE45" s="7"/>
      <c r="AF45" s="7"/>
      <c r="AG45" s="7"/>
      <c r="AH45" s="7"/>
      <c r="AI45" s="30"/>
      <c r="AL45" t="s">
        <v>145</v>
      </c>
      <c r="AM45" t="s">
        <v>146</v>
      </c>
    </row>
    <row r="46" spans="5:39" x14ac:dyDescent="0.25">
      <c r="L46" s="63"/>
      <c r="M46" s="68"/>
      <c r="N46" s="10" t="s">
        <v>106</v>
      </c>
      <c r="O46" s="7"/>
      <c r="P46" s="7"/>
      <c r="Q46" s="71">
        <f>IF($G45="X",Q22/$B$12,0)</f>
        <v>20.402777777777828</v>
      </c>
      <c r="R46" s="71"/>
      <c r="S46" s="71">
        <f>IF($G45="X",S22/$B$12,0)</f>
        <v>180.55555555555554</v>
      </c>
      <c r="T46" s="7"/>
      <c r="U46" s="10">
        <f>IF(H45="X",$U$6*$B$15/1000,IF(I45="X",$U$6*$B$16/1000,0))</f>
        <v>0</v>
      </c>
      <c r="V46" s="7"/>
      <c r="W46" s="10">
        <f>ABS(W22/$B$14)*IF(F45="X",(1-$F$10),1)</f>
        <v>641.33333333333337</v>
      </c>
      <c r="X46" s="10"/>
      <c r="Y46" s="10"/>
      <c r="Z46" s="10"/>
      <c r="AA46" s="10"/>
      <c r="AB46" s="10"/>
      <c r="AC46" s="41">
        <f>Q46+S46+U46+W46+Y46</f>
        <v>842.29166666666674</v>
      </c>
      <c r="AD46" s="7"/>
      <c r="AE46" s="7"/>
      <c r="AF46" s="7"/>
      <c r="AG46" s="7"/>
      <c r="AH46" s="7"/>
      <c r="AI46" s="30"/>
      <c r="AL46">
        <v>50</v>
      </c>
      <c r="AM46">
        <v>250</v>
      </c>
    </row>
    <row r="47" spans="5:39" x14ac:dyDescent="0.25">
      <c r="E47">
        <f>E24</f>
        <v>0</v>
      </c>
      <c r="F47">
        <f t="shared" si="47"/>
        <v>0</v>
      </c>
      <c r="G47">
        <f t="shared" si="47"/>
        <v>0</v>
      </c>
      <c r="H47" t="str">
        <f t="shared" si="47"/>
        <v>X</v>
      </c>
      <c r="I47">
        <f t="shared" si="47"/>
        <v>0</v>
      </c>
      <c r="L47" s="63" t="str">
        <f>L24</f>
        <v xml:space="preserve">   Osmosi inversa </v>
      </c>
      <c r="M47" s="67" t="s">
        <v>125</v>
      </c>
      <c r="N47" s="4" t="s">
        <v>105</v>
      </c>
      <c r="O47" s="7"/>
      <c r="P47" s="7"/>
      <c r="Q47" s="70">
        <f>IF($G47="X",0,Q24/$B$11)</f>
        <v>2356.25</v>
      </c>
      <c r="R47" s="70"/>
      <c r="S47" s="70">
        <f>IF($G47="X",0,S24/$B$11)</f>
        <v>677.08333333333326</v>
      </c>
      <c r="T47" s="7"/>
      <c r="U47" s="7"/>
      <c r="V47" s="7"/>
      <c r="W47" s="7"/>
      <c r="X47" s="4"/>
      <c r="Y47" s="4"/>
      <c r="Z47" s="4"/>
      <c r="AA47" s="4"/>
      <c r="AB47" s="4"/>
      <c r="AC47" s="39">
        <f t="shared" si="49"/>
        <v>3033.333333333333</v>
      </c>
      <c r="AD47" s="7"/>
      <c r="AE47" s="7"/>
      <c r="AF47" s="7"/>
      <c r="AG47" s="7"/>
      <c r="AH47" s="7"/>
      <c r="AI47" s="30"/>
    </row>
    <row r="48" spans="5:39" x14ac:dyDescent="0.25">
      <c r="L48" s="63"/>
      <c r="M48" s="68"/>
      <c r="N48" s="10" t="s">
        <v>106</v>
      </c>
      <c r="O48" s="7"/>
      <c r="P48" s="7"/>
      <c r="Q48" s="71">
        <f>IF($G47="X",Q24/$B$12,0)</f>
        <v>0</v>
      </c>
      <c r="R48" s="71"/>
      <c r="S48" s="71">
        <f>IF($G47="X",S24/$B$12,0)</f>
        <v>0</v>
      </c>
      <c r="T48" s="7"/>
      <c r="U48" s="10">
        <f>IF(H47="X",$U$6*$B$15/1000,IF(I47="X",$U$6*$B$16/1000,0))</f>
        <v>0</v>
      </c>
      <c r="V48" s="7"/>
      <c r="W48" s="10">
        <f>ABS(W24/$B$14)*IF(F47="X",(1-$F$10),1)</f>
        <v>801.66666666666663</v>
      </c>
      <c r="X48" s="10"/>
      <c r="Y48" s="10"/>
      <c r="Z48" s="10"/>
      <c r="AA48" s="10"/>
      <c r="AB48" s="10"/>
      <c r="AC48" s="41">
        <f t="shared" si="49"/>
        <v>801.66666666666663</v>
      </c>
      <c r="AD48" s="7"/>
      <c r="AE48" s="7"/>
      <c r="AF48" s="7"/>
      <c r="AG48" s="7"/>
      <c r="AH48" s="7"/>
      <c r="AI48" s="30"/>
    </row>
    <row r="49" spans="5:48" x14ac:dyDescent="0.25">
      <c r="E49" t="str">
        <f>E26</f>
        <v>X</v>
      </c>
      <c r="F49">
        <f t="shared" si="47"/>
        <v>0</v>
      </c>
      <c r="G49">
        <f t="shared" si="47"/>
        <v>0</v>
      </c>
      <c r="H49" t="str">
        <f t="shared" si="47"/>
        <v>X</v>
      </c>
      <c r="I49">
        <f t="shared" si="47"/>
        <v>0</v>
      </c>
      <c r="L49" s="63" t="str">
        <f>L26</f>
        <v xml:space="preserve">Recupero calore,   Osmosi inversa </v>
      </c>
      <c r="M49" s="67" t="s">
        <v>126</v>
      </c>
      <c r="N49" s="4" t="s">
        <v>105</v>
      </c>
      <c r="O49" s="7"/>
      <c r="P49" s="7"/>
      <c r="Q49" s="70">
        <f>IF($G49="X",0,Q26/$B$11)</f>
        <v>76.510416666666856</v>
      </c>
      <c r="R49" s="70"/>
      <c r="S49" s="70">
        <f>IF($G49="X",0,S26/$B$11)</f>
        <v>677.08333333333326</v>
      </c>
      <c r="T49" s="7"/>
      <c r="U49" s="7"/>
      <c r="V49" s="7"/>
      <c r="W49" s="7"/>
      <c r="X49" s="4"/>
      <c r="Y49" s="4"/>
      <c r="Z49" s="4"/>
      <c r="AA49" s="4"/>
      <c r="AB49" s="4"/>
      <c r="AC49" s="39">
        <f t="shared" si="49"/>
        <v>753.59375000000011</v>
      </c>
      <c r="AD49" s="7"/>
      <c r="AE49" s="7"/>
      <c r="AF49" s="7"/>
      <c r="AG49" s="7"/>
      <c r="AH49" s="7"/>
      <c r="AI49" s="30"/>
    </row>
    <row r="50" spans="5:48" ht="15.75" thickBot="1" x14ac:dyDescent="0.3">
      <c r="L50" s="63"/>
      <c r="M50" s="68"/>
      <c r="N50" s="10" t="s">
        <v>106</v>
      </c>
      <c r="O50" s="7"/>
      <c r="P50" s="7"/>
      <c r="Q50" s="71">
        <f>IF($G49="X",Q26/$B$12,0)</f>
        <v>0</v>
      </c>
      <c r="R50" s="71"/>
      <c r="S50" s="71">
        <f>IF($G49="X",S26/$B$12,0)</f>
        <v>0</v>
      </c>
      <c r="T50" s="7"/>
      <c r="U50" s="10">
        <f>IF(H49="X",$U$6*$B$15/1000,IF(I49="X",$U$6*$B$16/1000,0))</f>
        <v>0</v>
      </c>
      <c r="V50" s="7"/>
      <c r="W50" s="10">
        <f>ABS(W26/$B$14)*IF(F49="X",(1-$F$10),1)</f>
        <v>801.66666666666663</v>
      </c>
      <c r="X50" s="10"/>
      <c r="Y50" s="10"/>
      <c r="Z50" s="10"/>
      <c r="AA50" s="10"/>
      <c r="AB50" s="10"/>
      <c r="AC50" s="41">
        <f t="shared" si="49"/>
        <v>801.66666666666663</v>
      </c>
      <c r="AD50" s="7"/>
      <c r="AE50" s="7"/>
      <c r="AF50" s="7"/>
      <c r="AG50" s="7"/>
      <c r="AH50" s="7"/>
      <c r="AI50" s="30"/>
    </row>
    <row r="51" spans="5:48" x14ac:dyDescent="0.25">
      <c r="E51" t="str">
        <f>E28</f>
        <v>X</v>
      </c>
      <c r="F51" t="str">
        <f t="shared" si="47"/>
        <v>X</v>
      </c>
      <c r="G51" t="str">
        <f t="shared" si="47"/>
        <v>X</v>
      </c>
      <c r="H51">
        <f t="shared" si="47"/>
        <v>0</v>
      </c>
      <c r="I51" t="str">
        <f t="shared" si="47"/>
        <v>X</v>
      </c>
      <c r="L51" s="63" t="str">
        <f>L28</f>
        <v>Recupero calore, PV, PdC,  Nanofiltrazione</v>
      </c>
      <c r="M51" s="67" t="s">
        <v>152</v>
      </c>
      <c r="N51" s="4" t="s">
        <v>105</v>
      </c>
      <c r="O51" s="7"/>
      <c r="P51" s="7"/>
      <c r="Q51" s="70">
        <f>IF($G51="X",0,Q28/$B$11)</f>
        <v>0</v>
      </c>
      <c r="R51" s="70"/>
      <c r="S51" s="70">
        <f>IF($G51="X",0,S28/$B$11)</f>
        <v>0</v>
      </c>
      <c r="T51" s="7"/>
      <c r="U51" s="7"/>
      <c r="V51" s="7"/>
      <c r="W51" s="7"/>
      <c r="X51" s="4"/>
      <c r="Y51" s="4"/>
      <c r="Z51" s="4"/>
      <c r="AA51" s="4"/>
      <c r="AB51" s="4"/>
      <c r="AC51" s="39">
        <f t="shared" si="49"/>
        <v>0</v>
      </c>
      <c r="AD51" s="7"/>
      <c r="AE51" s="7"/>
      <c r="AF51" s="7"/>
      <c r="AG51" s="7"/>
      <c r="AH51" s="7"/>
      <c r="AI51" s="7"/>
      <c r="AJ51" s="82"/>
      <c r="AK51" s="83"/>
      <c r="AL51" s="84">
        <v>0.01</v>
      </c>
      <c r="AM51" s="84">
        <v>0.01</v>
      </c>
      <c r="AN51" s="84">
        <v>0.01</v>
      </c>
      <c r="AO51" s="84">
        <v>0.05</v>
      </c>
      <c r="AP51" s="85">
        <v>0.05</v>
      </c>
    </row>
    <row r="52" spans="5:48" x14ac:dyDescent="0.25">
      <c r="L52" s="63"/>
      <c r="M52" s="68"/>
      <c r="N52" s="10" t="s">
        <v>106</v>
      </c>
      <c r="O52" s="7"/>
      <c r="P52" s="7"/>
      <c r="Q52" s="71">
        <f>IF($G51="X",Q28/$B$12,0)</f>
        <v>20.402777777777828</v>
      </c>
      <c r="R52" s="71"/>
      <c r="S52" s="71">
        <f>IF($G51="X",S28/$B$12,0)</f>
        <v>180.55555555555554</v>
      </c>
      <c r="T52" s="7"/>
      <c r="U52" s="10">
        <f>IF(H51="X",$U$6*$B$15/1000,IF(I51="X",$U$6*$B$16/1000,0))</f>
        <v>0</v>
      </c>
      <c r="V52" s="7"/>
      <c r="W52" s="10">
        <f>ABS(W28/$B$14)*IF(F51="X",(1-$F$10),1)</f>
        <v>641.33333333333337</v>
      </c>
      <c r="X52" s="10"/>
      <c r="Y52" s="10"/>
      <c r="Z52" s="10"/>
      <c r="AA52" s="10"/>
      <c r="AB52" s="10"/>
      <c r="AC52" s="41">
        <f t="shared" si="49"/>
        <v>842.29166666666674</v>
      </c>
      <c r="AD52" s="7"/>
      <c r="AE52" s="7"/>
      <c r="AF52" s="7"/>
      <c r="AG52" s="7"/>
      <c r="AH52" s="7"/>
      <c r="AI52" s="7"/>
      <c r="AJ52" s="86"/>
      <c r="AK52" s="2"/>
      <c r="AL52" s="80" t="s">
        <v>143</v>
      </c>
      <c r="AM52" s="80" t="s">
        <v>144</v>
      </c>
      <c r="AN52" s="80" t="s">
        <v>142</v>
      </c>
      <c r="AO52" s="80" t="s">
        <v>118</v>
      </c>
      <c r="AP52" s="87" t="s">
        <v>119</v>
      </c>
    </row>
    <row r="53" spans="5:48" x14ac:dyDescent="0.25">
      <c r="E53" t="str">
        <f>E30</f>
        <v>X</v>
      </c>
      <c r="F53">
        <f t="shared" si="47"/>
        <v>0</v>
      </c>
      <c r="G53">
        <f t="shared" si="47"/>
        <v>0</v>
      </c>
      <c r="H53">
        <f t="shared" si="47"/>
        <v>0</v>
      </c>
      <c r="I53" t="str">
        <f>I30</f>
        <v>X</v>
      </c>
      <c r="L53" s="63" t="str">
        <f>L30</f>
        <v>Recupero calore,    Nanofiltrazione</v>
      </c>
      <c r="M53" s="67" t="s">
        <v>153</v>
      </c>
      <c r="N53" s="4" t="s">
        <v>105</v>
      </c>
      <c r="O53" s="4"/>
      <c r="P53" s="4"/>
      <c r="Q53" s="70">
        <f>IF($G53="X",0,Q30/$B$11)</f>
        <v>76.510416666666856</v>
      </c>
      <c r="R53" s="70"/>
      <c r="S53" s="70">
        <f>IF($G53="X",0,S30/$B$11)</f>
        <v>677.08333333333326</v>
      </c>
      <c r="T53" s="4"/>
      <c r="U53" s="4"/>
      <c r="V53" s="4"/>
      <c r="W53" s="4"/>
      <c r="X53" s="4"/>
      <c r="Y53" s="4"/>
      <c r="Z53" s="4"/>
      <c r="AA53" s="4"/>
      <c r="AB53" s="4"/>
      <c r="AC53" s="39">
        <f t="shared" si="49"/>
        <v>753.59375000000011</v>
      </c>
      <c r="AD53" s="4"/>
      <c r="AE53" s="4"/>
      <c r="AF53" s="4"/>
      <c r="AG53" s="4"/>
      <c r="AH53" s="4"/>
      <c r="AI53" s="4"/>
      <c r="AJ53" s="86" t="s">
        <v>164</v>
      </c>
      <c r="AK53" s="2" t="s">
        <v>167</v>
      </c>
      <c r="AL53" s="81">
        <v>100000</v>
      </c>
      <c r="AM53" s="81">
        <v>1500</v>
      </c>
      <c r="AN53" s="81">
        <v>200000</v>
      </c>
      <c r="AO53" s="99">
        <f>'Osmosi inversa new'!C2</f>
        <v>205000</v>
      </c>
      <c r="AP53" s="100">
        <f>'Nanofiltrazione new'!C2</f>
        <v>220000</v>
      </c>
    </row>
    <row r="54" spans="5:48" x14ac:dyDescent="0.25">
      <c r="L54" s="63"/>
      <c r="M54" s="68"/>
      <c r="N54" s="10" t="s">
        <v>106</v>
      </c>
      <c r="O54" s="10"/>
      <c r="P54" s="10"/>
      <c r="Q54" s="71">
        <f>IF($G53="X",Q30/$B$12,0)</f>
        <v>0</v>
      </c>
      <c r="R54" s="71"/>
      <c r="S54" s="71">
        <f>IF($G53="X",S30/$B$12,0)</f>
        <v>0</v>
      </c>
      <c r="T54" s="10"/>
      <c r="U54" s="10">
        <f>IF(H53="X",$U$6*$B$15/1000,IF(I53="X",$U$6*$B$16/1000,0))</f>
        <v>0</v>
      </c>
      <c r="V54" s="10" t="s">
        <v>104</v>
      </c>
      <c r="W54" s="10">
        <f>ABS(W30/$B$14)*IF(F53="X",(1-$F$10),1)</f>
        <v>801.66666666666663</v>
      </c>
      <c r="X54" s="10"/>
      <c r="Y54" s="10"/>
      <c r="Z54" s="10"/>
      <c r="AA54" s="10"/>
      <c r="AB54" s="10"/>
      <c r="AC54" s="41">
        <f t="shared" si="49"/>
        <v>801.66666666666663</v>
      </c>
      <c r="AD54" s="10"/>
      <c r="AE54" s="10"/>
      <c r="AF54" s="10"/>
      <c r="AG54" s="10"/>
      <c r="AH54" s="10"/>
      <c r="AI54" s="10"/>
      <c r="AJ54" s="86" t="s">
        <v>188</v>
      </c>
      <c r="AK54" s="2" t="s">
        <v>166</v>
      </c>
      <c r="AL54" s="80">
        <f>AL51*AL53</f>
        <v>1000</v>
      </c>
      <c r="AM54" s="80">
        <f>AM51*AM53*$AL$46</f>
        <v>750</v>
      </c>
      <c r="AN54" s="80">
        <f>AN51*AN53</f>
        <v>2000</v>
      </c>
      <c r="AO54" s="101">
        <f>'Osmosi inversa new'!C3+'Osmosi inversa new'!C4+'Osmosi inversa new'!C5</f>
        <v>60225</v>
      </c>
      <c r="AP54" s="102">
        <f>'Nanofiltrazione new'!C3+'Nanofiltrazione new'!C4+'Nanofiltrazione new'!C5</f>
        <v>60225</v>
      </c>
    </row>
    <row r="55" spans="5:48" ht="15.75" thickBot="1" x14ac:dyDescent="0.3">
      <c r="E55">
        <f>E32</f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 t="str">
        <f>I32</f>
        <v>X</v>
      </c>
      <c r="L55" s="63" t="str">
        <f>L32</f>
        <v xml:space="preserve">    Nanofiltrazione</v>
      </c>
      <c r="M55" s="132" t="s">
        <v>154</v>
      </c>
      <c r="N55" s="7" t="s">
        <v>105</v>
      </c>
      <c r="O55" s="7"/>
      <c r="P55" s="7"/>
      <c r="Q55" s="7">
        <f>IF($G55="X",0,Q32/$B$11)</f>
        <v>2356.25</v>
      </c>
      <c r="R55" s="7"/>
      <c r="S55" s="7">
        <f>IF($G55="X",0,S32/$B$11)</f>
        <v>677.08333333333326</v>
      </c>
      <c r="T55" s="7"/>
      <c r="U55" s="7"/>
      <c r="V55" s="7"/>
      <c r="W55" s="7"/>
      <c r="X55" s="7"/>
      <c r="Y55" s="7"/>
      <c r="Z55" s="7"/>
      <c r="AA55" s="7"/>
      <c r="AB55" s="7"/>
      <c r="AC55" s="34">
        <f t="shared" si="48"/>
        <v>3033.333333333333</v>
      </c>
      <c r="AD55" s="7"/>
      <c r="AE55" s="7"/>
      <c r="AF55" s="7"/>
      <c r="AG55" s="7"/>
      <c r="AH55" s="7"/>
      <c r="AI55" s="7"/>
      <c r="AJ55" s="88" t="s">
        <v>149</v>
      </c>
      <c r="AK55" s="89" t="s">
        <v>165</v>
      </c>
      <c r="AL55" s="89">
        <v>15</v>
      </c>
      <c r="AM55" s="89">
        <v>25</v>
      </c>
      <c r="AN55" s="89">
        <v>15</v>
      </c>
      <c r="AO55" s="103">
        <v>15</v>
      </c>
      <c r="AP55" s="104">
        <v>15</v>
      </c>
    </row>
    <row r="56" spans="5:48" ht="15.75" thickBot="1" x14ac:dyDescent="0.3">
      <c r="L56" s="58"/>
      <c r="M56" s="133"/>
      <c r="N56" s="32" t="s">
        <v>106</v>
      </c>
      <c r="O56" s="32"/>
      <c r="P56" s="32"/>
      <c r="Q56" s="32">
        <f>IF($G55="X",Q32/$B$12,0)</f>
        <v>0</v>
      </c>
      <c r="R56" s="32"/>
      <c r="S56" s="32">
        <f>IF($G55="X",S32/$B$12,0)</f>
        <v>0</v>
      </c>
      <c r="T56" s="32"/>
      <c r="U56" s="32">
        <f>IF(H55="X",$U$6*$B$15/1000,IF(I55="X",$U$6*$B$16/1000,0))</f>
        <v>0</v>
      </c>
      <c r="V56" s="32"/>
      <c r="W56" s="32">
        <f>ABS(W32/$B$14)*IF(F55="X",(1-$F$10),1)</f>
        <v>801.66666666666663</v>
      </c>
      <c r="X56" s="32"/>
      <c r="Y56" s="32"/>
      <c r="Z56" s="32"/>
      <c r="AA56" s="32"/>
      <c r="AB56" s="32"/>
      <c r="AC56" s="44">
        <f t="shared" si="48"/>
        <v>801.66666666666663</v>
      </c>
      <c r="AD56" s="32"/>
      <c r="AE56" s="32"/>
      <c r="AF56" s="32"/>
      <c r="AG56" s="32"/>
      <c r="AH56" s="32"/>
      <c r="AI56" s="33"/>
      <c r="AJ56" s="117" t="s">
        <v>187</v>
      </c>
      <c r="AK56">
        <v>25</v>
      </c>
      <c r="AO56" s="60"/>
      <c r="AP56" s="60"/>
    </row>
    <row r="58" spans="5:48" ht="47.25" x14ac:dyDescent="0.25">
      <c r="AC58" s="51" t="s">
        <v>140</v>
      </c>
      <c r="AD58" s="51" t="s">
        <v>136</v>
      </c>
      <c r="AE58" s="45" t="s">
        <v>124</v>
      </c>
      <c r="AF58" s="51" t="s">
        <v>137</v>
      </c>
      <c r="AG58" s="45" t="s">
        <v>162</v>
      </c>
      <c r="AH58" s="51" t="s">
        <v>163</v>
      </c>
      <c r="AI58" s="51" t="s">
        <v>138</v>
      </c>
      <c r="AL58" s="24" t="s">
        <v>143</v>
      </c>
      <c r="AM58" s="24" t="s">
        <v>144</v>
      </c>
      <c r="AN58" s="24" t="s">
        <v>142</v>
      </c>
      <c r="AO58" s="24" t="s">
        <v>118</v>
      </c>
      <c r="AP58" s="24" t="s">
        <v>119</v>
      </c>
      <c r="AQ58" s="51" t="s">
        <v>141</v>
      </c>
      <c r="AR58" s="25" t="s">
        <v>148</v>
      </c>
      <c r="AS58" s="24"/>
      <c r="AT58" s="51" t="s">
        <v>168</v>
      </c>
    </row>
    <row r="59" spans="5:48" ht="16.5" thickBot="1" x14ac:dyDescent="0.3">
      <c r="AC59" s="51"/>
      <c r="AD59" s="51"/>
      <c r="AE59" s="45"/>
      <c r="AF59" s="51"/>
      <c r="AG59" s="45"/>
      <c r="AH59" s="51"/>
      <c r="AI59" s="51"/>
      <c r="AL59" s="75"/>
      <c r="AM59" s="75"/>
      <c r="AN59" s="75"/>
      <c r="AO59" s="75"/>
      <c r="AP59" s="75"/>
      <c r="AQ59" s="51"/>
      <c r="AR59" s="75"/>
      <c r="AS59" s="24"/>
      <c r="AT59" s="51"/>
    </row>
    <row r="60" spans="5:48" s="24" customFormat="1" x14ac:dyDescent="0.25">
      <c r="L60" s="59" t="s">
        <v>97</v>
      </c>
      <c r="M60" s="131" t="s">
        <v>150</v>
      </c>
      <c r="N60" s="35"/>
      <c r="O60" s="35"/>
      <c r="P60" s="35"/>
      <c r="Q60" s="35">
        <f>Q35*$B$4+Q36*$B$5</f>
        <v>235.625</v>
      </c>
      <c r="R60" s="35"/>
      <c r="S60" s="35">
        <f>S35*$B$4+S36*$B$5</f>
        <v>67.708333333333329</v>
      </c>
      <c r="T60" s="35"/>
      <c r="U60" s="35">
        <f>U35*$B$4+U36*$B$5</f>
        <v>0</v>
      </c>
      <c r="V60" s="35"/>
      <c r="W60" s="35">
        <f>W35*$B$4+W36*$B$5</f>
        <v>120.24999999999999</v>
      </c>
      <c r="X60" s="35"/>
      <c r="Y60" s="35">
        <f>Y35*$B$4+Y36*$B$5</f>
        <v>0</v>
      </c>
      <c r="Z60" s="35"/>
      <c r="AA60" s="35">
        <f>$W$6*$B$6-$W$6*$B$7</f>
        <v>200</v>
      </c>
      <c r="AB60" s="35"/>
      <c r="AC60" s="35">
        <f>SUM(Q60:AA60)</f>
        <v>623.58333333333326</v>
      </c>
      <c r="AD60" s="46"/>
      <c r="AE60" s="43">
        <f>AE12+AC35*$B$18/1000+AC36*$B$19/1000</f>
        <v>1.3264839512318334</v>
      </c>
      <c r="AF60" s="46"/>
      <c r="AG60" s="43">
        <f>AE60*$B$24</f>
        <v>484.16664219961916</v>
      </c>
      <c r="AH60" s="96">
        <f>AC60*$B$24</f>
        <v>227607.91666666663</v>
      </c>
      <c r="AI60" s="36"/>
      <c r="AR60" s="76">
        <f>IF($E60="X",$AL$54,0)+IF($F60="X",$AM$54,0)+IF($G60="X",$AN$54,0)+IF($H60="X",$AO$54,0)+IF($I60="X",$AP$54,0)</f>
        <v>0</v>
      </c>
      <c r="AT60" s="54">
        <f>AH60</f>
        <v>227607.91666666663</v>
      </c>
    </row>
    <row r="61" spans="5:48" ht="15.75" thickBot="1" x14ac:dyDescent="0.3">
      <c r="L61" s="57"/>
      <c r="M61" s="13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47"/>
      <c r="AE61" s="34"/>
      <c r="AF61" s="47"/>
      <c r="AG61" s="47"/>
      <c r="AH61" s="97"/>
      <c r="AI61" s="30"/>
    </row>
    <row r="62" spans="5:48" x14ac:dyDescent="0.25">
      <c r="E62" t="str">
        <f>E37</f>
        <v>X</v>
      </c>
      <c r="F62">
        <f t="shared" ref="F62:I80" si="50">F37</f>
        <v>0</v>
      </c>
      <c r="G62">
        <f t="shared" si="50"/>
        <v>0</v>
      </c>
      <c r="H62">
        <f t="shared" si="50"/>
        <v>0</v>
      </c>
      <c r="I62">
        <f t="shared" si="50"/>
        <v>0</v>
      </c>
      <c r="L62" s="63" t="str">
        <f>L37</f>
        <v xml:space="preserve">Recupero calore,    </v>
      </c>
      <c r="M62" s="131" t="s">
        <v>114</v>
      </c>
      <c r="N62" s="7"/>
      <c r="O62" s="7"/>
      <c r="P62" s="7"/>
      <c r="Q62" s="31">
        <f>Q37*$B$4+Q38*$B$5</f>
        <v>7.6510416666666856</v>
      </c>
      <c r="R62" s="31"/>
      <c r="S62" s="31">
        <f>S37*$B$4+S38*$B$5</f>
        <v>67.708333333333329</v>
      </c>
      <c r="T62" s="31"/>
      <c r="U62" s="31">
        <f>U37*$B$4+U38*$B$5</f>
        <v>0</v>
      </c>
      <c r="V62" s="31"/>
      <c r="W62" s="31">
        <f>W37*$B$4+W38*$B$5</f>
        <v>120.24999999999999</v>
      </c>
      <c r="X62" s="31"/>
      <c r="Y62" s="31">
        <f>Y37*$B$4+Y38*$B$5</f>
        <v>0</v>
      </c>
      <c r="Z62" s="31"/>
      <c r="AA62" s="31">
        <f>IF(H62="X",$B$21,IF(I62="X",$B$22,1))*$W$6*$B$6-IF(H62="X",$B$21,IF(I62="X",$B$22,1))*$W$6*IF(H62="X",$B$8,IF(I62="X",$B$9,$B$7))</f>
        <v>200</v>
      </c>
      <c r="AB62" s="7"/>
      <c r="AC62" s="31">
        <f>SUM(Q62:AA62)</f>
        <v>395.609375</v>
      </c>
      <c r="AD62" s="48">
        <f>($AC$60-AC62)/$AC$60</f>
        <v>0.36558699719363885</v>
      </c>
      <c r="AE62" s="34">
        <f>AE14+AC37*$B$18/1000+AC38*$B$19/1000</f>
        <v>0.86597655539849994</v>
      </c>
      <c r="AF62" s="48">
        <f>($AE$60-AE62)/$AE$60</f>
        <v>0.34716394073647505</v>
      </c>
      <c r="AG62" s="34">
        <f>AE62*$B$24</f>
        <v>316.08144272045246</v>
      </c>
      <c r="AH62" s="98">
        <f>AC62*$B$24</f>
        <v>144397.421875</v>
      </c>
      <c r="AI62" s="52">
        <f>$AH$60-AH62</f>
        <v>83210.494791666628</v>
      </c>
      <c r="AL62" s="76">
        <f>IF(E62="X",AL$53,0)*(1+($AK$56-AL$55)/AL$55)</f>
        <v>166666.66666666666</v>
      </c>
      <c r="AM62" s="76">
        <f>IF(F62="X",AM$53*$AL$46,0)*(1+($AK$56-AM$55)/AM$55)</f>
        <v>0</v>
      </c>
      <c r="AN62" s="76">
        <f>IF(G62="X",AN$53,0)*(1+($AK$56-AN$55)/AN$55)</f>
        <v>0</v>
      </c>
      <c r="AO62" s="76">
        <f>IF(H62="X",AO$53,0)*(1+($AK$56-AO$55)/AO$55)</f>
        <v>0</v>
      </c>
      <c r="AP62" s="76">
        <f>IF(I62="X",AP$53,0)*(1+($AK$56-AP$55)/AP$55)</f>
        <v>0</v>
      </c>
      <c r="AQ62" s="76">
        <f>SUM(AL62:AP62)</f>
        <v>166666.66666666666</v>
      </c>
      <c r="AR62" s="76">
        <f>IF($E62="X",$AL$54,0)+IF($F62="X",$AM$54,0)+IF($G62="X",$AN$54,0)+IF($H62="X",$AO$54,0)+IF($I62="X",$AP$54,0)</f>
        <v>1000</v>
      </c>
      <c r="AS62" s="55"/>
      <c r="AT62" s="54">
        <f>SUM(AQ62:AR62)+AH62</f>
        <v>312064.08854166663</v>
      </c>
      <c r="AU62" s="54"/>
      <c r="AV62" s="26">
        <f>(AT62-$AT$60)/AI62</f>
        <v>1.0149701919986436</v>
      </c>
    </row>
    <row r="63" spans="5:48" x14ac:dyDescent="0.25">
      <c r="L63" s="63"/>
      <c r="M63" s="132"/>
      <c r="N63" s="7"/>
      <c r="O63" s="7"/>
      <c r="P63" s="7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7"/>
      <c r="AC63" s="31"/>
      <c r="AD63" s="49"/>
      <c r="AE63" s="34"/>
      <c r="AF63" s="47"/>
      <c r="AG63" s="47"/>
      <c r="AH63" s="97"/>
      <c r="AI63" s="52"/>
      <c r="AL63" s="76"/>
      <c r="AM63" s="76"/>
      <c r="AN63" s="76"/>
      <c r="AO63" s="76"/>
      <c r="AP63" s="76"/>
      <c r="AQ63" s="76"/>
      <c r="AR63" s="77"/>
      <c r="AT63" s="54"/>
      <c r="AU63" s="54"/>
      <c r="AV63" s="54"/>
    </row>
    <row r="64" spans="5:48" x14ac:dyDescent="0.25">
      <c r="E64" t="str">
        <f>E39</f>
        <v>X</v>
      </c>
      <c r="F64" t="str">
        <f t="shared" si="50"/>
        <v>X</v>
      </c>
      <c r="G64">
        <f t="shared" si="50"/>
        <v>0</v>
      </c>
      <c r="H64">
        <f t="shared" si="50"/>
        <v>0</v>
      </c>
      <c r="I64">
        <f t="shared" si="50"/>
        <v>0</v>
      </c>
      <c r="L64" s="63" t="str">
        <f t="shared" ref="L64:L80" si="51">L39</f>
        <v xml:space="preserve">Recupero calore, PV,   </v>
      </c>
      <c r="M64" s="67" t="s">
        <v>115</v>
      </c>
      <c r="N64" s="7"/>
      <c r="O64" s="7"/>
      <c r="P64" s="7"/>
      <c r="Q64" s="31">
        <f>Q39*$B$4+Q40*$B$5</f>
        <v>7.6510416666666856</v>
      </c>
      <c r="R64" s="31"/>
      <c r="S64" s="31">
        <f>S39*$B$4+S40*$B$5</f>
        <v>67.708333333333329</v>
      </c>
      <c r="T64" s="31"/>
      <c r="U64" s="31">
        <f>U39*$B$4+U40*$B$5</f>
        <v>0</v>
      </c>
      <c r="V64" s="31"/>
      <c r="W64" s="31">
        <f>W39*$B$4+W40*$B$5</f>
        <v>96.2</v>
      </c>
      <c r="X64" s="31"/>
      <c r="Y64" s="31">
        <f>Y39*$B$4+Y40*$B$5</f>
        <v>0</v>
      </c>
      <c r="Z64" s="31"/>
      <c r="AA64" s="31">
        <f>IF(H64="X",$B$21,IF(I64="X",$B$22,1))*$W$6*$B$6-IF(H64="X",$B$21,IF(I64="X",$B$22,1))*$W$6*IF(H64="X",$B$8,IF(I64="X",$B$9,$B$7))</f>
        <v>200</v>
      </c>
      <c r="AB64" s="7"/>
      <c r="AC64" s="31">
        <f>SUM(Q64:AA64)</f>
        <v>371.55937500000005</v>
      </c>
      <c r="AD64" s="48">
        <f>($AC$60-AC64)/$AC$60</f>
        <v>0.40415441667780289</v>
      </c>
      <c r="AE64" s="34">
        <f>AE16+AC39*$B$18/1000+AC40*$B$19/1000</f>
        <v>0.78853555539850007</v>
      </c>
      <c r="AF64" s="48">
        <f>($AE$60-AE64)/$AE$60</f>
        <v>0.40554459428911294</v>
      </c>
      <c r="AG64" s="34">
        <f>AE64*$B$24</f>
        <v>287.81547772045252</v>
      </c>
      <c r="AH64" s="98">
        <f>AC64*$B$24</f>
        <v>135619.17187500003</v>
      </c>
      <c r="AI64" s="52">
        <f>$AH$60-AH64</f>
        <v>91988.744791666599</v>
      </c>
      <c r="AL64" s="76">
        <f>IF(E64="X",AL$53,0)*(1+($AK$56-AL$55)/AL$55)</f>
        <v>166666.66666666666</v>
      </c>
      <c r="AM64" s="76">
        <f>IF(F64="X",AM$53*$AL$46,0)*(1+($AK$56-AM$55)/AM$55)</f>
        <v>75000</v>
      </c>
      <c r="AN64" s="76">
        <f>IF(G64="X",AN$53,0)*(1+($AK$56-AN$55)/AN$55)</f>
        <v>0</v>
      </c>
      <c r="AO64" s="76">
        <f>IF(H64="X",AO$53,0)*(1+($AK$56-AO$55)/AO$55)</f>
        <v>0</v>
      </c>
      <c r="AP64" s="76">
        <f>IF(I64="X",AP$53,0)*(1+($AK$56-AP$55)/AP$55)</f>
        <v>0</v>
      </c>
      <c r="AQ64" s="76">
        <f>SUM(AL64:AP64)</f>
        <v>241666.66666666666</v>
      </c>
      <c r="AR64" s="76">
        <f>IF($E64="X",$AL$54,0)+IF($F64="X",$AM$54,0)+IF($G64="X",$AN$54,0)+IF($H64="X",$AO$54,0)+IF($I64="X",$AP$54,0)</f>
        <v>1750</v>
      </c>
      <c r="AT64" s="54">
        <f>SUM(AQ64:AR64)+AH64</f>
        <v>379035.83854166669</v>
      </c>
      <c r="AU64" s="54"/>
      <c r="AV64" s="26">
        <f>(AT64-$AT$60)/AI64</f>
        <v>1.6461570621269979</v>
      </c>
    </row>
    <row r="65" spans="5:48" x14ac:dyDescent="0.25">
      <c r="L65" s="63"/>
      <c r="M65" s="6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47"/>
      <c r="AE65" s="34"/>
      <c r="AF65" s="47"/>
      <c r="AG65" s="47"/>
      <c r="AH65" s="97"/>
      <c r="AI65" s="53"/>
      <c r="AL65" s="76"/>
      <c r="AM65" s="76"/>
      <c r="AN65" s="76"/>
      <c r="AO65" s="76"/>
      <c r="AP65" s="76"/>
      <c r="AQ65" s="76"/>
      <c r="AR65" s="77"/>
      <c r="AT65" s="54"/>
      <c r="AU65" s="54"/>
      <c r="AV65" s="26"/>
    </row>
    <row r="66" spans="5:48" x14ac:dyDescent="0.25">
      <c r="E66" t="str">
        <f>E41</f>
        <v>X</v>
      </c>
      <c r="F66" t="str">
        <f t="shared" si="50"/>
        <v>X</v>
      </c>
      <c r="G66" t="str">
        <f t="shared" si="50"/>
        <v>X</v>
      </c>
      <c r="H66">
        <f t="shared" si="50"/>
        <v>0</v>
      </c>
      <c r="I66">
        <f t="shared" si="50"/>
        <v>0</v>
      </c>
      <c r="L66" s="63" t="str">
        <f t="shared" si="51"/>
        <v xml:space="preserve">Recupero calore, PV, PdC,  </v>
      </c>
      <c r="M66" s="67" t="s">
        <v>116</v>
      </c>
      <c r="N66" s="7"/>
      <c r="O66" s="7"/>
      <c r="P66" s="7"/>
      <c r="Q66" s="31">
        <f>Q41*$B$4+Q42*$B$5</f>
        <v>3.0604166666666743</v>
      </c>
      <c r="R66" s="31"/>
      <c r="S66" s="31">
        <f>S41*$B$4+S42*$B$5</f>
        <v>27.083333333333332</v>
      </c>
      <c r="T66" s="31"/>
      <c r="U66" s="31">
        <f>U41*$B$4+U42*$B$5</f>
        <v>0</v>
      </c>
      <c r="V66" s="31"/>
      <c r="W66" s="31">
        <f>W41*$B$4+W42*$B$5</f>
        <v>96.2</v>
      </c>
      <c r="X66" s="31"/>
      <c r="Y66" s="31">
        <f>Y41*$B$4+Y42*$B$5</f>
        <v>0</v>
      </c>
      <c r="Z66" s="31"/>
      <c r="AA66" s="31">
        <f>IF(H66="X",$B$21,IF(I66="X",$B$22,1))*$W$6*$B$6-IF(H66="X",$B$21,IF(I66="X",$B$22,1))*$W$6*IF(H66="X",$B$8,IF(I66="X",$B$9,$B$7))</f>
        <v>200</v>
      </c>
      <c r="AB66" s="7"/>
      <c r="AC66" s="31">
        <f>SUM(Q66:AA66)</f>
        <v>326.34375</v>
      </c>
      <c r="AD66" s="48">
        <f>($AC$60-AC66)/$AC$60</f>
        <v>0.4766637712147534</v>
      </c>
      <c r="AE66" s="34">
        <f>AE18+AC41*$B$18/1000+AC42*$B$19/1000</f>
        <v>0.73337249289849993</v>
      </c>
      <c r="AF66" s="48">
        <f>($AE$60-AE66)/$AE$60</f>
        <v>0.44713051958340178</v>
      </c>
      <c r="AG66" s="34">
        <f>AE66*$B$24</f>
        <v>267.68095990795246</v>
      </c>
      <c r="AH66" s="98">
        <f>AC66*$B$24</f>
        <v>119115.46875</v>
      </c>
      <c r="AI66" s="52">
        <f>$AH$60-AH66</f>
        <v>108492.44791666663</v>
      </c>
      <c r="AL66" s="76">
        <f>IF(E66="X",AL$53,0)*(1+($AK$56-AL$55)/AL$55)</f>
        <v>166666.66666666666</v>
      </c>
      <c r="AM66" s="76">
        <f>IF(F66="X",AM$53*$AL$46,0)*(1+($AK$56-AM$55)/AM$55)</f>
        <v>75000</v>
      </c>
      <c r="AN66" s="76">
        <f>IF(G66="X",AN$53,0)*(1+($AK$56-AN$55)/AN$55)</f>
        <v>333333.33333333331</v>
      </c>
      <c r="AO66" s="76">
        <f>IF(H66="X",AO$53,0)*(1+($AK$56-AO$55)/AO$55)</f>
        <v>0</v>
      </c>
      <c r="AP66" s="76">
        <f>IF(I66="X",AP$53,0)*(1+($AK$56-AP$55)/AP$55)</f>
        <v>0</v>
      </c>
      <c r="AQ66" s="76">
        <f>SUM(AL66:AP66)</f>
        <v>575000</v>
      </c>
      <c r="AR66" s="76">
        <f>IF($E66="X",$AL$54,0)+IF($F66="X",$AM$54,0)+IF($G66="X",$AN$54,0)+IF($H66="X",$AO$54,0)+IF($I66="X",$AP$54,0)</f>
        <v>3750</v>
      </c>
      <c r="AT66" s="54">
        <f>SUM(AQ66:AR66)+AH66</f>
        <v>697865.46875</v>
      </c>
      <c r="AU66" s="54"/>
      <c r="AV66" s="26">
        <f>(AT66-$AT$60)/AI66</f>
        <v>4.3344726855507911</v>
      </c>
    </row>
    <row r="67" spans="5:48" x14ac:dyDescent="0.25">
      <c r="L67" s="63"/>
      <c r="M67" s="6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47"/>
      <c r="AE67" s="34"/>
      <c r="AF67" s="47"/>
      <c r="AG67" s="47"/>
      <c r="AH67" s="97"/>
      <c r="AI67" s="53"/>
      <c r="AL67" s="76"/>
      <c r="AM67" s="76"/>
      <c r="AN67" s="76"/>
      <c r="AO67" s="76"/>
      <c r="AP67" s="76"/>
      <c r="AQ67" s="76"/>
      <c r="AR67" s="77"/>
      <c r="AT67" s="54"/>
      <c r="AU67" s="54"/>
      <c r="AV67" s="26"/>
    </row>
    <row r="68" spans="5:48" x14ac:dyDescent="0.25">
      <c r="E68">
        <f>E43</f>
        <v>0</v>
      </c>
      <c r="F68" t="str">
        <f t="shared" si="50"/>
        <v>X</v>
      </c>
      <c r="G68" t="str">
        <f t="shared" si="50"/>
        <v>X</v>
      </c>
      <c r="H68">
        <f t="shared" si="50"/>
        <v>0</v>
      </c>
      <c r="I68">
        <f t="shared" si="50"/>
        <v>0</v>
      </c>
      <c r="L68" s="63" t="str">
        <f t="shared" si="51"/>
        <v xml:space="preserve"> PV, PdC,  </v>
      </c>
      <c r="M68" s="67" t="s">
        <v>117</v>
      </c>
      <c r="N68" s="7"/>
      <c r="O68" s="7"/>
      <c r="P68" s="7"/>
      <c r="Q68" s="31">
        <f>Q43*$B$4+Q44*$B$5</f>
        <v>94.25</v>
      </c>
      <c r="R68" s="31"/>
      <c r="S68" s="31">
        <f>S43*$B$4+S44*$B$5</f>
        <v>27.083333333333332</v>
      </c>
      <c r="T68" s="31"/>
      <c r="U68" s="31">
        <f>U43*$B$4+U44*$B$5</f>
        <v>0</v>
      </c>
      <c r="V68" s="31"/>
      <c r="W68" s="31">
        <f>W43*$B$4+W44*$B$5</f>
        <v>96.2</v>
      </c>
      <c r="X68" s="31"/>
      <c r="Y68" s="31">
        <f>Y43*$B$4+Y44*$B$5</f>
        <v>0</v>
      </c>
      <c r="Z68" s="31"/>
      <c r="AA68" s="31">
        <f>IF(H68="X",$B$21,IF(I68="X",$B$22,1))*$W$6*$B$6-IF(H68="X",$B$21,IF(I68="X",$B$22,1))*$W$6*IF(H68="X",$B$8,IF(I68="X",$B$9,$B$7))</f>
        <v>200</v>
      </c>
      <c r="AB68" s="7"/>
      <c r="AC68" s="31">
        <f>SUM(Q68:AA68)</f>
        <v>417.5333333333333</v>
      </c>
      <c r="AD68" s="48">
        <f>($AC$60-AC68)/$AC$60</f>
        <v>0.33042897233729784</v>
      </c>
      <c r="AE68" s="34">
        <f>AE20+AC43*$B$18/1000+AC44*$B$19/1000</f>
        <v>1.0270029512318333</v>
      </c>
      <c r="AF68" s="48">
        <f>($AE$60-AE68)/$AE$60</f>
        <v>0.22577054152964943</v>
      </c>
      <c r="AG68" s="34">
        <f>AE68*$B$24</f>
        <v>374.85607719961916</v>
      </c>
      <c r="AH68" s="98">
        <f>AC68*$B$24</f>
        <v>152399.66666666666</v>
      </c>
      <c r="AI68" s="52">
        <f>$AH$60-AH68</f>
        <v>75208.249999999971</v>
      </c>
      <c r="AL68" s="76">
        <f>IF(E68="X",AL$53,0)*(1+($AK$56-AL$55)/AL$55)</f>
        <v>0</v>
      </c>
      <c r="AM68" s="76">
        <f>IF(F68="X",AM$53*$AL$46,0)*(1+($AK$56-AM$55)/AM$55)</f>
        <v>75000</v>
      </c>
      <c r="AN68" s="76">
        <f>IF(G68="X",AN$53,0)*(1+($AK$56-AN$55)/AN$55)</f>
        <v>333333.33333333331</v>
      </c>
      <c r="AO68" s="76">
        <f>IF(H68="X",AO$53,0)*(1+($AK$56-AO$55)/AO$55)</f>
        <v>0</v>
      </c>
      <c r="AP68" s="76">
        <f>IF(I68="X",AP$53,0)*(1+($AK$56-AP$55)/AP$55)</f>
        <v>0</v>
      </c>
      <c r="AQ68" s="76">
        <f>SUM(AL68:AP68)</f>
        <v>408333.33333333331</v>
      </c>
      <c r="AR68" s="76">
        <f>IF($E68="X",$AL$54,0)+IF($F68="X",$AM$54,0)+IF($G68="X",$AN$54,0)+IF($H68="X",$AO$54,0)+IF($I68="X",$AP$54,0)</f>
        <v>2750</v>
      </c>
      <c r="AT68" s="54">
        <f>SUM(AQ68:AR68)+AH68</f>
        <v>563483</v>
      </c>
      <c r="AU68" s="54"/>
      <c r="AV68" s="26">
        <f>(AT68-$AT$60)/AI68</f>
        <v>4.4659340342759402</v>
      </c>
    </row>
    <row r="69" spans="5:48" x14ac:dyDescent="0.25">
      <c r="L69" s="63"/>
      <c r="M69" s="6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47"/>
      <c r="AE69" s="34"/>
      <c r="AF69" s="47"/>
      <c r="AG69" s="47"/>
      <c r="AH69" s="97"/>
      <c r="AI69" s="53"/>
      <c r="AL69" s="76"/>
      <c r="AM69" s="76"/>
      <c r="AN69" s="76"/>
      <c r="AO69" s="76"/>
      <c r="AP69" s="76"/>
      <c r="AQ69" s="76"/>
      <c r="AR69" s="77"/>
      <c r="AT69" s="54"/>
      <c r="AU69" s="54"/>
      <c r="AV69" s="26"/>
    </row>
    <row r="70" spans="5:48" x14ac:dyDescent="0.25">
      <c r="E70" t="str">
        <f>E45</f>
        <v>X</v>
      </c>
      <c r="F70" t="str">
        <f t="shared" si="50"/>
        <v>X</v>
      </c>
      <c r="G70" t="str">
        <f t="shared" si="50"/>
        <v>X</v>
      </c>
      <c r="H70" t="str">
        <f t="shared" si="50"/>
        <v>X</v>
      </c>
      <c r="I70">
        <f t="shared" si="50"/>
        <v>0</v>
      </c>
      <c r="L70" s="63" t="str">
        <f t="shared" si="51"/>
        <v xml:space="preserve">Recupero calore, PV, PdC, Osmosi inversa </v>
      </c>
      <c r="M70" s="67" t="s">
        <v>121</v>
      </c>
      <c r="N70" s="7"/>
      <c r="O70" s="7"/>
      <c r="P70" s="7"/>
      <c r="Q70" s="31">
        <f>Q45*$B$4+Q46*$B$5</f>
        <v>3.0604166666666743</v>
      </c>
      <c r="R70" s="31"/>
      <c r="S70" s="31">
        <f>S45*$B$4+S46*$B$5</f>
        <v>27.083333333333332</v>
      </c>
      <c r="T70" s="31"/>
      <c r="U70" s="31">
        <f>U45*$B$4+U46*$B$5</f>
        <v>0</v>
      </c>
      <c r="V70" s="31"/>
      <c r="W70" s="31">
        <f>W45*$B$4+W46*$B$5</f>
        <v>96.2</v>
      </c>
      <c r="X70" s="31"/>
      <c r="Y70" s="31">
        <f>Y45*$B$4+Y46*$B$5</f>
        <v>0</v>
      </c>
      <c r="Z70" s="7"/>
      <c r="AA70" s="31">
        <f>IF(H70="X",$B$21,IF(I70="X",$B$22,1))*$W$6*$B$6-IF(H70="X",$B$21,IF(I70="X",$B$22,1))*$W$6*IF(H70="X",$B$8,IF(I70="X",$B$9,$B$7))</f>
        <v>-453.60000000000025</v>
      </c>
      <c r="AB70" s="7"/>
      <c r="AC70" s="31">
        <f>SUM(Q70:AA70)</f>
        <v>-327.25625000000025</v>
      </c>
      <c r="AD70" s="48">
        <f>($AC$60-AC70)/$AC$60</f>
        <v>1.5247995456367771</v>
      </c>
      <c r="AE70" s="34">
        <f>AE22+AC45*$B$18/1000+AC46*$B$19/1000</f>
        <v>0.51262765519911413</v>
      </c>
      <c r="AF70" s="48">
        <f>($AE$60-AE70)/$AE$60</f>
        <v>0.61354402009683962</v>
      </c>
      <c r="AG70" s="34">
        <f>AE70*$B$24</f>
        <v>187.10909414767664</v>
      </c>
      <c r="AH70" s="98">
        <f>AC70*$B$24</f>
        <v>-119448.53125000009</v>
      </c>
      <c r="AI70" s="52">
        <f>$AH$60-AH70</f>
        <v>347056.44791666674</v>
      </c>
      <c r="AL70" s="76">
        <f>IF(E70="X",AL$53,0)*(1+($AK$56-AL$55)/AL$55)</f>
        <v>166666.66666666666</v>
      </c>
      <c r="AM70" s="76">
        <f>IF(F70="X",AM$53*$AL$46,0)*(1+($AK$56-AM$55)/AM$55)</f>
        <v>75000</v>
      </c>
      <c r="AN70" s="76">
        <f>IF(G70="X",AN$53,0)*(1+($AK$56-AN$55)/AN$55)</f>
        <v>333333.33333333331</v>
      </c>
      <c r="AO70" s="76">
        <f>IF(H70="X",AO$53,0)*(1+($AK$56-AO$55)/AO$55)</f>
        <v>341666.66666666663</v>
      </c>
      <c r="AP70" s="76">
        <f>IF(I70="X",AP$53,0)*(1+($AK$56-AP$55)/AP$55)</f>
        <v>0</v>
      </c>
      <c r="AQ70" s="76">
        <f>SUM(AL70:AP70)</f>
        <v>916666.66666666663</v>
      </c>
      <c r="AR70" s="76">
        <f>IF($E70="X",$AL$54,0)+IF($F70="X",$AM$54,0)+IF($G70="X",$AN$54,0)+IF($H70="X",$AO$54,0)+IF($I70="X",$AP$54,0)</f>
        <v>63975</v>
      </c>
      <c r="AT70" s="54">
        <f>SUM(AQ70:AR70)+AH70</f>
        <v>861193.13541666651</v>
      </c>
      <c r="AU70" s="54"/>
      <c r="AV70" s="26">
        <f>(AT70-$AT$60)/AI70</f>
        <v>1.8255970247875435</v>
      </c>
    </row>
    <row r="71" spans="5:48" x14ac:dyDescent="0.25">
      <c r="L71" s="63"/>
      <c r="M71" s="6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47"/>
      <c r="AE71" s="34"/>
      <c r="AF71" s="47"/>
      <c r="AG71" s="47"/>
      <c r="AH71" s="97"/>
      <c r="AI71" s="53"/>
      <c r="AL71" s="76"/>
      <c r="AM71" s="76"/>
      <c r="AN71" s="76"/>
      <c r="AO71" s="76"/>
      <c r="AP71" s="76"/>
      <c r="AQ71" s="76"/>
      <c r="AR71" s="77"/>
      <c r="AT71" s="54"/>
      <c r="AU71" s="54"/>
      <c r="AV71" s="26"/>
    </row>
    <row r="72" spans="5:48" s="60" customFormat="1" x14ac:dyDescent="0.25">
      <c r="E72" s="60">
        <f>E47</f>
        <v>0</v>
      </c>
      <c r="F72" s="60">
        <f t="shared" si="50"/>
        <v>0</v>
      </c>
      <c r="G72" s="60">
        <f t="shared" si="50"/>
        <v>0</v>
      </c>
      <c r="H72" s="60" t="str">
        <f t="shared" si="50"/>
        <v>X</v>
      </c>
      <c r="I72" s="60">
        <f t="shared" si="50"/>
        <v>0</v>
      </c>
      <c r="L72" s="105" t="str">
        <f t="shared" si="51"/>
        <v xml:space="preserve">   Osmosi inversa </v>
      </c>
      <c r="M72" s="106" t="s">
        <v>125</v>
      </c>
      <c r="N72" s="73"/>
      <c r="O72" s="73"/>
      <c r="P72" s="73"/>
      <c r="Q72" s="107">
        <f>Q47*$B$4+Q48*$B$5</f>
        <v>235.625</v>
      </c>
      <c r="R72" s="107"/>
      <c r="S72" s="107">
        <f>S47*$B$4+S48*$B$5</f>
        <v>67.708333333333329</v>
      </c>
      <c r="T72" s="107"/>
      <c r="U72" s="107">
        <f>U47*$B$4+U48*$B$5</f>
        <v>0</v>
      </c>
      <c r="V72" s="107"/>
      <c r="W72" s="107">
        <f>W47*$B$4+W48*$B$5</f>
        <v>120.24999999999999</v>
      </c>
      <c r="X72" s="107"/>
      <c r="Y72" s="107">
        <f>Y47*$B$4+Y48*$B$5</f>
        <v>0</v>
      </c>
      <c r="Z72" s="73"/>
      <c r="AA72" s="107">
        <f>IF(H72="X",$B$21,IF(I72="X",$B$22,1))*$W$6*$B$6-IF(H72="X",$B$21,IF(I72="X",$B$22,1))*$W$6*IF(H72="X",$B$8,IF(I72="X",$B$9,$B$7))</f>
        <v>-453.60000000000025</v>
      </c>
      <c r="AB72" s="108"/>
      <c r="AC72" s="107">
        <f>SUM(Q72:AA72)</f>
        <v>-30.016666666666936</v>
      </c>
      <c r="AD72" s="109">
        <f>($AC$60-AC72)/$AC$60</f>
        <v>1.0481357744220237</v>
      </c>
      <c r="AE72" s="108">
        <f>AE24+AC47*$B$18/1000+AC48*$B$19/1000</f>
        <v>1.1057391135324475</v>
      </c>
      <c r="AF72" s="109">
        <f>($AE$60-AE72)/$AE$60</f>
        <v>0.16641350051343795</v>
      </c>
      <c r="AG72" s="108">
        <f>AE72*$B$24</f>
        <v>403.59477643934332</v>
      </c>
      <c r="AH72" s="110">
        <f>AC72*$B$24</f>
        <v>-10956.083333333432</v>
      </c>
      <c r="AI72" s="111">
        <f>$AH$60-AH72</f>
        <v>238564.00000000006</v>
      </c>
      <c r="AL72" s="76">
        <f>IF(E72="X",AL$53,0)*(1+($AK$56-AL$55)/AL$55)</f>
        <v>0</v>
      </c>
      <c r="AM72" s="76">
        <f>IF(F72="X",AM$53*$AL$46,0)*(1+($AK$56-AM$55)/AM$55)</f>
        <v>0</v>
      </c>
      <c r="AN72" s="76">
        <f>IF(G72="X",AN$53,0)*(1+($AK$56-AN$55)/AN$55)</f>
        <v>0</v>
      </c>
      <c r="AO72" s="76">
        <f>IF(H72="X",AO$53,0)*(1+($AK$56-AO$55)/AO$55)</f>
        <v>341666.66666666663</v>
      </c>
      <c r="AP72" s="76">
        <f>IF(I72="X",AP$53,0)*(1+($AK$56-AP$55)/AP$55)</f>
        <v>0</v>
      </c>
      <c r="AQ72" s="112">
        <f>SUM(AL72:AP72)</f>
        <v>341666.66666666663</v>
      </c>
      <c r="AR72" s="112">
        <f>IF($E72="X",$AL$54,0)+IF($F72="X",$AM$54,0)+IF($G72="X",$AN$54,0)+IF($H72="X",$AO$54,0)+IF($I72="X",$AP$54,0)</f>
        <v>60225</v>
      </c>
      <c r="AT72" s="113">
        <f>SUM(AQ72:AR72)+AH72</f>
        <v>390935.5833333332</v>
      </c>
      <c r="AU72" s="113"/>
      <c r="AV72" s="114">
        <f>(AT72-$AT$60)/AI72</f>
        <v>0.68462830379548689</v>
      </c>
    </row>
    <row r="73" spans="5:48" x14ac:dyDescent="0.25">
      <c r="L73" s="63"/>
      <c r="M73" s="68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47"/>
      <c r="AE73" s="34"/>
      <c r="AF73" s="47"/>
      <c r="AG73" s="47"/>
      <c r="AH73" s="97"/>
      <c r="AI73" s="53"/>
      <c r="AL73" s="76"/>
      <c r="AM73" s="76"/>
      <c r="AN73" s="76"/>
      <c r="AO73" s="76"/>
      <c r="AP73" s="76"/>
      <c r="AQ73" s="76"/>
      <c r="AR73" s="77"/>
      <c r="AT73" s="54"/>
      <c r="AU73" s="54"/>
      <c r="AV73" s="26"/>
    </row>
    <row r="74" spans="5:48" x14ac:dyDescent="0.25">
      <c r="E74" t="str">
        <f>E49</f>
        <v>X</v>
      </c>
      <c r="F74">
        <f t="shared" si="50"/>
        <v>0</v>
      </c>
      <c r="G74">
        <f t="shared" si="50"/>
        <v>0</v>
      </c>
      <c r="H74" t="str">
        <f t="shared" si="50"/>
        <v>X</v>
      </c>
      <c r="I74">
        <f t="shared" si="50"/>
        <v>0</v>
      </c>
      <c r="L74" s="63" t="str">
        <f t="shared" si="51"/>
        <v xml:space="preserve">Recupero calore,   Osmosi inversa </v>
      </c>
      <c r="M74" s="67" t="s">
        <v>126</v>
      </c>
      <c r="N74" s="7"/>
      <c r="O74" s="7"/>
      <c r="P74" s="7"/>
      <c r="Q74" s="31">
        <f>Q49*$B$4+Q50*$B$5</f>
        <v>7.6510416666666856</v>
      </c>
      <c r="R74" s="31"/>
      <c r="S74" s="31">
        <f>S49*$B$4+S50*$B$5</f>
        <v>67.708333333333329</v>
      </c>
      <c r="T74" s="31"/>
      <c r="U74" s="31">
        <f>U49*$B$4+U50*$B$5</f>
        <v>0</v>
      </c>
      <c r="V74" s="31"/>
      <c r="W74" s="31">
        <f>W49*$B$4+W50*$B$5</f>
        <v>120.24999999999999</v>
      </c>
      <c r="X74" s="31"/>
      <c r="Y74" s="31">
        <f>Y49*$B$4+Y50*$B$5</f>
        <v>0</v>
      </c>
      <c r="Z74" s="7"/>
      <c r="AA74" s="31">
        <f>IF(H74="X",$B$21,IF(I74="X",$B$22,1))*$W$6*$B$6-IF(H74="X",$B$21,IF(I74="X",$B$22,1))*$W$6*IF(H74="X",$B$8,IF(I74="X",$B$9,$B$7))</f>
        <v>-453.60000000000025</v>
      </c>
      <c r="AB74" s="7"/>
      <c r="AC74" s="31">
        <f>SUM(Q74:AA74)</f>
        <v>-257.99062500000025</v>
      </c>
      <c r="AD74" s="48">
        <f>($AC$60-AC74)/$AC$60</f>
        <v>1.4137227716156626</v>
      </c>
      <c r="AE74" s="34">
        <f>AE26+AC49*$B$18/1000+AC50*$B$19/1000</f>
        <v>0.64523171769911403</v>
      </c>
      <c r="AF74" s="48">
        <f>($AE$60-AE74)/$AE$60</f>
        <v>0.513577441249913</v>
      </c>
      <c r="AG74" s="34">
        <f>AE74*$B$24</f>
        <v>235.50957696017662</v>
      </c>
      <c r="AH74" s="98">
        <f>AC74*$B$24</f>
        <v>-94166.578125000087</v>
      </c>
      <c r="AI74" s="52">
        <f>$AH$60-AH74</f>
        <v>321774.49479166674</v>
      </c>
      <c r="AL74" s="76">
        <f>IF(E74="X",AL$53,0)*(1+($AK$56-AL$55)/AL$55)</f>
        <v>166666.66666666666</v>
      </c>
      <c r="AM74" s="76">
        <f>IF(F74="X",AM$53*$AL$46,0)*(1+($AK$56-AM$55)/AM$55)</f>
        <v>0</v>
      </c>
      <c r="AN74" s="76">
        <f>IF(G74="X",AN$53,0)*(1+($AK$56-AN$55)/AN$55)</f>
        <v>0</v>
      </c>
      <c r="AO74" s="76">
        <f>IF(H74="X",AO$53,0)*(1+($AK$56-AO$55)/AO$55)</f>
        <v>341666.66666666663</v>
      </c>
      <c r="AP74" s="76">
        <f>IF(I74="X",AP$53,0)*(1+($AK$56-AP$55)/AP$55)</f>
        <v>0</v>
      </c>
      <c r="AQ74" s="76">
        <f>SUM(AL74:AP74)</f>
        <v>508333.33333333326</v>
      </c>
      <c r="AR74" s="76">
        <f>IF($E74="X",$AL$54,0)+IF($F74="X",$AM$54,0)+IF($G74="X",$AN$54,0)+IF($H74="X",$AO$54,0)+IF($I74="X",$AP$54,0)</f>
        <v>61225</v>
      </c>
      <c r="AT74" s="54">
        <f>SUM(AQ74:AR74)+AH74</f>
        <v>475391.75520833314</v>
      </c>
      <c r="AU74" s="54"/>
      <c r="AV74" s="26">
        <f>(AT74-$AT$60)/AI74</f>
        <v>0.77005431615111208</v>
      </c>
    </row>
    <row r="75" spans="5:48" x14ac:dyDescent="0.25">
      <c r="L75" s="63"/>
      <c r="M75" s="68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47"/>
      <c r="AE75" s="34"/>
      <c r="AF75" s="47"/>
      <c r="AG75" s="47"/>
      <c r="AH75" s="97"/>
      <c r="AI75" s="53"/>
      <c r="AL75" s="76"/>
      <c r="AM75" s="76"/>
      <c r="AN75" s="76"/>
      <c r="AO75" s="76"/>
      <c r="AP75" s="76"/>
      <c r="AQ75" s="76"/>
      <c r="AR75" s="77"/>
      <c r="AT75" s="54"/>
      <c r="AU75" s="54"/>
      <c r="AV75" s="26"/>
    </row>
    <row r="76" spans="5:48" x14ac:dyDescent="0.25">
      <c r="E76" t="str">
        <f>E51</f>
        <v>X</v>
      </c>
      <c r="F76" t="str">
        <f t="shared" si="50"/>
        <v>X</v>
      </c>
      <c r="G76" t="str">
        <f t="shared" si="50"/>
        <v>X</v>
      </c>
      <c r="H76">
        <f t="shared" si="50"/>
        <v>0</v>
      </c>
      <c r="I76" t="str">
        <f t="shared" si="50"/>
        <v>X</v>
      </c>
      <c r="L76" s="63" t="str">
        <f t="shared" si="51"/>
        <v>Recupero calore, PV, PdC,  Nanofiltrazione</v>
      </c>
      <c r="M76" s="67" t="s">
        <v>152</v>
      </c>
      <c r="N76" s="7"/>
      <c r="O76" s="7"/>
      <c r="P76" s="7"/>
      <c r="Q76" s="31">
        <f>Q51*$B$4+Q52*$B$5</f>
        <v>3.0604166666666743</v>
      </c>
      <c r="R76" s="31"/>
      <c r="S76" s="31">
        <f>S51*$B$4+S52*$B$5</f>
        <v>27.083333333333332</v>
      </c>
      <c r="T76" s="31"/>
      <c r="U76" s="31">
        <f>U51*$B$4+U52*$B$5</f>
        <v>0</v>
      </c>
      <c r="V76" s="31"/>
      <c r="W76" s="31">
        <f>W51*$B$4+W52*$B$5</f>
        <v>96.2</v>
      </c>
      <c r="X76" s="31"/>
      <c r="Y76" s="31">
        <f>Y51*$B$4+Y52*$B$5</f>
        <v>0</v>
      </c>
      <c r="Z76" s="7"/>
      <c r="AA76" s="31">
        <f>IF(H76="X",$B$21,IF(I76="X",$B$22,1))*$W$6*$B$6-IF(H76="X",$B$21,IF(I76="X",$B$22,1))*$W$6*IF(H76="X",$B$8,IF(I76="X",$B$9,$B$7))</f>
        <v>-420</v>
      </c>
      <c r="AB76" s="7"/>
      <c r="AC76" s="31">
        <f>SUM(Q76:AA76)</f>
        <v>-293.65625</v>
      </c>
      <c r="AD76" s="48">
        <f>($AC$60-AC76)/$AC$60</f>
        <v>1.4709174128023521</v>
      </c>
      <c r="AE76" s="34">
        <f>AE28+AC51*$B$18/1000+AC52*$B$19/1000</f>
        <v>0.48519782329564004</v>
      </c>
      <c r="AF76" s="48">
        <f>($AE$60-AE76)/$AE$60</f>
        <v>0.63422262075235569</v>
      </c>
      <c r="AG76" s="34">
        <f>AE76*$B$24</f>
        <v>177.09720550290862</v>
      </c>
      <c r="AH76" s="98">
        <f>AC76*$B$24</f>
        <v>-107184.53125</v>
      </c>
      <c r="AI76" s="52">
        <f>$AH$60-AH76</f>
        <v>334792.44791666663</v>
      </c>
      <c r="AL76" s="76">
        <f>IF(E76="X",AL$53,0)*(1+($AK$56-AL$55)/AL$55)</f>
        <v>166666.66666666666</v>
      </c>
      <c r="AM76" s="76">
        <f>IF(F76="X",AM$53*$AL$46,0)*(1+($AK$56-AM$55)/AM$55)</f>
        <v>75000</v>
      </c>
      <c r="AN76" s="76">
        <f>IF(G76="X",AN$53,0)*(1+($AK$56-AN$55)/AN$55)</f>
        <v>333333.33333333331</v>
      </c>
      <c r="AO76" s="76">
        <f>IF(H76="X",AO$53,0)*(1+($AK$56-AO$55)/AO$55)</f>
        <v>0</v>
      </c>
      <c r="AP76" s="76">
        <f>IF(I76="X",AP$53,0)*(1+($AK$56-AP$55)/AP$55)</f>
        <v>366666.66666666663</v>
      </c>
      <c r="AQ76" s="76">
        <f>SUM(AL76:AP76)</f>
        <v>941666.66666666663</v>
      </c>
      <c r="AR76" s="76">
        <f>IF($E76="X",$AL$54,0)+IF($F76="X",$AM$54,0)+IF($G76="X",$AN$54,0)+IF($H76="X",$AO$54,0)+IF($I76="X",$AP$54,0)</f>
        <v>63975</v>
      </c>
      <c r="AT76" s="54">
        <f>SUM(AQ76:AR76)+AH76</f>
        <v>898457.13541666663</v>
      </c>
      <c r="AU76" s="54"/>
      <c r="AV76" s="26">
        <f>(AT76-$AT$60)/AI76</f>
        <v>2.0037764379827991</v>
      </c>
    </row>
    <row r="77" spans="5:48" x14ac:dyDescent="0.25">
      <c r="L77" s="63"/>
      <c r="M77" s="68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47"/>
      <c r="AE77" s="34"/>
      <c r="AF77" s="47"/>
      <c r="AG77" s="47"/>
      <c r="AH77" s="97"/>
      <c r="AI77" s="53"/>
      <c r="AL77" s="76"/>
      <c r="AM77" s="76"/>
      <c r="AN77" s="76"/>
      <c r="AO77" s="76"/>
      <c r="AP77" s="76"/>
      <c r="AQ77" s="76"/>
      <c r="AR77" s="77"/>
      <c r="AT77" s="54"/>
      <c r="AU77" s="54"/>
      <c r="AV77" s="26"/>
    </row>
    <row r="78" spans="5:48" x14ac:dyDescent="0.25">
      <c r="E78" t="str">
        <f>E53</f>
        <v>X</v>
      </c>
      <c r="F78">
        <f t="shared" si="50"/>
        <v>0</v>
      </c>
      <c r="G78">
        <f t="shared" si="50"/>
        <v>0</v>
      </c>
      <c r="H78">
        <f t="shared" si="50"/>
        <v>0</v>
      </c>
      <c r="I78" t="str">
        <f t="shared" si="50"/>
        <v>X</v>
      </c>
      <c r="L78" s="63" t="str">
        <f t="shared" si="51"/>
        <v>Recupero calore,    Nanofiltrazione</v>
      </c>
      <c r="M78" s="67" t="s">
        <v>153</v>
      </c>
      <c r="N78" s="7" t="s">
        <v>119</v>
      </c>
      <c r="O78" s="7"/>
      <c r="P78" s="7"/>
      <c r="Q78" s="31">
        <f>Q53*$B$4+Q54*$B$5</f>
        <v>7.6510416666666856</v>
      </c>
      <c r="R78" s="31"/>
      <c r="S78" s="31">
        <f>S53*$B$4+S54*$B$5</f>
        <v>67.708333333333329</v>
      </c>
      <c r="T78" s="31"/>
      <c r="U78" s="31">
        <f>U53*$B$4+U54*$B$5</f>
        <v>0</v>
      </c>
      <c r="V78" s="31"/>
      <c r="W78" s="31">
        <f>W53*$B$4+W54*$B$5</f>
        <v>120.24999999999999</v>
      </c>
      <c r="X78" s="31"/>
      <c r="Y78" s="31">
        <f>Y53*$B$4+Y54*$B$5</f>
        <v>0</v>
      </c>
      <c r="Z78" s="31"/>
      <c r="AA78" s="31">
        <f>IF(H78="X",$B$21,IF(I78="X",$B$22,1))*$W$6*$B$6-IF(H78="X",$B$21,IF(I78="X",$B$22,1))*$W$6*IF(H78="X",$B$8,IF(I78="X",$B$9,$B$7))</f>
        <v>-420</v>
      </c>
      <c r="AB78" s="7"/>
      <c r="AC78" s="31">
        <f>SUM(Q78:AA78)</f>
        <v>-224.390625</v>
      </c>
      <c r="AD78" s="48">
        <f>($AC$60-AC78)/$AC$60</f>
        <v>1.3598406387812376</v>
      </c>
      <c r="AE78" s="34">
        <f>AE30+AC53*$B$18/1000+AC54*$B$19/1000</f>
        <v>0.61780188579563999</v>
      </c>
      <c r="AF78" s="48">
        <f>($AE$60-AE78)/$AE$60</f>
        <v>0.53425604190542897</v>
      </c>
      <c r="AG78" s="34">
        <f>AE78*$B$24</f>
        <v>225.4976883154086</v>
      </c>
      <c r="AH78" s="98">
        <f>AC78*$B$24</f>
        <v>-81902.578125</v>
      </c>
      <c r="AI78" s="52">
        <f>$AH$60-AH78</f>
        <v>309510.49479166663</v>
      </c>
      <c r="AL78" s="76">
        <f>IF(E78="X",AL$53,0)*(1+($AK$56-AL$55)/AL$55)</f>
        <v>166666.66666666666</v>
      </c>
      <c r="AM78" s="76">
        <f>IF(F78="X",AM$53*$AL$46,0)*(1+($AK$56-AM$55)/AM$55)</f>
        <v>0</v>
      </c>
      <c r="AN78" s="76">
        <f>IF(G78="X",AN$53,0)*(1+($AK$56-AN$55)/AN$55)</f>
        <v>0</v>
      </c>
      <c r="AO78" s="76">
        <f>IF(H78="X",AO$53,0)*(1+($AK$56-AO$55)/AO$55)</f>
        <v>0</v>
      </c>
      <c r="AP78" s="76">
        <f>IF(I78="X",AP$53,0)*(1+($AK$56-AP$55)/AP$55)</f>
        <v>366666.66666666663</v>
      </c>
      <c r="AQ78" s="76">
        <f>SUM(AL78:AP78)</f>
        <v>533333.33333333326</v>
      </c>
      <c r="AR78" s="76">
        <f>IF($E78="X",$AL$54,0)+IF($F78="X",$AM$54,0)+IF($G78="X",$AN$54,0)+IF($H78="X",$AO$54,0)+IF($I78="X",$AP$54,0)</f>
        <v>61225</v>
      </c>
      <c r="AT78" s="54">
        <f>SUM(AQ78:AR78)+AH78</f>
        <v>512655.75520833326</v>
      </c>
      <c r="AU78" s="54"/>
      <c r="AV78" s="26">
        <f>(AT78-$AT$60)/AI78</f>
        <v>0.92096340298100077</v>
      </c>
    </row>
    <row r="79" spans="5:48" x14ac:dyDescent="0.25">
      <c r="L79" s="63"/>
      <c r="M79" s="6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47"/>
      <c r="AE79" s="34"/>
      <c r="AF79" s="47"/>
      <c r="AG79" s="47"/>
      <c r="AH79" s="97"/>
      <c r="AI79" s="53"/>
      <c r="AL79" s="76"/>
      <c r="AM79" s="76"/>
      <c r="AN79" s="76"/>
      <c r="AO79" s="76"/>
      <c r="AP79" s="76"/>
      <c r="AQ79" s="76"/>
      <c r="AR79" s="77"/>
      <c r="AT79" s="54"/>
      <c r="AU79" s="54"/>
      <c r="AV79" s="26"/>
    </row>
    <row r="80" spans="5:48" x14ac:dyDescent="0.25">
      <c r="E80">
        <f>E55</f>
        <v>0</v>
      </c>
      <c r="F80">
        <f t="shared" si="50"/>
        <v>0</v>
      </c>
      <c r="G80">
        <f t="shared" si="50"/>
        <v>0</v>
      </c>
      <c r="H80">
        <f t="shared" si="50"/>
        <v>0</v>
      </c>
      <c r="I80" t="str">
        <f t="shared" si="50"/>
        <v>X</v>
      </c>
      <c r="L80" s="63" t="str">
        <f t="shared" si="51"/>
        <v xml:space="preserve">    Nanofiltrazione</v>
      </c>
      <c r="M80" s="132" t="s">
        <v>154</v>
      </c>
      <c r="N80" s="7" t="s">
        <v>120</v>
      </c>
      <c r="O80" s="7"/>
      <c r="P80" s="7"/>
      <c r="Q80" s="31">
        <f>Q55*$B$4+Q56*$B$5</f>
        <v>235.625</v>
      </c>
      <c r="R80" s="31"/>
      <c r="S80" s="31">
        <f>S55*$B$4+S56*$B$5</f>
        <v>67.708333333333329</v>
      </c>
      <c r="T80" s="31"/>
      <c r="U80" s="31">
        <f>U55*$B$4+U56*$B$5</f>
        <v>0</v>
      </c>
      <c r="V80" s="31"/>
      <c r="W80" s="31">
        <f>W55*$B$4+W56*$B$5</f>
        <v>120.24999999999999</v>
      </c>
      <c r="X80" s="31"/>
      <c r="Y80" s="31">
        <f>Y55*$B$4+Y56*$B$5</f>
        <v>0</v>
      </c>
      <c r="Z80" s="31"/>
      <c r="AA80" s="31">
        <f>IF(H80="X",$B$21,IF(I80="X",$B$22,1))*$W$6*$B$6-IF(H80="X",$B$21,IF(I80="X",$B$22,1))*$W$6*IF(H80="X",$B$8,IF(I80="X",$B$9,$B$7))</f>
        <v>-420</v>
      </c>
      <c r="AB80" s="7"/>
      <c r="AC80" s="31">
        <f>SUM(Q80:AA80)</f>
        <v>3.5833333333333144</v>
      </c>
      <c r="AD80" s="48">
        <f>($AC$60-AC80)/$AC$60</f>
        <v>0.99425364158759866</v>
      </c>
      <c r="AE80" s="34">
        <f>AE32+AC55*$B$18/1000+AC56*$B$19/1000</f>
        <v>1.0783092816289732</v>
      </c>
      <c r="AF80" s="48">
        <f>($AE$60-AE80)/$AE$60</f>
        <v>0.18709210116895411</v>
      </c>
      <c r="AG80" s="34">
        <f>AE80*$B$24</f>
        <v>393.58288779457524</v>
      </c>
      <c r="AH80" s="98">
        <f>AC80*$B$24</f>
        <v>1307.9166666666597</v>
      </c>
      <c r="AI80" s="52">
        <f>$AH$60-AH80</f>
        <v>226299.99999999997</v>
      </c>
      <c r="AL80" s="76">
        <f>IF(E80="X",AL$53,0)*(1+($AK$56-AL$55)/AL$55)</f>
        <v>0</v>
      </c>
      <c r="AM80" s="76">
        <f>IF(F80="X",AM$53*$AL$46,0)*(1+($AK$56-AM$55)/AM$55)</f>
        <v>0</v>
      </c>
      <c r="AN80" s="76">
        <f>IF(G80="X",AN$53,0)*(1+($AK$56-AN$55)/AN$55)</f>
        <v>0</v>
      </c>
      <c r="AO80" s="76">
        <f>IF(H80="X",AO$53,0)*(1+($AK$56-AO$55)/AO$55)</f>
        <v>0</v>
      </c>
      <c r="AP80" s="76">
        <f>IF(I80="X",AP$53,0)*(1+($AK$56-AP$55)/AP$55)</f>
        <v>366666.66666666663</v>
      </c>
      <c r="AQ80" s="76">
        <f>SUM(AL80:AP80)</f>
        <v>366666.66666666663</v>
      </c>
      <c r="AR80" s="76">
        <f>IF($E80="X",$AL$54,0)+IF($F80="X",$AM$54,0)+IF($G80="X",$AN$54,0)+IF($H80="X",$AO$54,0)+IF($I80="X",$AP$54,0)</f>
        <v>60225</v>
      </c>
      <c r="AT80" s="54">
        <f>SUM(AQ80:AR80)+AH80</f>
        <v>428199.58333333331</v>
      </c>
      <c r="AU80" s="54"/>
      <c r="AV80" s="26">
        <f>(AT80-$AT$60)/AI80</f>
        <v>0.88639711297687451</v>
      </c>
    </row>
    <row r="81" spans="12:42" ht="15.75" thickBot="1" x14ac:dyDescent="0.3">
      <c r="L81" s="58"/>
      <c r="M81" s="133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50"/>
      <c r="AE81" s="44"/>
      <c r="AF81" s="50"/>
      <c r="AG81" s="50"/>
      <c r="AH81" s="50"/>
      <c r="AI81" s="33"/>
      <c r="AM81" s="24"/>
    </row>
    <row r="83" spans="12:42" x14ac:dyDescent="0.25">
      <c r="AB83" s="54">
        <f>AA80*365</f>
        <v>-153300</v>
      </c>
    </row>
    <row r="85" spans="12:42" x14ac:dyDescent="0.25">
      <c r="AP85" s="54"/>
    </row>
  </sheetData>
  <mergeCells count="6">
    <mergeCell ref="M60:M61"/>
    <mergeCell ref="M62:M63"/>
    <mergeCell ref="M80:M81"/>
    <mergeCell ref="M55:M56"/>
    <mergeCell ref="M35:M36"/>
    <mergeCell ref="M37:M3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costi</vt:lpstr>
      <vt:lpstr>CO2</vt:lpstr>
      <vt:lpstr>Osmosi inversa</vt:lpstr>
      <vt:lpstr>Osmosi inversa new</vt:lpstr>
      <vt:lpstr>Nanofiltrazione</vt:lpstr>
      <vt:lpstr>Nanofiltrazione new</vt:lpstr>
      <vt:lpstr>soluzioni</vt:lpstr>
      <vt:lpstr>soluzioni (2)</vt:lpstr>
      <vt:lpstr>analisi energetica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MPrina</dc:creator>
  <cp:lastModifiedBy>MPrina</cp:lastModifiedBy>
  <dcterms:created xsi:type="dcterms:W3CDTF">2020-11-14T15:15:42Z</dcterms:created>
  <dcterms:modified xsi:type="dcterms:W3CDTF">2020-11-20T13:04:22Z</dcterms:modified>
</cp:coreProperties>
</file>