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/Library/CloudStorage/Dropbox/Documents - Personal/Math &amp; Physics/Mathematics/Intrinsic Value/"/>
    </mc:Choice>
  </mc:AlternateContent>
  <xr:revisionPtr revIDLastSave="0" documentId="13_ncr:1_{160146C0-906E-9945-A460-DDDEE0B91758}" xr6:coauthVersionLast="47" xr6:coauthVersionMax="47" xr10:uidLastSave="{00000000-0000-0000-0000-000000000000}"/>
  <bookViews>
    <workbookView xWindow="4280" yWindow="700" windowWidth="46920" windowHeight="26520" xr2:uid="{232DAE41-0B12-7A41-8F21-56FE734BCAB4}"/>
  </bookViews>
  <sheets>
    <sheet name="Factorial 2" sheetId="1" r:id="rId1"/>
  </sheets>
  <definedNames>
    <definedName name="_xlnm.Print_Area" localSheetId="0">'Factorial 2'!$AB:$AI</definedName>
    <definedName name="_xlnm.Print_Titles" localSheetId="0">'Factorial 2'!$1:$2</definedName>
    <definedName name="Z_1993A3AA_7604_4952_A432_30F9A0C51F08_.wvu.PrintArea" localSheetId="0" hidden="1">'Factorial 2'!$AB:$AI</definedName>
    <definedName name="Z_1993A3AA_7604_4952_A432_30F9A0C51F08_.wvu.PrintTitles" localSheetId="0" hidden="1">'Factorial 2'!$1:$2</definedName>
    <definedName name="Z_2A67D7FF_6159_4F35_86DE_DCDEEC3E7793_.wvu.PrintArea" localSheetId="0" hidden="1">'Factorial 2'!$T$1:$Z$5</definedName>
    <definedName name="Z_8C4F4AE8_A925_49BC_B367_C217F22AD809_.wvu.PrintArea" localSheetId="0" hidden="1">'Factorial 2'!$A:$L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I4" i="1"/>
  <c r="K4" i="1"/>
  <c r="G5" i="1"/>
  <c r="I5" i="1"/>
  <c r="K5" i="1"/>
  <c r="G6" i="1"/>
  <c r="I6" i="1"/>
  <c r="K6" i="1"/>
  <c r="G7" i="1"/>
  <c r="I7" i="1"/>
  <c r="K7" i="1"/>
  <c r="G8" i="1"/>
  <c r="I8" i="1"/>
  <c r="K8" i="1"/>
  <c r="T8" i="1"/>
  <c r="T6" i="1" s="1"/>
  <c r="B21" i="1" s="1"/>
  <c r="B26" i="1" s="1"/>
  <c r="U8" i="1"/>
  <c r="V8" i="1"/>
  <c r="G9" i="1"/>
  <c r="I9" i="1"/>
  <c r="K9" i="1"/>
  <c r="G10" i="1"/>
  <c r="I10" i="1"/>
  <c r="K10" i="1"/>
  <c r="G11" i="1"/>
  <c r="I11" i="1"/>
  <c r="K11" i="1"/>
  <c r="G12" i="1"/>
  <c r="I12" i="1"/>
  <c r="K12" i="1"/>
  <c r="G13" i="1"/>
  <c r="I13" i="1"/>
  <c r="K13" i="1"/>
  <c r="G14" i="1"/>
  <c r="I14" i="1"/>
  <c r="K14" i="1"/>
  <c r="G15" i="1"/>
  <c r="I15" i="1"/>
  <c r="K15" i="1"/>
  <c r="G16" i="1"/>
  <c r="I16" i="1"/>
  <c r="K16" i="1"/>
  <c r="G17" i="1"/>
  <c r="I17" i="1"/>
  <c r="K17" i="1"/>
  <c r="G18" i="1"/>
  <c r="I18" i="1"/>
  <c r="K18" i="1"/>
  <c r="G19" i="1"/>
  <c r="I19" i="1"/>
  <c r="K19" i="1"/>
  <c r="G20" i="1"/>
  <c r="I20" i="1"/>
  <c r="K20" i="1"/>
  <c r="G21" i="1"/>
  <c r="I21" i="1"/>
  <c r="K21" i="1"/>
  <c r="G22" i="1"/>
  <c r="I22" i="1"/>
  <c r="K22" i="1"/>
  <c r="G23" i="1"/>
  <c r="I23" i="1"/>
  <c r="K23" i="1"/>
  <c r="G24" i="1"/>
  <c r="I24" i="1"/>
  <c r="K24" i="1"/>
  <c r="G25" i="1"/>
  <c r="I25" i="1"/>
  <c r="K25" i="1"/>
  <c r="G26" i="1"/>
  <c r="I26" i="1"/>
  <c r="K26" i="1"/>
  <c r="G27" i="1"/>
  <c r="I27" i="1"/>
  <c r="K27" i="1"/>
  <c r="G28" i="1"/>
  <c r="I28" i="1"/>
  <c r="K28" i="1"/>
  <c r="G29" i="1"/>
  <c r="I29" i="1"/>
  <c r="K29" i="1"/>
  <c r="AD34" i="1"/>
  <c r="AE34" i="1" s="1"/>
  <c r="AD39" i="1"/>
  <c r="AE39" i="1" s="1"/>
  <c r="E72" i="1"/>
  <c r="G72" i="1"/>
  <c r="I72" i="1"/>
  <c r="K72" i="1"/>
  <c r="E73" i="1"/>
  <c r="F73" i="1"/>
  <c r="G73" i="1"/>
  <c r="H73" i="1"/>
  <c r="I73" i="1"/>
  <c r="J73" i="1"/>
  <c r="K73" i="1"/>
  <c r="E74" i="1"/>
  <c r="F74" i="1"/>
  <c r="G74" i="1"/>
  <c r="H74" i="1"/>
  <c r="I74" i="1"/>
  <c r="J74" i="1"/>
  <c r="K74" i="1"/>
  <c r="E75" i="1"/>
  <c r="F75" i="1"/>
  <c r="G75" i="1"/>
  <c r="H75" i="1"/>
  <c r="I75" i="1"/>
  <c r="J75" i="1"/>
  <c r="K75" i="1"/>
  <c r="E76" i="1"/>
  <c r="F76" i="1"/>
  <c r="G76" i="1"/>
  <c r="H76" i="1"/>
  <c r="I76" i="1"/>
  <c r="J76" i="1"/>
  <c r="K76" i="1"/>
  <c r="E77" i="1"/>
  <c r="F77" i="1"/>
  <c r="G77" i="1"/>
  <c r="H77" i="1"/>
  <c r="I77" i="1"/>
  <c r="J77" i="1"/>
  <c r="K77" i="1"/>
  <c r="E78" i="1"/>
  <c r="F78" i="1"/>
  <c r="G78" i="1"/>
  <c r="H78" i="1"/>
  <c r="I78" i="1"/>
  <c r="J78" i="1"/>
  <c r="K78" i="1"/>
  <c r="E79" i="1"/>
  <c r="F79" i="1"/>
  <c r="G79" i="1"/>
  <c r="H79" i="1"/>
  <c r="I79" i="1"/>
  <c r="J79" i="1"/>
  <c r="K79" i="1"/>
  <c r="E87" i="1"/>
  <c r="F87" i="1"/>
  <c r="H87" i="1"/>
  <c r="J87" i="1"/>
  <c r="E88" i="1"/>
  <c r="F88" i="1"/>
  <c r="H88" i="1"/>
  <c r="J88" i="1"/>
  <c r="E89" i="1"/>
  <c r="F89" i="1"/>
  <c r="H89" i="1"/>
  <c r="J89" i="1"/>
  <c r="E90" i="1"/>
  <c r="F90" i="1"/>
  <c r="H90" i="1"/>
  <c r="J90" i="1"/>
  <c r="E91" i="1"/>
  <c r="F91" i="1"/>
  <c r="H91" i="1"/>
  <c r="J91" i="1"/>
  <c r="E92" i="1"/>
  <c r="F92" i="1"/>
  <c r="H92" i="1"/>
  <c r="J92" i="1"/>
  <c r="E93" i="1"/>
  <c r="F93" i="1"/>
  <c r="H93" i="1"/>
  <c r="J93" i="1"/>
  <c r="E94" i="1"/>
  <c r="F94" i="1"/>
  <c r="H94" i="1"/>
  <c r="J94" i="1"/>
  <c r="E105" i="1"/>
  <c r="F105" i="1"/>
  <c r="G105" i="1"/>
  <c r="H105" i="1"/>
  <c r="I105" i="1"/>
  <c r="J105" i="1"/>
  <c r="K105" i="1"/>
  <c r="E106" i="1"/>
  <c r="F106" i="1"/>
  <c r="G106" i="1"/>
  <c r="H106" i="1"/>
  <c r="I106" i="1"/>
  <c r="J106" i="1"/>
  <c r="K106" i="1"/>
  <c r="E107" i="1"/>
  <c r="F107" i="1"/>
  <c r="G107" i="1"/>
  <c r="H107" i="1"/>
  <c r="I107" i="1"/>
  <c r="J107" i="1"/>
  <c r="K107" i="1"/>
  <c r="E108" i="1"/>
  <c r="F108" i="1"/>
  <c r="G108" i="1"/>
  <c r="H108" i="1"/>
  <c r="I108" i="1"/>
  <c r="J108" i="1"/>
  <c r="K108" i="1"/>
  <c r="E109" i="1"/>
  <c r="F109" i="1"/>
  <c r="G109" i="1"/>
  <c r="H109" i="1"/>
  <c r="I109" i="1"/>
  <c r="J109" i="1"/>
  <c r="K109" i="1"/>
  <c r="E118" i="1"/>
  <c r="F118" i="1"/>
  <c r="H118" i="1"/>
  <c r="J118" i="1"/>
  <c r="E119" i="1"/>
  <c r="F119" i="1"/>
  <c r="H119" i="1"/>
  <c r="J119" i="1"/>
  <c r="E120" i="1"/>
  <c r="F120" i="1"/>
  <c r="H120" i="1"/>
  <c r="J120" i="1"/>
  <c r="E121" i="1"/>
  <c r="F121" i="1"/>
  <c r="H121" i="1"/>
  <c r="J121" i="1"/>
  <c r="E122" i="1"/>
  <c r="F122" i="1"/>
  <c r="H122" i="1"/>
  <c r="J122" i="1"/>
  <c r="L121" i="1" l="1"/>
  <c r="L72" i="1"/>
  <c r="L79" i="1"/>
  <c r="L108" i="1"/>
  <c r="L109" i="1"/>
  <c r="L75" i="1"/>
  <c r="L118" i="1"/>
  <c r="B24" i="1"/>
  <c r="B59" i="1" s="1"/>
  <c r="G59" i="1" s="1"/>
  <c r="L120" i="1"/>
  <c r="L91" i="1"/>
  <c r="L78" i="1"/>
  <c r="L90" i="1"/>
  <c r="L87" i="1"/>
  <c r="L89" i="1"/>
  <c r="B27" i="1"/>
  <c r="B62" i="1" s="1"/>
  <c r="G62" i="1" s="1"/>
  <c r="B29" i="1"/>
  <c r="L74" i="1"/>
  <c r="L92" i="1"/>
  <c r="L107" i="1"/>
  <c r="L94" i="1"/>
  <c r="L93" i="1"/>
  <c r="L88" i="1"/>
  <c r="L119" i="1"/>
  <c r="B61" i="1"/>
  <c r="G61" i="1" s="1"/>
  <c r="E124" i="1"/>
  <c r="O121" i="1" s="1"/>
  <c r="L122" i="1"/>
  <c r="L106" i="1"/>
  <c r="L76" i="1"/>
  <c r="O108" i="1"/>
  <c r="L73" i="1"/>
  <c r="V6" i="1"/>
  <c r="D5" i="1" s="1"/>
  <c r="V5" i="1"/>
  <c r="D4" i="1" s="1"/>
  <c r="V4" i="1"/>
  <c r="D3" i="1" s="1"/>
  <c r="E96" i="1"/>
  <c r="O92" i="1" s="1"/>
  <c r="E111" i="1"/>
  <c r="O107" i="1" s="1"/>
  <c r="L77" i="1"/>
  <c r="B64" i="1"/>
  <c r="G64" i="1" s="1"/>
  <c r="B56" i="1"/>
  <c r="G56" i="1" s="1"/>
  <c r="B23" i="1"/>
  <c r="B22" i="1"/>
  <c r="B25" i="1"/>
  <c r="B28" i="1"/>
  <c r="E81" i="1"/>
  <c r="L105" i="1"/>
  <c r="U6" i="1"/>
  <c r="C9" i="1" s="1"/>
  <c r="U5" i="1"/>
  <c r="C6" i="1" s="1"/>
  <c r="T5" i="1"/>
  <c r="B12" i="1" s="1"/>
  <c r="T4" i="1"/>
  <c r="B3" i="1" s="1"/>
  <c r="U4" i="1"/>
  <c r="C3" i="1" s="1"/>
  <c r="L96" i="1" l="1"/>
  <c r="Q93" i="1" s="1"/>
  <c r="R93" i="1" s="1"/>
  <c r="O106" i="1"/>
  <c r="O87" i="1"/>
  <c r="P87" i="1" s="1"/>
  <c r="P92" i="1"/>
  <c r="P121" i="1"/>
  <c r="J6" i="1"/>
  <c r="C7" i="1"/>
  <c r="C15" i="1"/>
  <c r="C41" i="1"/>
  <c r="I41" i="1" s="1"/>
  <c r="C8" i="1"/>
  <c r="O79" i="1"/>
  <c r="O74" i="1"/>
  <c r="C11" i="1"/>
  <c r="C18" i="1"/>
  <c r="C10" i="1"/>
  <c r="J9" i="1"/>
  <c r="C44" i="1"/>
  <c r="I44" i="1" s="1"/>
  <c r="O76" i="1"/>
  <c r="L81" i="1"/>
  <c r="Q77" i="1" s="1"/>
  <c r="R77" i="1" s="1"/>
  <c r="Q87" i="1"/>
  <c r="R87" i="1" s="1"/>
  <c r="P108" i="1"/>
  <c r="Q92" i="1"/>
  <c r="R92" i="1" s="1"/>
  <c r="O90" i="1"/>
  <c r="O94" i="1"/>
  <c r="B63" i="1"/>
  <c r="G63" i="1" s="1"/>
  <c r="O120" i="1"/>
  <c r="O78" i="1"/>
  <c r="O91" i="1"/>
  <c r="C12" i="1"/>
  <c r="E3" i="1"/>
  <c r="F3" i="1" s="1"/>
  <c r="F38" i="1" s="1"/>
  <c r="C4" i="1"/>
  <c r="J3" i="1"/>
  <c r="C5" i="1"/>
  <c r="C38" i="1"/>
  <c r="I38" i="1" s="1"/>
  <c r="P107" i="1"/>
  <c r="B4" i="1"/>
  <c r="B10" i="1"/>
  <c r="B6" i="1"/>
  <c r="B38" i="1"/>
  <c r="G38" i="1" s="1"/>
  <c r="B5" i="1"/>
  <c r="B11" i="1"/>
  <c r="B8" i="1"/>
  <c r="B7" i="1"/>
  <c r="B9" i="1"/>
  <c r="O105" i="1"/>
  <c r="O109" i="1"/>
  <c r="O75" i="1"/>
  <c r="O89" i="1"/>
  <c r="B13" i="1"/>
  <c r="B18" i="1"/>
  <c r="B19" i="1"/>
  <c r="B14" i="1"/>
  <c r="B17" i="1"/>
  <c r="B20" i="1"/>
  <c r="B16" i="1"/>
  <c r="B47" i="1"/>
  <c r="G47" i="1" s="1"/>
  <c r="B15" i="1"/>
  <c r="O88" i="1"/>
  <c r="O77" i="1"/>
  <c r="B60" i="1"/>
  <c r="G60" i="1" s="1"/>
  <c r="O72" i="1"/>
  <c r="O93" i="1"/>
  <c r="Q90" i="1"/>
  <c r="R90" i="1" s="1"/>
  <c r="L124" i="1"/>
  <c r="B57" i="1"/>
  <c r="G57" i="1" s="1"/>
  <c r="O73" i="1"/>
  <c r="L111" i="1"/>
  <c r="B58" i="1"/>
  <c r="G58" i="1" s="1"/>
  <c r="D21" i="1"/>
  <c r="D9" i="1"/>
  <c r="D12" i="1"/>
  <c r="D15" i="1"/>
  <c r="D18" i="1"/>
  <c r="D27" i="1"/>
  <c r="D24" i="1"/>
  <c r="D6" i="1"/>
  <c r="D38" i="1"/>
  <c r="K38" i="1" s="1"/>
  <c r="O118" i="1"/>
  <c r="O122" i="1"/>
  <c r="Q94" i="1"/>
  <c r="R94" i="1" s="1"/>
  <c r="D16" i="1"/>
  <c r="D7" i="1"/>
  <c r="D19" i="1"/>
  <c r="D22" i="1"/>
  <c r="D25" i="1"/>
  <c r="D28" i="1"/>
  <c r="D13" i="1"/>
  <c r="D10" i="1"/>
  <c r="D39" i="1"/>
  <c r="K39" i="1" s="1"/>
  <c r="Q89" i="1"/>
  <c r="R89" i="1" s="1"/>
  <c r="O119" i="1"/>
  <c r="Q88" i="1"/>
  <c r="R88" i="1" s="1"/>
  <c r="P106" i="1"/>
  <c r="D8" i="1"/>
  <c r="D11" i="1"/>
  <c r="D26" i="1"/>
  <c r="D29" i="1"/>
  <c r="D40" i="1"/>
  <c r="K40" i="1" s="1"/>
  <c r="D14" i="1"/>
  <c r="D17" i="1"/>
  <c r="D20" i="1"/>
  <c r="D23" i="1"/>
  <c r="Q91" i="1" l="1"/>
  <c r="R91" i="1" s="1"/>
  <c r="R95" i="1" s="1"/>
  <c r="E6" i="1"/>
  <c r="F6" i="1" s="1"/>
  <c r="F41" i="1" s="1"/>
  <c r="M38" i="1"/>
  <c r="N38" i="1" s="1"/>
  <c r="S87" i="1"/>
  <c r="S92" i="1"/>
  <c r="E9" i="1"/>
  <c r="B33" i="1"/>
  <c r="H22" i="1" s="1"/>
  <c r="P89" i="1"/>
  <c r="S89" i="1"/>
  <c r="B50" i="1"/>
  <c r="G50" i="1" s="1"/>
  <c r="Q121" i="1"/>
  <c r="Q120" i="1"/>
  <c r="R120" i="1" s="1"/>
  <c r="Q118" i="1"/>
  <c r="R118" i="1" s="1"/>
  <c r="E8" i="1"/>
  <c r="F8" i="1" s="1"/>
  <c r="F43" i="1" s="1"/>
  <c r="C17" i="1"/>
  <c r="J8" i="1"/>
  <c r="C43" i="1"/>
  <c r="I43" i="1" s="1"/>
  <c r="D49" i="1"/>
  <c r="K49" i="1" s="1"/>
  <c r="P119" i="1"/>
  <c r="D42" i="1"/>
  <c r="K42" i="1" s="1"/>
  <c r="Q108" i="1"/>
  <c r="Q107" i="1"/>
  <c r="Q109" i="1"/>
  <c r="R109" i="1" s="1"/>
  <c r="B51" i="1"/>
  <c r="G51" i="1" s="1"/>
  <c r="P109" i="1"/>
  <c r="B45" i="1"/>
  <c r="G45" i="1" s="1"/>
  <c r="C39" i="1"/>
  <c r="I39" i="1" s="1"/>
  <c r="C13" i="1"/>
  <c r="E4" i="1"/>
  <c r="F4" i="1" s="1"/>
  <c r="F39" i="1" s="1"/>
  <c r="J4" i="1"/>
  <c r="P94" i="1"/>
  <c r="S94" i="1"/>
  <c r="D51" i="1"/>
  <c r="K51" i="1" s="1"/>
  <c r="D59" i="1"/>
  <c r="K59" i="1" s="1"/>
  <c r="Q105" i="1"/>
  <c r="R105" i="1" s="1"/>
  <c r="P93" i="1"/>
  <c r="S93" i="1"/>
  <c r="B55" i="1"/>
  <c r="G55" i="1" s="1"/>
  <c r="P105" i="1"/>
  <c r="E38" i="1"/>
  <c r="P90" i="1"/>
  <c r="S90" i="1"/>
  <c r="J15" i="1"/>
  <c r="C24" i="1"/>
  <c r="E15" i="1"/>
  <c r="F15" i="1" s="1"/>
  <c r="F50" i="1" s="1"/>
  <c r="C50" i="1"/>
  <c r="I50" i="1" s="1"/>
  <c r="D62" i="1"/>
  <c r="K62" i="1" s="1"/>
  <c r="P73" i="1"/>
  <c r="P72" i="1"/>
  <c r="H17" i="1"/>
  <c r="B52" i="1"/>
  <c r="G52" i="1" s="1"/>
  <c r="B39" i="1"/>
  <c r="G39" i="1" s="1"/>
  <c r="C21" i="1"/>
  <c r="C47" i="1"/>
  <c r="I47" i="1" s="1"/>
  <c r="E12" i="1"/>
  <c r="F12" i="1" s="1"/>
  <c r="F47" i="1" s="1"/>
  <c r="J12" i="1"/>
  <c r="J10" i="1"/>
  <c r="E10" i="1"/>
  <c r="F10" i="1" s="1"/>
  <c r="F45" i="1" s="1"/>
  <c r="C19" i="1"/>
  <c r="C45" i="1"/>
  <c r="I45" i="1" s="1"/>
  <c r="C16" i="1"/>
  <c r="E7" i="1"/>
  <c r="F7" i="1" s="1"/>
  <c r="F42" i="1" s="1"/>
  <c r="C42" i="1"/>
  <c r="I42" i="1" s="1"/>
  <c r="J7" i="1"/>
  <c r="D64" i="1"/>
  <c r="K64" i="1" s="1"/>
  <c r="D45" i="1"/>
  <c r="K45" i="1" s="1"/>
  <c r="D53" i="1"/>
  <c r="K53" i="1" s="1"/>
  <c r="B49" i="1"/>
  <c r="G49" i="1" s="1"/>
  <c r="B44" i="1"/>
  <c r="G44" i="1" s="1"/>
  <c r="C27" i="1"/>
  <c r="C53" i="1"/>
  <c r="I53" i="1" s="1"/>
  <c r="E18" i="1"/>
  <c r="F18" i="1" s="1"/>
  <c r="F53" i="1" s="1"/>
  <c r="J18" i="1"/>
  <c r="E41" i="1"/>
  <c r="D41" i="1"/>
  <c r="K41" i="1" s="1"/>
  <c r="Q119" i="1"/>
  <c r="R119" i="1" s="1"/>
  <c r="P76" i="1"/>
  <c r="D61" i="1"/>
  <c r="K61" i="1" s="1"/>
  <c r="P122" i="1"/>
  <c r="D50" i="1"/>
  <c r="K50" i="1" s="1"/>
  <c r="B54" i="1"/>
  <c r="G54" i="1" s="1"/>
  <c r="B42" i="1"/>
  <c r="G42" i="1" s="1"/>
  <c r="P91" i="1"/>
  <c r="S91" i="1"/>
  <c r="J11" i="1"/>
  <c r="C20" i="1"/>
  <c r="E11" i="1"/>
  <c r="F11" i="1" s="1"/>
  <c r="F46" i="1" s="1"/>
  <c r="C46" i="1"/>
  <c r="I46" i="1" s="1"/>
  <c r="D46" i="1"/>
  <c r="K46" i="1" s="1"/>
  <c r="D48" i="1"/>
  <c r="K48" i="1" s="1"/>
  <c r="P118" i="1"/>
  <c r="D47" i="1"/>
  <c r="K47" i="1" s="1"/>
  <c r="P77" i="1"/>
  <c r="S77" i="1"/>
  <c r="B53" i="1"/>
  <c r="G53" i="1" s="1"/>
  <c r="B43" i="1"/>
  <c r="G43" i="1" s="1"/>
  <c r="Q122" i="1"/>
  <c r="R122" i="1" s="1"/>
  <c r="P78" i="1"/>
  <c r="D55" i="1"/>
  <c r="K55" i="1" s="1"/>
  <c r="J5" i="1"/>
  <c r="E5" i="1"/>
  <c r="F5" i="1" s="1"/>
  <c r="F40" i="1" s="1"/>
  <c r="C14" i="1"/>
  <c r="C40" i="1"/>
  <c r="I40" i="1" s="1"/>
  <c r="D54" i="1"/>
  <c r="K54" i="1" s="1"/>
  <c r="P75" i="1"/>
  <c r="D43" i="1"/>
  <c r="K43" i="1" s="1"/>
  <c r="D63" i="1"/>
  <c r="K63" i="1" s="1"/>
  <c r="Q76" i="1"/>
  <c r="R76" i="1" s="1"/>
  <c r="D44" i="1"/>
  <c r="K44" i="1" s="1"/>
  <c r="B48" i="1"/>
  <c r="G48" i="1" s="1"/>
  <c r="B46" i="1"/>
  <c r="G46" i="1" s="1"/>
  <c r="P120" i="1"/>
  <c r="P74" i="1"/>
  <c r="D57" i="1"/>
  <c r="K57" i="1" s="1"/>
  <c r="Q74" i="1"/>
  <c r="R74" i="1" s="1"/>
  <c r="Q78" i="1"/>
  <c r="R78" i="1" s="1"/>
  <c r="Q75" i="1"/>
  <c r="R75" i="1" s="1"/>
  <c r="Q79" i="1"/>
  <c r="R79" i="1" s="1"/>
  <c r="Q72" i="1"/>
  <c r="R72" i="1" s="1"/>
  <c r="D52" i="1"/>
  <c r="K52" i="1" s="1"/>
  <c r="B41" i="1"/>
  <c r="G41" i="1" s="1"/>
  <c r="D58" i="1"/>
  <c r="K58" i="1" s="1"/>
  <c r="D60" i="1"/>
  <c r="K60" i="1" s="1"/>
  <c r="D33" i="1"/>
  <c r="L20" i="1" s="1"/>
  <c r="D56" i="1"/>
  <c r="K56" i="1" s="1"/>
  <c r="P88" i="1"/>
  <c r="S88" i="1"/>
  <c r="B40" i="1"/>
  <c r="G40" i="1" s="1"/>
  <c r="Q106" i="1"/>
  <c r="Q73" i="1"/>
  <c r="R73" i="1" s="1"/>
  <c r="P79" i="1"/>
  <c r="H18" i="1" l="1"/>
  <c r="H6" i="1"/>
  <c r="H11" i="1"/>
  <c r="H5" i="1"/>
  <c r="M40" i="1"/>
  <c r="N40" i="1" s="1"/>
  <c r="H14" i="1"/>
  <c r="H12" i="1"/>
  <c r="H13" i="1"/>
  <c r="E44" i="1"/>
  <c r="F9" i="1"/>
  <c r="F44" i="1" s="1"/>
  <c r="H7" i="1"/>
  <c r="H19" i="1"/>
  <c r="H8" i="1"/>
  <c r="H27" i="1"/>
  <c r="L12" i="1"/>
  <c r="H29" i="1"/>
  <c r="S118" i="1"/>
  <c r="H20" i="1"/>
  <c r="H15" i="1"/>
  <c r="H24" i="1"/>
  <c r="M50" i="1"/>
  <c r="N50" i="1" s="1"/>
  <c r="H26" i="1"/>
  <c r="S120" i="1"/>
  <c r="M47" i="1"/>
  <c r="N47" i="1" s="1"/>
  <c r="H10" i="1"/>
  <c r="L8" i="1"/>
  <c r="M43" i="1"/>
  <c r="N43" i="1" s="1"/>
  <c r="M46" i="1"/>
  <c r="N46" i="1" s="1"/>
  <c r="H4" i="1"/>
  <c r="S109" i="1"/>
  <c r="H25" i="1"/>
  <c r="H9" i="1"/>
  <c r="H23" i="1"/>
  <c r="L25" i="1"/>
  <c r="L6" i="1"/>
  <c r="S72" i="1"/>
  <c r="L14" i="1"/>
  <c r="S75" i="1"/>
  <c r="L19" i="1"/>
  <c r="L13" i="1"/>
  <c r="L18" i="1"/>
  <c r="M18" i="1" s="1"/>
  <c r="L16" i="1"/>
  <c r="S79" i="1"/>
  <c r="P110" i="1"/>
  <c r="L23" i="1"/>
  <c r="L22" i="1"/>
  <c r="L9" i="1"/>
  <c r="L27" i="1"/>
  <c r="S105" i="1"/>
  <c r="H16" i="1"/>
  <c r="H3" i="1"/>
  <c r="H21" i="1"/>
  <c r="L15" i="1"/>
  <c r="H28" i="1"/>
  <c r="S95" i="1"/>
  <c r="P95" i="1"/>
  <c r="L17" i="1"/>
  <c r="L21" i="1"/>
  <c r="M44" i="1"/>
  <c r="N44" i="1" s="1"/>
  <c r="M39" i="1"/>
  <c r="N39" i="1" s="1"/>
  <c r="R106" i="1"/>
  <c r="S106" i="1"/>
  <c r="E47" i="1"/>
  <c r="S119" i="1"/>
  <c r="R121" i="1"/>
  <c r="R123" i="1" s="1"/>
  <c r="S121" i="1"/>
  <c r="M41" i="1"/>
  <c r="N41" i="1" s="1"/>
  <c r="S78" i="1"/>
  <c r="J20" i="1"/>
  <c r="C29" i="1"/>
  <c r="C55" i="1"/>
  <c r="I55" i="1" s="1"/>
  <c r="M55" i="1" s="1"/>
  <c r="N55" i="1" s="1"/>
  <c r="E20" i="1"/>
  <c r="F20" i="1" s="1"/>
  <c r="F55" i="1" s="1"/>
  <c r="E42" i="1"/>
  <c r="P123" i="1"/>
  <c r="E16" i="1"/>
  <c r="F16" i="1" s="1"/>
  <c r="F51" i="1" s="1"/>
  <c r="C51" i="1"/>
  <c r="I51" i="1" s="1"/>
  <c r="M51" i="1" s="1"/>
  <c r="N51" i="1" s="1"/>
  <c r="C25" i="1"/>
  <c r="J16" i="1"/>
  <c r="E50" i="1"/>
  <c r="S122" i="1"/>
  <c r="E24" i="1"/>
  <c r="F24" i="1" s="1"/>
  <c r="F59" i="1" s="1"/>
  <c r="C59" i="1"/>
  <c r="I59" i="1" s="1"/>
  <c r="M59" i="1" s="1"/>
  <c r="N59" i="1" s="1"/>
  <c r="J24" i="1"/>
  <c r="S74" i="1"/>
  <c r="E39" i="1"/>
  <c r="R107" i="1"/>
  <c r="S107" i="1"/>
  <c r="C26" i="1"/>
  <c r="J17" i="1"/>
  <c r="C52" i="1"/>
  <c r="I52" i="1" s="1"/>
  <c r="M52" i="1" s="1"/>
  <c r="N52" i="1" s="1"/>
  <c r="E17" i="1"/>
  <c r="F17" i="1" s="1"/>
  <c r="F52" i="1" s="1"/>
  <c r="E14" i="1"/>
  <c r="F14" i="1" s="1"/>
  <c r="F49" i="1" s="1"/>
  <c r="C49" i="1"/>
  <c r="I49" i="1" s="1"/>
  <c r="M49" i="1" s="1"/>
  <c r="N49" i="1" s="1"/>
  <c r="J14" i="1"/>
  <c r="C23" i="1"/>
  <c r="E45" i="1"/>
  <c r="R108" i="1"/>
  <c r="S108" i="1"/>
  <c r="E43" i="1"/>
  <c r="E46" i="1"/>
  <c r="E21" i="1"/>
  <c r="F21" i="1" s="1"/>
  <c r="F56" i="1" s="1"/>
  <c r="J21" i="1"/>
  <c r="C56" i="1"/>
  <c r="I56" i="1" s="1"/>
  <c r="M56" i="1" s="1"/>
  <c r="N56" i="1" s="1"/>
  <c r="E19" i="1"/>
  <c r="F19" i="1" s="1"/>
  <c r="F54" i="1" s="1"/>
  <c r="C54" i="1"/>
  <c r="I54" i="1" s="1"/>
  <c r="M54" i="1" s="1"/>
  <c r="N54" i="1" s="1"/>
  <c r="C28" i="1"/>
  <c r="J19" i="1"/>
  <c r="E53" i="1"/>
  <c r="C48" i="1"/>
  <c r="I48" i="1" s="1"/>
  <c r="M48" i="1" s="1"/>
  <c r="N48" i="1" s="1"/>
  <c r="E13" i="1"/>
  <c r="F13" i="1" s="1"/>
  <c r="F48" i="1" s="1"/>
  <c r="C22" i="1"/>
  <c r="J13" i="1"/>
  <c r="L4" i="1"/>
  <c r="L5" i="1"/>
  <c r="M5" i="1" s="1"/>
  <c r="L3" i="1"/>
  <c r="R80" i="1"/>
  <c r="E40" i="1"/>
  <c r="M53" i="1"/>
  <c r="N53" i="1" s="1"/>
  <c r="L11" i="1"/>
  <c r="M11" i="1" s="1"/>
  <c r="M42" i="1"/>
  <c r="N42" i="1" s="1"/>
  <c r="L26" i="1"/>
  <c r="L10" i="1"/>
  <c r="P80" i="1"/>
  <c r="L7" i="1"/>
  <c r="M7" i="1" s="1"/>
  <c r="L28" i="1"/>
  <c r="S76" i="1"/>
  <c r="E27" i="1"/>
  <c r="F27" i="1" s="1"/>
  <c r="F62" i="1" s="1"/>
  <c r="J27" i="1"/>
  <c r="C62" i="1"/>
  <c r="I62" i="1" s="1"/>
  <c r="M62" i="1" s="1"/>
  <c r="N62" i="1" s="1"/>
  <c r="L29" i="1"/>
  <c r="S73" i="1"/>
  <c r="L24" i="1"/>
  <c r="M45" i="1"/>
  <c r="N45" i="1" s="1"/>
  <c r="M6" i="1" l="1"/>
  <c r="M27" i="1"/>
  <c r="M8" i="1"/>
  <c r="M12" i="1"/>
  <c r="M15" i="1"/>
  <c r="M14" i="1"/>
  <c r="M20" i="1"/>
  <c r="M10" i="1"/>
  <c r="R110" i="1"/>
  <c r="M4" i="1"/>
  <c r="M24" i="1"/>
  <c r="M16" i="1"/>
  <c r="S80" i="1"/>
  <c r="L82" i="1" s="1"/>
  <c r="M19" i="1"/>
  <c r="M13" i="1"/>
  <c r="M21" i="1"/>
  <c r="M9" i="1"/>
  <c r="L97" i="1"/>
  <c r="C33" i="1"/>
  <c r="M17" i="1"/>
  <c r="S110" i="1"/>
  <c r="M3" i="1"/>
  <c r="S123" i="1"/>
  <c r="L125" i="1" s="1"/>
  <c r="E55" i="1"/>
  <c r="E52" i="1"/>
  <c r="J23" i="1"/>
  <c r="M23" i="1" s="1"/>
  <c r="C58" i="1"/>
  <c r="I58" i="1" s="1"/>
  <c r="M58" i="1" s="1"/>
  <c r="N58" i="1" s="1"/>
  <c r="E23" i="1"/>
  <c r="J26" i="1"/>
  <c r="M26" i="1" s="1"/>
  <c r="C61" i="1"/>
  <c r="I61" i="1" s="1"/>
  <c r="M61" i="1" s="1"/>
  <c r="N61" i="1" s="1"/>
  <c r="E26" i="1"/>
  <c r="F26" i="1" s="1"/>
  <c r="F61" i="1" s="1"/>
  <c r="E62" i="1"/>
  <c r="J28" i="1"/>
  <c r="M28" i="1" s="1"/>
  <c r="E28" i="1"/>
  <c r="F28" i="1" s="1"/>
  <c r="F63" i="1" s="1"/>
  <c r="C63" i="1"/>
  <c r="I63" i="1" s="1"/>
  <c r="M63" i="1" s="1"/>
  <c r="N63" i="1" s="1"/>
  <c r="E59" i="1"/>
  <c r="E56" i="1"/>
  <c r="E29" i="1"/>
  <c r="F29" i="1" s="1"/>
  <c r="F64" i="1" s="1"/>
  <c r="J29" i="1"/>
  <c r="M29" i="1" s="1"/>
  <c r="C64" i="1"/>
  <c r="I64" i="1" s="1"/>
  <c r="M64" i="1" s="1"/>
  <c r="N64" i="1" s="1"/>
  <c r="E22" i="1"/>
  <c r="F22" i="1" s="1"/>
  <c r="F57" i="1" s="1"/>
  <c r="C57" i="1"/>
  <c r="I57" i="1" s="1"/>
  <c r="M57" i="1" s="1"/>
  <c r="N57" i="1" s="1"/>
  <c r="J22" i="1"/>
  <c r="M22" i="1" s="1"/>
  <c r="E49" i="1"/>
  <c r="J25" i="1"/>
  <c r="M25" i="1" s="1"/>
  <c r="E25" i="1"/>
  <c r="F25" i="1" s="1"/>
  <c r="F60" i="1" s="1"/>
  <c r="C60" i="1"/>
  <c r="I60" i="1" s="1"/>
  <c r="M60" i="1" s="1"/>
  <c r="N60" i="1" s="1"/>
  <c r="E48" i="1"/>
  <c r="E54" i="1"/>
  <c r="E51" i="1"/>
  <c r="L112" i="1" l="1"/>
  <c r="E31" i="1"/>
  <c r="O6" i="1" s="1"/>
  <c r="F23" i="1"/>
  <c r="F58" i="1" s="1"/>
  <c r="E64" i="1"/>
  <c r="M31" i="1"/>
  <c r="Q25" i="1" s="1"/>
  <c r="R25" i="1" s="1"/>
  <c r="E57" i="1"/>
  <c r="E61" i="1"/>
  <c r="E63" i="1"/>
  <c r="E60" i="1"/>
  <c r="E58" i="1"/>
  <c r="N66" i="1"/>
  <c r="Q64" i="1" s="1"/>
  <c r="R64" i="1" s="1"/>
  <c r="O28" i="1" l="1"/>
  <c r="O19" i="1"/>
  <c r="O14" i="1"/>
  <c r="P14" i="1" s="1"/>
  <c r="O21" i="1"/>
  <c r="O25" i="1"/>
  <c r="P25" i="1" s="1"/>
  <c r="O18" i="1"/>
  <c r="P18" i="1" s="1"/>
  <c r="O11" i="1"/>
  <c r="P11" i="1" s="1"/>
  <c r="O10" i="1"/>
  <c r="P10" i="1" s="1"/>
  <c r="O9" i="1"/>
  <c r="P9" i="1" s="1"/>
  <c r="O20" i="1"/>
  <c r="P20" i="1" s="1"/>
  <c r="O15" i="1"/>
  <c r="O26" i="1"/>
  <c r="O13" i="1"/>
  <c r="P13" i="1" s="1"/>
  <c r="O7" i="1"/>
  <c r="P7" i="1" s="1"/>
  <c r="O16" i="1"/>
  <c r="P16" i="1" s="1"/>
  <c r="O12" i="1"/>
  <c r="P12" i="1" s="1"/>
  <c r="O22" i="1"/>
  <c r="P22" i="1" s="1"/>
  <c r="O24" i="1"/>
  <c r="P24" i="1" s="1"/>
  <c r="O8" i="1"/>
  <c r="P8" i="1" s="1"/>
  <c r="O17" i="1"/>
  <c r="P17" i="1" s="1"/>
  <c r="O4" i="1"/>
  <c r="P4" i="1" s="1"/>
  <c r="O23" i="1"/>
  <c r="P23" i="1" s="1"/>
  <c r="O27" i="1"/>
  <c r="P27" i="1" s="1"/>
  <c r="O3" i="1"/>
  <c r="P3" i="1" s="1"/>
  <c r="O29" i="1"/>
  <c r="O5" i="1"/>
  <c r="P5" i="1" s="1"/>
  <c r="Q63" i="1"/>
  <c r="R63" i="1" s="1"/>
  <c r="E66" i="1"/>
  <c r="O50" i="1" s="1"/>
  <c r="Q26" i="1"/>
  <c r="R26" i="1" s="1"/>
  <c r="Q23" i="1"/>
  <c r="R23" i="1" s="1"/>
  <c r="Q22" i="1"/>
  <c r="R22" i="1" s="1"/>
  <c r="Q38" i="1"/>
  <c r="R38" i="1" s="1"/>
  <c r="Q44" i="1"/>
  <c r="R44" i="1" s="1"/>
  <c r="Q43" i="1"/>
  <c r="R43" i="1" s="1"/>
  <c r="Q47" i="1"/>
  <c r="R47" i="1" s="1"/>
  <c r="Q39" i="1"/>
  <c r="R39" i="1" s="1"/>
  <c r="Q46" i="1"/>
  <c r="R46" i="1" s="1"/>
  <c r="Q50" i="1"/>
  <c r="R50" i="1" s="1"/>
  <c r="Q40" i="1"/>
  <c r="R40" i="1" s="1"/>
  <c r="Q49" i="1"/>
  <c r="R49" i="1" s="1"/>
  <c r="Q55" i="1"/>
  <c r="R55" i="1" s="1"/>
  <c r="Q52" i="1"/>
  <c r="R52" i="1" s="1"/>
  <c r="Q45" i="1"/>
  <c r="R45" i="1" s="1"/>
  <c r="Q41" i="1"/>
  <c r="R41" i="1" s="1"/>
  <c r="Q54" i="1"/>
  <c r="R54" i="1" s="1"/>
  <c r="Q53" i="1"/>
  <c r="R53" i="1" s="1"/>
  <c r="Q62" i="1"/>
  <c r="R62" i="1" s="1"/>
  <c r="Q42" i="1"/>
  <c r="R42" i="1" s="1"/>
  <c r="Q59" i="1"/>
  <c r="R59" i="1" s="1"/>
  <c r="Q51" i="1"/>
  <c r="R51" i="1" s="1"/>
  <c r="Q48" i="1"/>
  <c r="R48" i="1" s="1"/>
  <c r="Q56" i="1"/>
  <c r="R56" i="1" s="1"/>
  <c r="Q58" i="1"/>
  <c r="R58" i="1" s="1"/>
  <c r="Q29" i="1"/>
  <c r="R29" i="1" s="1"/>
  <c r="Q28" i="1"/>
  <c r="R28" i="1" s="1"/>
  <c r="Q60" i="1"/>
  <c r="R60" i="1" s="1"/>
  <c r="P29" i="1"/>
  <c r="P21" i="1"/>
  <c r="S25" i="1"/>
  <c r="Q61" i="1"/>
  <c r="R61" i="1" s="1"/>
  <c r="P26" i="1"/>
  <c r="P15" i="1"/>
  <c r="Q9" i="1"/>
  <c r="R9" i="1" s="1"/>
  <c r="Q6" i="1"/>
  <c r="R6" i="1" s="1"/>
  <c r="Q15" i="1"/>
  <c r="R15" i="1" s="1"/>
  <c r="Q4" i="1"/>
  <c r="R4" i="1" s="1"/>
  <c r="Q14" i="1"/>
  <c r="R14" i="1" s="1"/>
  <c r="Q21" i="1"/>
  <c r="R21" i="1" s="1"/>
  <c r="Q19" i="1"/>
  <c r="R19" i="1" s="1"/>
  <c r="Q24" i="1"/>
  <c r="R24" i="1" s="1"/>
  <c r="Q13" i="1"/>
  <c r="R13" i="1" s="1"/>
  <c r="Q17" i="1"/>
  <c r="R17" i="1" s="1"/>
  <c r="Q27" i="1"/>
  <c r="R27" i="1" s="1"/>
  <c r="Q10" i="1"/>
  <c r="R10" i="1" s="1"/>
  <c r="Q8" i="1"/>
  <c r="R8" i="1" s="1"/>
  <c r="Q3" i="1"/>
  <c r="R3" i="1" s="1"/>
  <c r="Q16" i="1"/>
  <c r="R16" i="1" s="1"/>
  <c r="Q5" i="1"/>
  <c r="R5" i="1" s="1"/>
  <c r="Q7" i="1"/>
  <c r="R7" i="1" s="1"/>
  <c r="Q20" i="1"/>
  <c r="R20" i="1" s="1"/>
  <c r="Q11" i="1"/>
  <c r="R11" i="1" s="1"/>
  <c r="Q18" i="1"/>
  <c r="R18" i="1" s="1"/>
  <c r="Q12" i="1"/>
  <c r="R12" i="1" s="1"/>
  <c r="P28" i="1"/>
  <c r="Q57" i="1"/>
  <c r="R57" i="1" s="1"/>
  <c r="P6" i="1"/>
  <c r="P19" i="1"/>
  <c r="S22" i="1" l="1"/>
  <c r="O42" i="1"/>
  <c r="O60" i="1"/>
  <c r="O58" i="1"/>
  <c r="S58" i="1" s="1"/>
  <c r="O61" i="1"/>
  <c r="S61" i="1" s="1"/>
  <c r="S7" i="1"/>
  <c r="O53" i="1"/>
  <c r="S53" i="1" s="1"/>
  <c r="S6" i="1"/>
  <c r="O48" i="1"/>
  <c r="P48" i="1" s="1"/>
  <c r="O39" i="1"/>
  <c r="S39" i="1" s="1"/>
  <c r="O52" i="1"/>
  <c r="S52" i="1" s="1"/>
  <c r="O43" i="1"/>
  <c r="P43" i="1" s="1"/>
  <c r="O41" i="1"/>
  <c r="S41" i="1" s="1"/>
  <c r="O57" i="1"/>
  <c r="S57" i="1" s="1"/>
  <c r="S5" i="1"/>
  <c r="O59" i="1"/>
  <c r="P59" i="1" s="1"/>
  <c r="S26" i="1"/>
  <c r="O44" i="1"/>
  <c r="P44" i="1" s="1"/>
  <c r="O54" i="1"/>
  <c r="P54" i="1" s="1"/>
  <c r="O62" i="1"/>
  <c r="S62" i="1" s="1"/>
  <c r="O38" i="1"/>
  <c r="P38" i="1" s="1"/>
  <c r="O51" i="1"/>
  <c r="P51" i="1" s="1"/>
  <c r="O63" i="1"/>
  <c r="S16" i="1"/>
  <c r="O46" i="1"/>
  <c r="S46" i="1" s="1"/>
  <c r="O45" i="1"/>
  <c r="P45" i="1" s="1"/>
  <c r="S14" i="1"/>
  <c r="S23" i="1"/>
  <c r="S29" i="1"/>
  <c r="S19" i="1"/>
  <c r="S8" i="1"/>
  <c r="O49" i="1"/>
  <c r="P49" i="1" s="1"/>
  <c r="O40" i="1"/>
  <c r="P40" i="1" s="1"/>
  <c r="S21" i="1"/>
  <c r="O56" i="1"/>
  <c r="S56" i="1" s="1"/>
  <c r="O47" i="1"/>
  <c r="S47" i="1" s="1"/>
  <c r="S12" i="1"/>
  <c r="O64" i="1"/>
  <c r="P64" i="1" s="1"/>
  <c r="O55" i="1"/>
  <c r="P55" i="1" s="1"/>
  <c r="S10" i="1"/>
  <c r="R30" i="1"/>
  <c r="S24" i="1"/>
  <c r="S13" i="1"/>
  <c r="P63" i="1"/>
  <c r="S63" i="1"/>
  <c r="S9" i="1"/>
  <c r="S60" i="1"/>
  <c r="P60" i="1"/>
  <c r="S3" i="1"/>
  <c r="P30" i="1"/>
  <c r="P50" i="1"/>
  <c r="S50" i="1"/>
  <c r="S4" i="1"/>
  <c r="S42" i="1"/>
  <c r="P42" i="1"/>
  <c r="S28" i="1"/>
  <c r="S27" i="1"/>
  <c r="S18" i="1"/>
  <c r="S15" i="1"/>
  <c r="S20" i="1"/>
  <c r="S17" i="1"/>
  <c r="R65" i="1"/>
  <c r="S11" i="1"/>
  <c r="S51" i="1"/>
  <c r="P58" i="1" l="1"/>
  <c r="P57" i="1"/>
  <c r="S48" i="1"/>
  <c r="P41" i="1"/>
  <c r="P53" i="1"/>
  <c r="P46" i="1"/>
  <c r="P62" i="1"/>
  <c r="S54" i="1"/>
  <c r="S43" i="1"/>
  <c r="P61" i="1"/>
  <c r="S59" i="1"/>
  <c r="S49" i="1"/>
  <c r="S38" i="1"/>
  <c r="P39" i="1"/>
  <c r="S44" i="1"/>
  <c r="S45" i="1"/>
  <c r="S55" i="1"/>
  <c r="P52" i="1"/>
  <c r="P47" i="1"/>
  <c r="S40" i="1"/>
  <c r="P56" i="1"/>
  <c r="S64" i="1"/>
  <c r="S30" i="1"/>
  <c r="M32" i="1" s="1"/>
  <c r="X3" i="1" s="1"/>
  <c r="P65" i="1" l="1"/>
  <c r="S65" i="1"/>
  <c r="M67" i="1" l="1"/>
  <c r="Y3" i="1" s="1"/>
</calcChain>
</file>

<file path=xl/sharedStrings.xml><?xml version="1.0" encoding="utf-8"?>
<sst xmlns="http://schemas.openxmlformats.org/spreadsheetml/2006/main" count="231" uniqueCount="94">
  <si>
    <t>Correlation Coefficient</t>
  </si>
  <si>
    <t>Mean</t>
  </si>
  <si>
    <t>Sum</t>
  </si>
  <si>
    <r>
      <t xml:space="preserve">(K - μ) </t>
    </r>
    <r>
      <rPr>
        <b/>
        <sz val="16"/>
        <rFont val="Arial"/>
        <family val="2"/>
      </rPr>
      <t>•</t>
    </r>
    <r>
      <rPr>
        <b/>
        <sz val="16"/>
        <rFont val="Arial"/>
        <family val="2"/>
      </rPr>
      <t xml:space="preserve"> (500V - μ)</t>
    </r>
  </si>
  <si>
    <r>
      <t>(500V - μ)</t>
    </r>
    <r>
      <rPr>
        <b/>
        <vertAlign val="superscript"/>
        <sz val="16"/>
        <rFont val="Arial"/>
        <family val="2"/>
      </rPr>
      <t>2</t>
    </r>
  </si>
  <si>
    <t>500V - μ</t>
  </si>
  <si>
    <r>
      <t>(K - μ)</t>
    </r>
    <r>
      <rPr>
        <b/>
        <vertAlign val="superscript"/>
        <sz val="16"/>
        <rFont val="Arial"/>
        <family val="2"/>
      </rPr>
      <t>2</t>
    </r>
  </si>
  <si>
    <t>K - μ</t>
  </si>
  <si>
    <t>50 V</t>
  </si>
  <si>
    <t>V(Eff)</t>
  </si>
  <si>
    <t>V(Surv)</t>
  </si>
  <si>
    <t>V(SR)</t>
  </si>
  <si>
    <t>K</t>
  </si>
  <si>
    <r>
      <t>K</t>
    </r>
    <r>
      <rPr>
        <b/>
        <vertAlign val="subscript"/>
        <sz val="16"/>
        <rFont val="Arial"/>
        <family val="2"/>
      </rPr>
      <t>S</t>
    </r>
  </si>
  <si>
    <r>
      <t>P</t>
    </r>
    <r>
      <rPr>
        <b/>
        <vertAlign val="subscript"/>
        <sz val="16"/>
        <rFont val="Arial"/>
        <family val="2"/>
      </rPr>
      <t>S</t>
    </r>
  </si>
  <si>
    <t>SR</t>
  </si>
  <si>
    <t>No.</t>
  </si>
  <si>
    <t>IVAL</t>
  </si>
  <si>
    <t>Fund Eq</t>
  </si>
  <si>
    <t>Configuration</t>
  </si>
  <si>
    <r>
      <t xml:space="preserve">(K - μ) </t>
    </r>
    <r>
      <rPr>
        <b/>
        <sz val="16"/>
        <rFont val="Arial"/>
        <family val="2"/>
      </rPr>
      <t>•</t>
    </r>
    <r>
      <rPr>
        <b/>
        <sz val="16"/>
        <rFont val="Arial"/>
        <family val="2"/>
      </rPr>
      <t xml:space="preserve"> (100V - μ)</t>
    </r>
  </si>
  <si>
    <r>
      <t>(100V - μ)</t>
    </r>
    <r>
      <rPr>
        <b/>
        <vertAlign val="superscript"/>
        <sz val="16"/>
        <rFont val="Arial"/>
        <family val="2"/>
      </rPr>
      <t>2</t>
    </r>
  </si>
  <si>
    <t>100V - μ</t>
  </si>
  <si>
    <t>100 V</t>
  </si>
  <si>
    <t>W3</t>
  </si>
  <si>
    <t>W2</t>
  </si>
  <si>
    <r>
      <t>W</t>
    </r>
    <r>
      <rPr>
        <b/>
        <vertAlign val="subscript"/>
        <sz val="16"/>
        <rFont val="Arial"/>
        <family val="2"/>
      </rPr>
      <t>1</t>
    </r>
  </si>
  <si>
    <t>Feasible Designs 4 – 8</t>
  </si>
  <si>
    <r>
      <t xml:space="preserve">(K - μ) </t>
    </r>
    <r>
      <rPr>
        <b/>
        <sz val="16"/>
        <rFont val="Arial"/>
        <family val="2"/>
      </rPr>
      <t>•</t>
    </r>
    <r>
      <rPr>
        <b/>
        <sz val="16"/>
        <rFont val="Arial"/>
        <family val="2"/>
      </rPr>
      <t xml:space="preserve"> (50V - μ)</t>
    </r>
  </si>
  <si>
    <r>
      <t>(50V - μ)</t>
    </r>
    <r>
      <rPr>
        <b/>
        <vertAlign val="superscript"/>
        <sz val="16"/>
        <rFont val="Arial"/>
        <family val="2"/>
      </rPr>
      <t>2</t>
    </r>
  </si>
  <si>
    <t>50V - μ</t>
  </si>
  <si>
    <t>Original 8 Designs</t>
  </si>
  <si>
    <t>Wide</t>
  </si>
  <si>
    <t>Medium</t>
  </si>
  <si>
    <t>Narrow</t>
  </si>
  <si>
    <t>n/a</t>
  </si>
  <si>
    <t>A</t>
  </si>
  <si>
    <t>B</t>
  </si>
  <si>
    <t>ln(d-c)</t>
  </si>
  <si>
    <t>y2</t>
  </si>
  <si>
    <t>y1</t>
  </si>
  <si>
    <t>x2</t>
  </si>
  <si>
    <t>x1</t>
  </si>
  <si>
    <t>d</t>
  </si>
  <si>
    <t>c</t>
  </si>
  <si>
    <t>b</t>
  </si>
  <si>
    <t>a</t>
  </si>
  <si>
    <t>Knees of Curve</t>
  </si>
  <si>
    <t>ymax</t>
  </si>
  <si>
    <t>ymin</t>
  </si>
  <si>
    <t>xmax</t>
  </si>
  <si>
    <t>xmin</t>
  </si>
  <si>
    <t>Max</t>
  </si>
  <si>
    <t>Ps</t>
  </si>
  <si>
    <r>
      <t>√ [ (k</t>
    </r>
    <r>
      <rPr>
        <vertAlign val="subscript"/>
        <sz val="16"/>
        <rFont val="Arial"/>
        <family val="2"/>
      </rPr>
      <t>i –</t>
    </r>
    <r>
      <rPr>
        <sz val="16"/>
        <rFont val="Arial"/>
        <family val="2"/>
      </rPr>
      <t xml:space="preserve"> 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  <r>
      <rPr>
        <sz val="16"/>
        <rFont val="Arial"/>
        <family val="2"/>
      </rPr>
      <t xml:space="preserve"> (y</t>
    </r>
    <r>
      <rPr>
        <vertAlign val="subscript"/>
        <sz val="16"/>
        <rFont val="Arial"/>
        <family val="2"/>
      </rPr>
      <t xml:space="preserve">i – 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  <r>
      <rPr>
        <sz val="16"/>
        <rFont val="Arial"/>
        <family val="2"/>
      </rPr>
      <t xml:space="preserve"> ]</t>
    </r>
  </si>
  <si>
    <r>
      <t>√(y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</si>
  <si>
    <r>
      <t>√(k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</t>
    </r>
    <r>
      <rPr>
        <vertAlign val="superscript"/>
        <sz val="16"/>
        <rFont val="Arial"/>
        <family val="2"/>
      </rPr>
      <t>2</t>
    </r>
  </si>
  <si>
    <r>
      <rPr>
        <sz val="16"/>
        <rFont val="Symbol"/>
        <charset val="2"/>
      </rPr>
      <t xml:space="preserve">    s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 xml:space="preserve"> </t>
    </r>
    <r>
      <rPr>
        <sz val="16"/>
        <rFont val="Symbol"/>
        <charset val="2"/>
      </rPr>
      <t>s</t>
    </r>
    <r>
      <rPr>
        <vertAlign val="subscript"/>
        <sz val="16"/>
        <rFont val="Arial"/>
        <family val="2"/>
      </rPr>
      <t>Y</t>
    </r>
  </si>
  <si>
    <t>–––––––––––––––––––––</t>
  </si>
  <si>
    <t>=</t>
  </si>
  <si>
    <t>–––––––––––––––</t>
  </si>
  <si>
    <t>×</t>
  </si>
  <si>
    <t>––––––––––––––––––</t>
  </si>
  <si>
    <t>Corr Coef     ≡</t>
  </si>
  <si>
    <r>
      <t>∑[ (K-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 (Y-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 ]</t>
    </r>
  </si>
  <si>
    <t xml:space="preserve">  √27</t>
  </si>
  <si>
    <t xml:space="preserve">√27  </t>
  </si>
  <si>
    <r>
      <t>∑[ (k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 (y</t>
    </r>
    <r>
      <rPr>
        <vertAlign val="subscript"/>
        <sz val="16"/>
        <rFont val="Arial"/>
        <family val="2"/>
      </rPr>
      <t>i</t>
    </r>
    <r>
      <rPr>
        <sz val="16"/>
        <rFont val="Arial"/>
        <family val="2"/>
      </rPr>
      <t>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 ]</t>
    </r>
  </si>
  <si>
    <r>
      <t>E[ (K-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K</t>
    </r>
    <r>
      <rPr>
        <sz val="16"/>
        <rFont val="Arial"/>
        <family val="2"/>
      </rPr>
      <t>) (Y-</t>
    </r>
    <r>
      <rPr>
        <sz val="16"/>
        <rFont val="Symbol"/>
        <charset val="2"/>
      </rPr>
      <t>m</t>
    </r>
    <r>
      <rPr>
        <vertAlign val="subscript"/>
        <sz val="16"/>
        <rFont val="Arial"/>
        <family val="2"/>
      </rPr>
      <t>Y</t>
    </r>
    <r>
      <rPr>
        <sz val="16"/>
        <rFont val="Arial"/>
        <family val="2"/>
      </rPr>
      <t>) ]</t>
    </r>
  </si>
  <si>
    <t>Input highlighted cells above and spreadsheet automatically computes results</t>
  </si>
  <si>
    <t>Instructions</t>
  </si>
  <si>
    <t>WSM</t>
  </si>
  <si>
    <t># Days</t>
  </si>
  <si>
    <t>Pearson r Correlation Coefficient (Output)</t>
  </si>
  <si>
    <t>Input</t>
  </si>
  <si>
    <t>Factorial Analysis of Design Spaces</t>
  </si>
  <si>
    <t>100V</t>
  </si>
  <si>
    <t>2 .1K</t>
  </si>
  <si>
    <t>2.1 K</t>
  </si>
  <si>
    <r>
      <t xml:space="preserve">                  Weighted Sum Model (</t>
    </r>
    <r>
      <rPr>
        <b/>
        <sz val="18"/>
        <color rgb="FF0432FF"/>
        <rFont val="Arial"/>
        <family val="2"/>
      </rPr>
      <t>WSM</t>
    </r>
    <r>
      <rPr>
        <b/>
        <sz val="18"/>
        <rFont val="Arial"/>
        <family val="2"/>
      </rPr>
      <t>)                                  -- 10 Day Campaign --</t>
    </r>
  </si>
  <si>
    <t>Excellent</t>
  </si>
  <si>
    <t>Good</t>
  </si>
  <si>
    <t>Mediocre</t>
  </si>
  <si>
    <t>Bad</t>
  </si>
  <si>
    <t>Cells at right are stored results generated from table above</t>
  </si>
  <si>
    <r>
      <t>Weighted Sum Model (</t>
    </r>
    <r>
      <rPr>
        <b/>
        <sz val="18"/>
        <color rgb="FF0432FF"/>
        <rFont val="Arial"/>
        <family val="2"/>
      </rPr>
      <t>WSM</t>
    </r>
    <r>
      <rPr>
        <b/>
        <sz val="18"/>
        <rFont val="Arial"/>
        <family val="2"/>
      </rPr>
      <t>)</t>
    </r>
  </si>
  <si>
    <r>
      <t>Intrinsic Value Methodology (</t>
    </r>
    <r>
      <rPr>
        <b/>
        <sz val="18"/>
        <color rgb="FF0432FF"/>
        <rFont val="Arial"/>
        <family val="2"/>
      </rPr>
      <t>IVAL</t>
    </r>
    <r>
      <rPr>
        <b/>
        <sz val="18"/>
        <rFont val="Arial"/>
        <family val="2"/>
      </rPr>
      <t xml:space="preserve">) </t>
    </r>
  </si>
  <si>
    <r>
      <t xml:space="preserve">                  Intrinsic Value Methodology </t>
    </r>
    <r>
      <rPr>
        <b/>
        <sz val="18"/>
        <color indexed="12"/>
        <rFont val="Arial"/>
        <family val="2"/>
      </rPr>
      <t xml:space="preserve">(IVAL) </t>
    </r>
    <r>
      <rPr>
        <b/>
        <sz val="18"/>
        <rFont val="Arial"/>
        <family val="2"/>
      </rPr>
      <t xml:space="preserve">                              -- 10 Day Campaign --</t>
    </r>
  </si>
  <si>
    <t>[ =V(SR) ]</t>
  </si>
  <si>
    <t>[ = V(SURV) ]</t>
  </si>
  <si>
    <t>Delta (intermediate variable)</t>
  </si>
  <si>
    <r>
      <rPr>
        <b/>
        <sz val="18"/>
        <color rgb="FF00B050"/>
        <rFont val="Arial"/>
        <family val="2"/>
      </rPr>
      <t>Fund Eq</t>
    </r>
    <r>
      <rPr>
        <b/>
        <sz val="18"/>
        <rFont val="Arial"/>
        <family val="2"/>
      </rPr>
      <t xml:space="preserve"> • </t>
    </r>
    <r>
      <rPr>
        <b/>
        <sz val="18"/>
        <color rgb="FF0432FF"/>
        <rFont val="Arial"/>
        <family val="2"/>
      </rPr>
      <t>WSM</t>
    </r>
  </si>
  <si>
    <r>
      <rPr>
        <b/>
        <sz val="18"/>
        <color rgb="FF00B050"/>
        <rFont val="Arial"/>
        <family val="2"/>
      </rPr>
      <t>Fund Eq</t>
    </r>
    <r>
      <rPr>
        <sz val="10"/>
        <color rgb="FF00B050"/>
        <rFont val="Arial"/>
        <family val="2"/>
      </rPr>
      <t xml:space="preserve"> </t>
    </r>
    <r>
      <rPr>
        <b/>
        <sz val="18"/>
        <rFont val="Arial"/>
        <family val="2"/>
      </rPr>
      <t xml:space="preserve">• </t>
    </r>
    <r>
      <rPr>
        <b/>
        <sz val="18"/>
        <color rgb="FF0432FF"/>
        <rFont val="Arial"/>
        <family val="2"/>
      </rPr>
      <t>IVAL</t>
    </r>
  </si>
  <si>
    <t>Formula below shows how to compute correlation coefficient from columns P, R, &amp;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</si>
</sst>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000"/>
  </numFmts>
  <fonts count="26" x14ac:knownFonts="1">
    <font>
      <sz val="10"/>
      <name val="Arial"/>
      <family val="2"/>
    </font>
    <font>
      <sz val="1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4"/>
      <color indexed="10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vertAlign val="superscript"/>
      <sz val="16"/>
      <name val="Arial"/>
      <family val="2"/>
    </font>
    <font>
      <b/>
      <vertAlign val="subscript"/>
      <sz val="16"/>
      <name val="Arial"/>
      <family val="2"/>
    </font>
    <font>
      <b/>
      <sz val="18"/>
      <name val="Arial"/>
      <family val="2"/>
    </font>
    <font>
      <b/>
      <sz val="20"/>
      <color rgb="FF0432FF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8"/>
      <color indexed="12"/>
      <name val="Arial"/>
      <family val="2"/>
    </font>
    <font>
      <vertAlign val="subscript"/>
      <sz val="16"/>
      <name val="Arial"/>
      <family val="2"/>
    </font>
    <font>
      <sz val="16"/>
      <name val="Symbol"/>
      <charset val="2"/>
    </font>
    <font>
      <vertAlign val="superscript"/>
      <sz val="16"/>
      <name val="Arial"/>
      <family val="2"/>
    </font>
    <font>
      <sz val="16"/>
      <name val="Arial"/>
      <family val="2"/>
      <charset val="2"/>
    </font>
    <font>
      <sz val="26"/>
      <name val="Arial"/>
      <family val="2"/>
    </font>
    <font>
      <b/>
      <sz val="48"/>
      <color indexed="12"/>
      <name val="Symbol"/>
      <family val="1"/>
      <charset val="2"/>
    </font>
    <font>
      <sz val="14"/>
      <color indexed="12"/>
      <name val="Arial"/>
      <family val="2"/>
    </font>
    <font>
      <b/>
      <sz val="18"/>
      <color rgb="FF0432FF"/>
      <name val="Arial"/>
      <family val="2"/>
    </font>
    <font>
      <sz val="18"/>
      <name val="Arial"/>
      <family val="2"/>
    </font>
    <font>
      <b/>
      <sz val="18"/>
      <color rgb="FF00B050"/>
      <name val="Arial"/>
      <family val="2"/>
    </font>
    <font>
      <sz val="10"/>
      <color rgb="FF00B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69C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8CDFF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7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37" fontId="4" fillId="0" borderId="0" xfId="1" applyNumberFormat="1" applyFont="1" applyAlignment="1">
      <alignment horizontal="center" vertical="center"/>
    </xf>
    <xf numFmtId="165" fontId="5" fillId="0" borderId="0" xfId="0" applyNumberFormat="1" applyFont="1"/>
    <xf numFmtId="0" fontId="5" fillId="0" borderId="0" xfId="0" applyFont="1"/>
    <xf numFmtId="0" fontId="6" fillId="0" borderId="0" xfId="0" applyFont="1"/>
    <xf numFmtId="4" fontId="6" fillId="0" borderId="4" xfId="0" applyNumberFormat="1" applyFont="1" applyBorder="1"/>
    <xf numFmtId="4" fontId="6" fillId="0" borderId="5" xfId="0" applyNumberFormat="1" applyFont="1" applyBorder="1"/>
    <xf numFmtId="4" fontId="6" fillId="0" borderId="6" xfId="0" applyNumberFormat="1" applyFont="1" applyBorder="1"/>
    <xf numFmtId="4" fontId="6" fillId="0" borderId="7" xfId="0" applyNumberFormat="1" applyFont="1" applyBorder="1"/>
    <xf numFmtId="1" fontId="6" fillId="0" borderId="7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" fontId="6" fillId="0" borderId="11" xfId="0" applyNumberFormat="1" applyFont="1" applyBorder="1"/>
    <xf numFmtId="4" fontId="6" fillId="0" borderId="12" xfId="0" applyNumberFormat="1" applyFont="1" applyBorder="1"/>
    <xf numFmtId="4" fontId="6" fillId="0" borderId="13" xfId="0" applyNumberFormat="1" applyFont="1" applyBorder="1"/>
    <xf numFmtId="4" fontId="6" fillId="0" borderId="14" xfId="0" applyNumberFormat="1" applyFont="1" applyBorder="1"/>
    <xf numFmtId="1" fontId="6" fillId="0" borderId="14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4" fontId="6" fillId="0" borderId="29" xfId="0" applyNumberFormat="1" applyFont="1" applyBorder="1"/>
    <xf numFmtId="4" fontId="6" fillId="0" borderId="30" xfId="0" applyNumberFormat="1" applyFont="1" applyBorder="1"/>
    <xf numFmtId="165" fontId="6" fillId="0" borderId="7" xfId="0" applyNumberFormat="1" applyFont="1" applyBorder="1" applyAlignment="1">
      <alignment horizontal="center"/>
    </xf>
    <xf numFmtId="2" fontId="6" fillId="2" borderId="9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4" fontId="6" fillId="0" borderId="0" xfId="0" applyNumberFormat="1" applyFont="1"/>
    <xf numFmtId="4" fontId="6" fillId="0" borderId="32" xfId="0" applyNumberFormat="1" applyFont="1" applyBorder="1"/>
    <xf numFmtId="165" fontId="6" fillId="0" borderId="14" xfId="0" applyNumberFormat="1" applyFont="1" applyBorder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2" fontId="6" fillId="2" borderId="13" xfId="0" applyNumberFormat="1" applyFont="1" applyFill="1" applyBorder="1" applyAlignment="1">
      <alignment horizontal="center"/>
    </xf>
    <xf numFmtId="165" fontId="6" fillId="0" borderId="33" xfId="0" applyNumberFormat="1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11" fillId="0" borderId="0" xfId="0" applyFont="1" applyAlignment="1">
      <alignment horizontal="left"/>
    </xf>
    <xf numFmtId="4" fontId="6" fillId="0" borderId="37" xfId="0" applyNumberFormat="1" applyFont="1" applyBorder="1"/>
    <xf numFmtId="4" fontId="6" fillId="0" borderId="38" xfId="0" applyNumberFormat="1" applyFont="1" applyBorder="1"/>
    <xf numFmtId="4" fontId="6" fillId="0" borderId="39" xfId="0" applyNumberFormat="1" applyFont="1" applyBorder="1"/>
    <xf numFmtId="4" fontId="6" fillId="0" borderId="40" xfId="0" applyNumberFormat="1" applyFont="1" applyBorder="1"/>
    <xf numFmtId="1" fontId="6" fillId="0" borderId="40" xfId="0" applyNumberFormat="1" applyFont="1" applyBorder="1" applyAlignment="1">
      <alignment horizontal="center"/>
    </xf>
    <xf numFmtId="165" fontId="6" fillId="0" borderId="41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/>
    </xf>
    <xf numFmtId="165" fontId="6" fillId="0" borderId="37" xfId="0" applyNumberFormat="1" applyFont="1" applyBorder="1" applyAlignment="1">
      <alignment horizontal="center"/>
    </xf>
    <xf numFmtId="165" fontId="6" fillId="0" borderId="40" xfId="0" applyNumberFormat="1" applyFont="1" applyBorder="1" applyAlignment="1">
      <alignment horizontal="center"/>
    </xf>
    <xf numFmtId="2" fontId="6" fillId="0" borderId="41" xfId="0" applyNumberFormat="1" applyFont="1" applyBorder="1" applyAlignment="1">
      <alignment horizontal="center"/>
    </xf>
    <xf numFmtId="165" fontId="6" fillId="0" borderId="39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4" fontId="6" fillId="0" borderId="28" xfId="0" applyNumberFormat="1" applyFont="1" applyBorder="1"/>
    <xf numFmtId="4" fontId="6" fillId="0" borderId="24" xfId="0" applyNumberFormat="1" applyFont="1" applyBorder="1"/>
    <xf numFmtId="2" fontId="6" fillId="3" borderId="41" xfId="0" applyNumberFormat="1" applyFont="1" applyFill="1" applyBorder="1" applyAlignment="1">
      <alignment horizontal="center"/>
    </xf>
    <xf numFmtId="2" fontId="6" fillId="3" borderId="39" xfId="0" applyNumberFormat="1" applyFont="1" applyFill="1" applyBorder="1" applyAlignment="1">
      <alignment horizontal="center"/>
    </xf>
    <xf numFmtId="165" fontId="6" fillId="0" borderId="42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6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1" fontId="6" fillId="0" borderId="9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right"/>
    </xf>
    <xf numFmtId="1" fontId="6" fillId="0" borderId="4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right"/>
    </xf>
    <xf numFmtId="1" fontId="6" fillId="0" borderId="11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right" vertical="center"/>
    </xf>
    <xf numFmtId="164" fontId="2" fillId="0" borderId="43" xfId="0" applyNumberFormat="1" applyFont="1" applyBorder="1" applyAlignment="1">
      <alignment horizontal="center"/>
    </xf>
    <xf numFmtId="164" fontId="2" fillId="0" borderId="30" xfId="0" applyNumberFormat="1" applyFont="1" applyBorder="1" applyAlignment="1">
      <alignment horizontal="center"/>
    </xf>
    <xf numFmtId="0" fontId="0" fillId="0" borderId="43" xfId="0" applyBorder="1"/>
    <xf numFmtId="165" fontId="6" fillId="3" borderId="9" xfId="0" applyNumberFormat="1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165" fontId="6" fillId="3" borderId="6" xfId="0" applyNumberFormat="1" applyFont="1" applyFill="1" applyBorder="1" applyAlignment="1">
      <alignment horizontal="center"/>
    </xf>
    <xf numFmtId="164" fontId="2" fillId="0" borderId="40" xfId="0" applyNumberFormat="1" applyFont="1" applyBorder="1" applyAlignment="1">
      <alignment horizontal="center"/>
    </xf>
    <xf numFmtId="164" fontId="2" fillId="0" borderId="39" xfId="0" applyNumberFormat="1" applyFont="1" applyBorder="1" applyAlignment="1">
      <alignment horizontal="center"/>
    </xf>
    <xf numFmtId="1" fontId="6" fillId="3" borderId="40" xfId="0" applyNumberFormat="1" applyFont="1" applyFill="1" applyBorder="1" applyAlignment="1">
      <alignment horizontal="center"/>
    </xf>
    <xf numFmtId="165" fontId="6" fillId="3" borderId="41" xfId="0" applyNumberFormat="1" applyFont="1" applyFill="1" applyBorder="1" applyAlignment="1">
      <alignment horizontal="center"/>
    </xf>
    <xf numFmtId="164" fontId="6" fillId="3" borderId="41" xfId="0" applyNumberFormat="1" applyFont="1" applyFill="1" applyBorder="1" applyAlignment="1">
      <alignment horizontal="center"/>
    </xf>
    <xf numFmtId="165" fontId="6" fillId="3" borderId="39" xfId="0" applyNumberFormat="1" applyFont="1" applyFill="1" applyBorder="1" applyAlignment="1">
      <alignment horizontal="center"/>
    </xf>
    <xf numFmtId="0" fontId="0" fillId="0" borderId="27" xfId="0" applyBorder="1"/>
    <xf numFmtId="0" fontId="12" fillId="0" borderId="28" xfId="0" applyFont="1" applyBorder="1"/>
    <xf numFmtId="0" fontId="0" fillId="0" borderId="28" xfId="0" applyBorder="1"/>
    <xf numFmtId="0" fontId="0" fillId="0" borderId="24" xfId="0" applyBorder="1"/>
    <xf numFmtId="164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" fontId="6" fillId="0" borderId="41" xfId="0" applyNumberFormat="1" applyFont="1" applyBorder="1" applyAlignment="1">
      <alignment horizontal="center"/>
    </xf>
    <xf numFmtId="2" fontId="6" fillId="0" borderId="41" xfId="0" applyNumberFormat="1" applyFont="1" applyBorder="1" applyAlignment="1">
      <alignment horizontal="right"/>
    </xf>
    <xf numFmtId="1" fontId="6" fillId="0" borderId="37" xfId="0" applyNumberFormat="1" applyFont="1" applyBorder="1" applyAlignment="1">
      <alignment horizontal="center"/>
    </xf>
    <xf numFmtId="165" fontId="6" fillId="0" borderId="46" xfId="0" applyNumberFormat="1" applyFont="1" applyBorder="1" applyAlignment="1">
      <alignment horizontal="center"/>
    </xf>
    <xf numFmtId="164" fontId="6" fillId="0" borderId="44" xfId="0" applyNumberFormat="1" applyFont="1" applyBorder="1" applyAlignment="1">
      <alignment horizontal="center"/>
    </xf>
    <xf numFmtId="165" fontId="6" fillId="0" borderId="45" xfId="0" applyNumberFormat="1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13" fillId="0" borderId="0" xfId="0" applyFont="1" applyAlignment="1">
      <alignment horizontal="center"/>
    </xf>
    <xf numFmtId="167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5" fontId="6" fillId="0" borderId="9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0" fontId="18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0" applyFont="1"/>
    <xf numFmtId="0" fontId="6" fillId="0" borderId="0" xfId="0" applyFont="1" applyAlignment="1">
      <alignment vertical="center"/>
    </xf>
    <xf numFmtId="165" fontId="6" fillId="0" borderId="16" xfId="0" applyNumberFormat="1" applyFont="1" applyBorder="1" applyAlignment="1">
      <alignment horizontal="center" vertical="center"/>
    </xf>
    <xf numFmtId="2" fontId="6" fillId="0" borderId="16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1" fillId="0" borderId="0" xfId="0" applyFont="1"/>
    <xf numFmtId="0" fontId="13" fillId="0" borderId="0" xfId="0" applyFont="1"/>
    <xf numFmtId="0" fontId="6" fillId="0" borderId="0" xfId="0" applyFont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165" fontId="6" fillId="3" borderId="29" xfId="0" applyNumberFormat="1" applyFont="1" applyFill="1" applyBorder="1" applyAlignment="1">
      <alignment horizontal="center" vertical="center"/>
    </xf>
    <xf numFmtId="164" fontId="6" fillId="3" borderId="29" xfId="0" applyNumberFormat="1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1" fontId="6" fillId="0" borderId="47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0" borderId="21" xfId="0" applyNumberFormat="1" applyFont="1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1" fontId="6" fillId="3" borderId="27" xfId="0" applyNumberFormat="1" applyFont="1" applyFill="1" applyBorder="1" applyAlignment="1">
      <alignment horizontal="center" vertical="center"/>
    </xf>
    <xf numFmtId="165" fontId="6" fillId="3" borderId="28" xfId="0" applyNumberFormat="1" applyFont="1" applyFill="1" applyBorder="1" applyAlignment="1">
      <alignment horizontal="center" vertical="center"/>
    </xf>
    <xf numFmtId="164" fontId="6" fillId="3" borderId="28" xfId="0" applyNumberFormat="1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/>
    </xf>
    <xf numFmtId="0" fontId="7" fillId="5" borderId="34" xfId="0" applyFont="1" applyFill="1" applyBorder="1" applyAlignment="1">
      <alignment horizontal="center"/>
    </xf>
    <xf numFmtId="0" fontId="7" fillId="5" borderId="48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11" fillId="0" borderId="28" xfId="0" applyFont="1" applyBorder="1"/>
    <xf numFmtId="1" fontId="6" fillId="0" borderId="17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5" borderId="19" xfId="0" applyFont="1" applyFill="1" applyBorder="1" applyAlignment="1">
      <alignment horizontal="center"/>
    </xf>
    <xf numFmtId="165" fontId="6" fillId="3" borderId="24" xfId="0" applyNumberFormat="1" applyFont="1" applyFill="1" applyBorder="1" applyAlignment="1">
      <alignment horizontal="center" vertical="center"/>
    </xf>
    <xf numFmtId="165" fontId="6" fillId="0" borderId="32" xfId="0" applyNumberFormat="1" applyFont="1" applyBorder="1" applyAlignment="1">
      <alignment horizontal="center" vertical="center"/>
    </xf>
    <xf numFmtId="165" fontId="6" fillId="3" borderId="30" xfId="0" applyNumberFormat="1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/>
    </xf>
    <xf numFmtId="1" fontId="6" fillId="0" borderId="49" xfId="0" applyNumberFormat="1" applyFont="1" applyBorder="1" applyAlignment="1">
      <alignment horizontal="center"/>
    </xf>
    <xf numFmtId="2" fontId="6" fillId="0" borderId="51" xfId="0" applyNumberFormat="1" applyFont="1" applyBorder="1" applyAlignment="1">
      <alignment horizontal="right"/>
    </xf>
    <xf numFmtId="2" fontId="6" fillId="0" borderId="15" xfId="0" applyNumberFormat="1" applyFont="1" applyBorder="1" applyAlignment="1">
      <alignment horizontal="right"/>
    </xf>
    <xf numFmtId="2" fontId="6" fillId="0" borderId="15" xfId="0" applyNumberFormat="1" applyFon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/>
    </xf>
    <xf numFmtId="0" fontId="7" fillId="0" borderId="52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2" fontId="6" fillId="0" borderId="39" xfId="0" applyNumberFormat="1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 wrapText="1"/>
    </xf>
    <xf numFmtId="164" fontId="6" fillId="0" borderId="17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" fontId="6" fillId="0" borderId="12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64" fontId="6" fillId="0" borderId="39" xfId="0" applyNumberFormat="1" applyFont="1" applyBorder="1" applyAlignment="1">
      <alignment horizontal="center"/>
    </xf>
    <xf numFmtId="164" fontId="6" fillId="0" borderId="41" xfId="0" applyNumberFormat="1" applyFont="1" applyBorder="1" applyAlignment="1">
      <alignment horizontal="center"/>
    </xf>
    <xf numFmtId="165" fontId="6" fillId="0" borderId="41" xfId="0" applyNumberFormat="1" applyFont="1" applyBorder="1" applyAlignment="1">
      <alignment horizontal="center"/>
    </xf>
    <xf numFmtId="165" fontId="6" fillId="0" borderId="38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167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3" fillId="0" borderId="0" xfId="0" applyFont="1"/>
    <xf numFmtId="0" fontId="6" fillId="0" borderId="0" xfId="0" applyFont="1" applyAlignment="1">
      <alignment horizontal="left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32"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rgb="FFFF969C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rgb="FFFF969C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rgb="FFFF969C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rgb="FFFF969C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</dxfs>
  <tableStyles count="0" defaultTableStyle="TableStyleMedium2" defaultPivotStyle="PivotStyleLight16"/>
  <colors>
    <mruColors>
      <color rgb="FF0432FF"/>
      <color rgb="FF98CDFF"/>
      <color rgb="FFCCFFCC"/>
      <color rgb="FFFFFF9A"/>
      <color rgb="FFFF9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38100</xdr:colOff>
      <xdr:row>35</xdr:row>
      <xdr:rowOff>419100</xdr:rowOff>
    </xdr:from>
    <xdr:to>
      <xdr:col>25</xdr:col>
      <xdr:colOff>98425</xdr:colOff>
      <xdr:row>36</xdr:row>
      <xdr:rowOff>327025</xdr:rowOff>
    </xdr:to>
    <xdr:sp macro="" textlink="">
      <xdr:nvSpPr>
        <xdr:cNvPr id="2" name="Text Box 58">
          <a:extLst>
            <a:ext uri="{FF2B5EF4-FFF2-40B4-BE49-F238E27FC236}">
              <a16:creationId xmlns:a16="http://schemas.microsoft.com/office/drawing/2014/main" id="{5609B716-2BE9-8E43-AB34-EF86ADE8CD55}"/>
            </a:ext>
          </a:extLst>
        </xdr:cNvPr>
        <xdr:cNvSpPr txBox="1">
          <a:spLocks noChangeArrowheads="1"/>
        </xdr:cNvSpPr>
      </xdr:nvSpPr>
      <xdr:spPr bwMode="auto">
        <a:xfrm>
          <a:off x="22669500" y="10210800"/>
          <a:ext cx="1685925" cy="530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tIns="0" anchor="b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b="0" i="0">
              <a:solidFill>
                <a:srgbClr val="000000"/>
              </a:solidFill>
            </a:rPr>
            <a:t>v = 1-e</a:t>
          </a:r>
          <a:r>
            <a:rPr lang="en-US" b="0" i="0" baseline="50000">
              <a:solidFill>
                <a:srgbClr val="000000"/>
              </a:solidFill>
            </a:rPr>
            <a:t>-Ax</a:t>
          </a:r>
          <a:r>
            <a:rPr lang="en-US" b="0" i="0" baseline="720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23</xdr:col>
      <xdr:colOff>76200</xdr:colOff>
      <xdr:row>30</xdr:row>
      <xdr:rowOff>76200</xdr:rowOff>
    </xdr:from>
    <xdr:to>
      <xdr:col>24</xdr:col>
      <xdr:colOff>652463</xdr:colOff>
      <xdr:row>32</xdr:row>
      <xdr:rowOff>25400</xdr:rowOff>
    </xdr:to>
    <xdr:sp macro="" textlink="">
      <xdr:nvSpPr>
        <xdr:cNvPr id="3" name="Text Box 59">
          <a:extLst>
            <a:ext uri="{FF2B5EF4-FFF2-40B4-BE49-F238E27FC236}">
              <a16:creationId xmlns:a16="http://schemas.microsoft.com/office/drawing/2014/main" id="{EDE79D1A-F800-7D4D-B131-E93FD8CE1B4D}"/>
            </a:ext>
          </a:extLst>
        </xdr:cNvPr>
        <xdr:cNvSpPr txBox="1">
          <a:spLocks noChangeArrowheads="1"/>
        </xdr:cNvSpPr>
      </xdr:nvSpPr>
      <xdr:spPr bwMode="auto">
        <a:xfrm>
          <a:off x="14211300" y="5029200"/>
          <a:ext cx="1249363" cy="279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b="0" i="0">
              <a:solidFill>
                <a:srgbClr val="000000"/>
              </a:solidFill>
            </a:rPr>
            <a:t>v = 1-e</a:t>
          </a:r>
          <a:r>
            <a:rPr lang="en-US" b="0" i="0" baseline="74000">
              <a:solidFill>
                <a:srgbClr val="000000"/>
              </a:solidFill>
            </a:rPr>
            <a:t>-A</a:t>
          </a:r>
        </a:p>
      </xdr:txBody>
    </xdr:sp>
    <xdr:clientData/>
  </xdr:twoCellAnchor>
  <xdr:twoCellAnchor>
    <xdr:from>
      <xdr:col>24</xdr:col>
      <xdr:colOff>520700</xdr:colOff>
      <xdr:row>28</xdr:row>
      <xdr:rowOff>101600</xdr:rowOff>
    </xdr:from>
    <xdr:to>
      <xdr:col>25</xdr:col>
      <xdr:colOff>185738</xdr:colOff>
      <xdr:row>30</xdr:row>
      <xdr:rowOff>180975</xdr:rowOff>
    </xdr:to>
    <xdr:sp macro="" textlink="">
      <xdr:nvSpPr>
        <xdr:cNvPr id="4" name="Text Box 60">
          <a:extLst>
            <a:ext uri="{FF2B5EF4-FFF2-40B4-BE49-F238E27FC236}">
              <a16:creationId xmlns:a16="http://schemas.microsoft.com/office/drawing/2014/main" id="{1666678A-86CF-A746-A36A-87F2C7D0B437}"/>
            </a:ext>
          </a:extLst>
        </xdr:cNvPr>
        <xdr:cNvSpPr txBox="1">
          <a:spLocks noChangeArrowheads="1"/>
        </xdr:cNvSpPr>
      </xdr:nvSpPr>
      <xdr:spPr bwMode="auto">
        <a:xfrm>
          <a:off x="15328900" y="4724400"/>
          <a:ext cx="338138" cy="39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pPr>
            <a:lnSpc>
              <a:spcPts val="1800"/>
            </a:lnSpc>
          </a:pPr>
          <a:r>
            <a:rPr lang="en-US" sz="1600" i="0">
              <a:solidFill>
                <a:srgbClr val="000000"/>
              </a:solidFill>
            </a:rPr>
            <a:t>  x</a:t>
          </a:r>
        </a:p>
        <a:p>
          <a:pPr>
            <a:lnSpc>
              <a:spcPts val="1800"/>
            </a:lnSpc>
          </a:pPr>
          <a:r>
            <a:rPr lang="en-US" sz="1600" i="0">
              <a:solidFill>
                <a:srgbClr val="000000"/>
              </a:solidFill>
            </a:rPr>
            <a:t>1-x</a:t>
          </a:r>
        </a:p>
      </xdr:txBody>
    </xdr:sp>
    <xdr:clientData/>
  </xdr:twoCellAnchor>
  <xdr:twoCellAnchor>
    <xdr:from>
      <xdr:col>24</xdr:col>
      <xdr:colOff>585788</xdr:colOff>
      <xdr:row>29</xdr:row>
      <xdr:rowOff>134676</xdr:rowOff>
    </xdr:from>
    <xdr:to>
      <xdr:col>25</xdr:col>
      <xdr:colOff>77788</xdr:colOff>
      <xdr:row>29</xdr:row>
      <xdr:rowOff>134676</xdr:rowOff>
    </xdr:to>
    <xdr:sp macro="" textlink="">
      <xdr:nvSpPr>
        <xdr:cNvPr id="5" name="Line 61">
          <a:extLst>
            <a:ext uri="{FF2B5EF4-FFF2-40B4-BE49-F238E27FC236}">
              <a16:creationId xmlns:a16="http://schemas.microsoft.com/office/drawing/2014/main" id="{DA6F4C03-43A9-2044-AF38-73EF64FD8E45}"/>
            </a:ext>
          </a:extLst>
        </xdr:cNvPr>
        <xdr:cNvSpPr>
          <a:spLocks noChangeShapeType="1"/>
        </xdr:cNvSpPr>
      </xdr:nvSpPr>
      <xdr:spPr bwMode="auto">
        <a:xfrm>
          <a:off x="15393988" y="4922576"/>
          <a:ext cx="165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25</xdr:col>
      <xdr:colOff>88900</xdr:colOff>
      <xdr:row>28</xdr:row>
      <xdr:rowOff>12700</xdr:rowOff>
    </xdr:from>
    <xdr:to>
      <xdr:col>25</xdr:col>
      <xdr:colOff>401638</xdr:colOff>
      <xdr:row>29</xdr:row>
      <xdr:rowOff>76200</xdr:rowOff>
    </xdr:to>
    <xdr:sp macro="" textlink="">
      <xdr:nvSpPr>
        <xdr:cNvPr id="6" name="Text Box 64">
          <a:extLst>
            <a:ext uri="{FF2B5EF4-FFF2-40B4-BE49-F238E27FC236}">
              <a16:creationId xmlns:a16="http://schemas.microsoft.com/office/drawing/2014/main" id="{970C4F48-F228-C547-902F-04332851E122}"/>
            </a:ext>
          </a:extLst>
        </xdr:cNvPr>
        <xdr:cNvSpPr txBox="1">
          <a:spLocks noChangeArrowheads="1"/>
        </xdr:cNvSpPr>
      </xdr:nvSpPr>
      <xdr:spPr bwMode="auto">
        <a:xfrm>
          <a:off x="15570200" y="4635500"/>
          <a:ext cx="31273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sz="1400" i="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24</xdr:col>
      <xdr:colOff>419100</xdr:colOff>
      <xdr:row>28</xdr:row>
      <xdr:rowOff>177800</xdr:rowOff>
    </xdr:from>
    <xdr:to>
      <xdr:col>25</xdr:col>
      <xdr:colOff>431800</xdr:colOff>
      <xdr:row>30</xdr:row>
      <xdr:rowOff>154112</xdr:rowOff>
    </xdr:to>
    <xdr:sp macro="" textlink="">
      <xdr:nvSpPr>
        <xdr:cNvPr id="7" name="Text Box 64">
          <a:extLst>
            <a:ext uri="{FF2B5EF4-FFF2-40B4-BE49-F238E27FC236}">
              <a16:creationId xmlns:a16="http://schemas.microsoft.com/office/drawing/2014/main" id="{A02E4E7D-D0C4-0C47-9EED-D4792C0F5391}"/>
            </a:ext>
          </a:extLst>
        </xdr:cNvPr>
        <xdr:cNvSpPr txBox="1">
          <a:spLocks noChangeArrowheads="1"/>
        </xdr:cNvSpPr>
      </xdr:nvSpPr>
      <xdr:spPr bwMode="auto">
        <a:xfrm>
          <a:off x="15227300" y="4787900"/>
          <a:ext cx="685800" cy="3192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5pPr>
          <a:lvl6pPr marL="22860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6pPr>
          <a:lvl7pPr marL="27432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7pPr>
          <a:lvl8pPr marL="32004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8pPr>
          <a:lvl9pPr marL="3657600" algn="l" defTabSz="914400" rtl="0" eaLnBrk="1" latinLnBrk="0" hangingPunct="1">
            <a:defRPr sz="2400" b="1" i="1" kern="1200">
              <a:solidFill>
                <a:schemeClr val="bg1"/>
              </a:solidFill>
              <a:latin typeface="Arial" charset="0"/>
              <a:ea typeface="ＭＳ Ｐゴシック" pitchFamily="-111" charset="-128"/>
              <a:cs typeface="+mn-cs"/>
            </a:defRPr>
          </a:lvl9pPr>
        </a:lstStyle>
        <a:p>
          <a:r>
            <a:rPr lang="en-US" sz="2400" i="0">
              <a:solidFill>
                <a:srgbClr val="000000"/>
              </a:solidFill>
            </a:rPr>
            <a:t>(</a:t>
          </a:r>
          <a:r>
            <a:rPr lang="en-US" sz="2400" i="0" baseline="0">
              <a:solidFill>
                <a:srgbClr val="000000"/>
              </a:solidFill>
            </a:rPr>
            <a:t>    )</a:t>
          </a:r>
          <a:endParaRPr lang="en-US" sz="2400" i="0">
            <a:solidFill>
              <a:srgbClr val="000000"/>
            </a:solidFill>
          </a:endParaRPr>
        </a:p>
      </xdr:txBody>
    </xdr:sp>
    <xdr:clientData/>
  </xdr:twoCellAnchor>
  <xdr:twoCellAnchor>
    <xdr:from>
      <xdr:col>19</xdr:col>
      <xdr:colOff>355600</xdr:colOff>
      <xdr:row>21</xdr:row>
      <xdr:rowOff>25400</xdr:rowOff>
    </xdr:from>
    <xdr:to>
      <xdr:col>33</xdr:col>
      <xdr:colOff>457200</xdr:colOff>
      <xdr:row>26</xdr:row>
      <xdr:rowOff>63500</xdr:rowOff>
    </xdr:to>
    <xdr:sp macro="" textlink="">
      <xdr:nvSpPr>
        <xdr:cNvPr id="8" name="Frame 7">
          <a:extLst>
            <a:ext uri="{FF2B5EF4-FFF2-40B4-BE49-F238E27FC236}">
              <a16:creationId xmlns:a16="http://schemas.microsoft.com/office/drawing/2014/main" id="{5FE159FE-F54F-976C-C340-9CB0EC33F359}"/>
            </a:ext>
          </a:extLst>
        </xdr:cNvPr>
        <xdr:cNvSpPr/>
      </xdr:nvSpPr>
      <xdr:spPr>
        <a:xfrm>
          <a:off x="15722600" y="6019800"/>
          <a:ext cx="11214100" cy="15494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C9D4-E374-874B-93FB-C21A18874701}">
  <dimension ref="A1:AY125"/>
  <sheetViews>
    <sheetView tabSelected="1" zoomScaleNormal="100" zoomScaleSheetLayoutView="25" workbookViewId="0">
      <selection sqref="A1:D1"/>
    </sheetView>
  </sheetViews>
  <sheetFormatPr baseColWidth="10" defaultColWidth="8.83203125" defaultRowHeight="13" x14ac:dyDescent="0.15"/>
  <cols>
    <col min="1" max="4" width="8.83203125" customWidth="1"/>
    <col min="5" max="5" width="9.83203125" style="1" customWidth="1"/>
    <col min="6" max="8" width="8.83203125" customWidth="1"/>
    <col min="9" max="9" width="12" bestFit="1" customWidth="1"/>
    <col min="10" max="10" width="10.1640625" customWidth="1"/>
    <col min="11" max="11" width="8.83203125" customWidth="1"/>
    <col min="12" max="12" width="13.5" style="1" customWidth="1"/>
    <col min="13" max="13" width="14.83203125" customWidth="1"/>
    <col min="14" max="14" width="14.83203125" bestFit="1" customWidth="1"/>
    <col min="15" max="15" width="12.83203125" bestFit="1" customWidth="1"/>
    <col min="16" max="16" width="17.5" bestFit="1" customWidth="1"/>
    <col min="17" max="17" width="26.83203125" bestFit="1" customWidth="1"/>
    <col min="18" max="19" width="26.83203125" customWidth="1"/>
    <col min="20" max="20" width="9.33203125" bestFit="1" customWidth="1"/>
    <col min="21" max="21" width="10.5" bestFit="1" customWidth="1"/>
    <col min="22" max="22" width="9.33203125" bestFit="1" customWidth="1"/>
    <col min="23" max="23" width="11.1640625" bestFit="1" customWidth="1"/>
    <col min="24" max="27" width="10.6640625" customWidth="1"/>
    <col min="28" max="28" width="9.33203125" bestFit="1" customWidth="1"/>
    <col min="29" max="29" width="10.33203125" customWidth="1"/>
    <col min="30" max="30" width="10.83203125" bestFit="1" customWidth="1"/>
    <col min="31" max="31" width="10.1640625" bestFit="1" customWidth="1"/>
    <col min="32" max="32" width="9.5" bestFit="1" customWidth="1"/>
    <col min="33" max="33" width="12.6640625" bestFit="1" customWidth="1"/>
    <col min="34" max="35" width="9.5" customWidth="1"/>
    <col min="36" max="36" width="11.83203125" customWidth="1"/>
    <col min="37" max="37" width="11.6640625" customWidth="1"/>
    <col min="38" max="38" width="13.33203125" bestFit="1" customWidth="1"/>
    <col min="39" max="39" width="11.5" bestFit="1" customWidth="1"/>
    <col min="40" max="40" width="14.1640625" bestFit="1" customWidth="1"/>
    <col min="41" max="44" width="8.83203125" customWidth="1"/>
    <col min="45" max="47" width="11.5" bestFit="1" customWidth="1"/>
    <col min="48" max="49" width="11.83203125" customWidth="1"/>
    <col min="50" max="53" width="8.83203125" customWidth="1"/>
    <col min="54" max="54" width="9.83203125" bestFit="1" customWidth="1"/>
    <col min="55" max="55" width="26.5" bestFit="1" customWidth="1"/>
  </cols>
  <sheetData>
    <row r="1" spans="1:51" ht="47.25" customHeight="1" thickBot="1" x14ac:dyDescent="0.3">
      <c r="A1" s="189" t="s">
        <v>19</v>
      </c>
      <c r="B1" s="193"/>
      <c r="C1" s="193"/>
      <c r="D1" s="194"/>
      <c r="E1" s="232" t="s">
        <v>18</v>
      </c>
      <c r="F1" s="233"/>
      <c r="G1" s="182" t="s">
        <v>79</v>
      </c>
      <c r="H1" s="183"/>
      <c r="I1" s="183"/>
      <c r="J1" s="183"/>
      <c r="K1" s="183"/>
      <c r="L1" s="183"/>
      <c r="M1" s="184"/>
      <c r="O1" s="230" t="s">
        <v>18</v>
      </c>
      <c r="P1" s="231"/>
      <c r="Q1" s="228" t="s">
        <v>71</v>
      </c>
      <c r="R1" s="229"/>
      <c r="S1" s="37" t="s">
        <v>91</v>
      </c>
      <c r="T1" s="195" t="s">
        <v>74</v>
      </c>
      <c r="U1" s="196"/>
      <c r="V1" s="196"/>
      <c r="W1" s="197"/>
      <c r="X1" s="187" t="s">
        <v>73</v>
      </c>
      <c r="Y1" s="188"/>
      <c r="AB1" s="187" t="s">
        <v>74</v>
      </c>
      <c r="AC1" s="198"/>
      <c r="AD1" s="198"/>
      <c r="AE1" s="188"/>
      <c r="AF1" s="187" t="s">
        <v>73</v>
      </c>
      <c r="AG1" s="188"/>
    </row>
    <row r="2" spans="1:51" ht="27" thickBot="1" x14ac:dyDescent="0.35">
      <c r="A2" s="35" t="s">
        <v>16</v>
      </c>
      <c r="B2" s="32" t="s">
        <v>15</v>
      </c>
      <c r="C2" s="36" t="s">
        <v>14</v>
      </c>
      <c r="D2" s="31" t="s">
        <v>13</v>
      </c>
      <c r="E2" s="54" t="s">
        <v>12</v>
      </c>
      <c r="F2" s="54" t="s">
        <v>77</v>
      </c>
      <c r="G2" s="32" t="s">
        <v>26</v>
      </c>
      <c r="H2" s="36" t="s">
        <v>11</v>
      </c>
      <c r="I2" s="36" t="s">
        <v>25</v>
      </c>
      <c r="J2" s="36" t="s">
        <v>10</v>
      </c>
      <c r="K2" s="36" t="s">
        <v>24</v>
      </c>
      <c r="L2" s="36" t="s">
        <v>9</v>
      </c>
      <c r="M2" s="31" t="s">
        <v>23</v>
      </c>
      <c r="O2" s="52" t="s">
        <v>7</v>
      </c>
      <c r="P2" s="33" t="s">
        <v>6</v>
      </c>
      <c r="Q2" s="32" t="s">
        <v>22</v>
      </c>
      <c r="R2" s="31" t="s">
        <v>21</v>
      </c>
      <c r="S2" s="54" t="s">
        <v>20</v>
      </c>
      <c r="T2" s="156" t="s">
        <v>15</v>
      </c>
      <c r="U2" s="155" t="s">
        <v>14</v>
      </c>
      <c r="V2" s="155" t="s">
        <v>13</v>
      </c>
      <c r="W2" s="161" t="s">
        <v>72</v>
      </c>
      <c r="X2" s="152" t="s">
        <v>71</v>
      </c>
      <c r="Y2" s="151" t="s">
        <v>17</v>
      </c>
      <c r="AB2" s="152" t="s">
        <v>15</v>
      </c>
      <c r="AC2" s="154" t="s">
        <v>14</v>
      </c>
      <c r="AD2" s="154" t="s">
        <v>13</v>
      </c>
      <c r="AE2" s="153" t="s">
        <v>72</v>
      </c>
      <c r="AF2" s="152" t="s">
        <v>71</v>
      </c>
      <c r="AG2" s="151" t="s">
        <v>17</v>
      </c>
    </row>
    <row r="3" spans="1:51" ht="26" thickBot="1" x14ac:dyDescent="0.3">
      <c r="A3" s="117">
        <v>1</v>
      </c>
      <c r="B3" s="62">
        <f>T4</f>
        <v>3</v>
      </c>
      <c r="C3" s="63">
        <f>U4</f>
        <v>0.93</v>
      </c>
      <c r="D3" s="62">
        <f>V4</f>
        <v>3</v>
      </c>
      <c r="E3" s="111">
        <f t="shared" ref="E3:E28" si="0">SQRT(C3)*D3*(1-C3^(W$3*B3))/(1-C3)</f>
        <v>36.644462004741563</v>
      </c>
      <c r="F3" s="111">
        <f>2.1*E3</f>
        <v>76.953370209957285</v>
      </c>
      <c r="G3" s="66">
        <v>0.25</v>
      </c>
      <c r="H3" s="66">
        <f t="shared" ref="H3:H29" si="1">B3/B$33</f>
        <v>0.42857142857142855</v>
      </c>
      <c r="I3" s="66">
        <v>0.5</v>
      </c>
      <c r="J3" s="66">
        <f t="shared" ref="J3:J29" si="2">C3</f>
        <v>0.93</v>
      </c>
      <c r="K3" s="66">
        <v>0.25</v>
      </c>
      <c r="L3" s="66">
        <f t="shared" ref="L3:L29" si="3">D3/D$33</f>
        <v>0.42857142857142855</v>
      </c>
      <c r="M3" s="62">
        <f>100*((G3*H3)+(I3*J3)+(K3*L3))</f>
        <v>67.928571428571431</v>
      </c>
      <c r="O3" s="112">
        <f>E3-E$31</f>
        <v>-55.49294417981735</v>
      </c>
      <c r="P3" s="111">
        <f t="shared" ref="P3:P29" si="4">O3^2</f>
        <v>3079.4668537443245</v>
      </c>
      <c r="Q3" s="112">
        <f>M3-M$31</f>
        <v>-15.285714285714278</v>
      </c>
      <c r="R3" s="111">
        <f t="shared" ref="R3:R29" si="5">Q3^2</f>
        <v>233.65306122448953</v>
      </c>
      <c r="S3" s="61">
        <f t="shared" ref="S3:S29" si="6">O3*Q3</f>
        <v>848.24928960577904</v>
      </c>
      <c r="T3" s="162">
        <v>1</v>
      </c>
      <c r="U3" s="150">
        <v>0.91</v>
      </c>
      <c r="V3" s="149">
        <v>1</v>
      </c>
      <c r="W3" s="148">
        <v>10</v>
      </c>
      <c r="X3" s="147">
        <f>M32</f>
        <v>0.7359603054359819</v>
      </c>
      <c r="Y3" s="146">
        <f>M67</f>
        <v>0.9847890726601084</v>
      </c>
      <c r="AB3" s="157" t="s">
        <v>75</v>
      </c>
      <c r="AJ3" s="145"/>
      <c r="AK3" s="145"/>
      <c r="AX3" s="145"/>
      <c r="AY3" s="145"/>
    </row>
    <row r="4" spans="1:51" ht="26" thickBot="1" x14ac:dyDescent="0.3">
      <c r="A4" s="89">
        <v>2</v>
      </c>
      <c r="B4" s="124">
        <f>B$3</f>
        <v>3</v>
      </c>
      <c r="C4" s="25">
        <f>C$3</f>
        <v>0.93</v>
      </c>
      <c r="D4" s="124">
        <f>V5</f>
        <v>5</v>
      </c>
      <c r="E4" s="86">
        <f t="shared" si="0"/>
        <v>61.07410334123594</v>
      </c>
      <c r="F4" s="86">
        <f t="shared" ref="F4:F29" si="7">2.1*E4</f>
        <v>128.25561701659547</v>
      </c>
      <c r="G4" s="27">
        <f t="shared" ref="G4:G29" si="8">IF(G$3,G$3,"")</f>
        <v>0.25</v>
      </c>
      <c r="H4" s="27">
        <f t="shared" si="1"/>
        <v>0.42857142857142855</v>
      </c>
      <c r="I4" s="27">
        <f t="shared" ref="I4:I29" si="9">IF(I$3,I$3,"")</f>
        <v>0.5</v>
      </c>
      <c r="J4" s="27">
        <f t="shared" si="2"/>
        <v>0.93</v>
      </c>
      <c r="K4" s="27">
        <f t="shared" ref="K4:K29" si="10">IF(K$3,K$3,"")</f>
        <v>0.25</v>
      </c>
      <c r="L4" s="27">
        <f t="shared" si="3"/>
        <v>0.7142857142857143</v>
      </c>
      <c r="M4" s="124">
        <f>100*((G4*H4)+(I4*J4)+(K4*L4))</f>
        <v>75.071428571428584</v>
      </c>
      <c r="O4" s="87">
        <f>E4-E$31</f>
        <v>-31.063302843322973</v>
      </c>
      <c r="P4" s="86">
        <f t="shared" si="4"/>
        <v>964.92878353599713</v>
      </c>
      <c r="Q4" s="87">
        <f>M4-M$31</f>
        <v>-8.1428571428571246</v>
      </c>
      <c r="R4" s="86">
        <f t="shared" si="5"/>
        <v>66.306122448979295</v>
      </c>
      <c r="S4" s="24">
        <f t="shared" si="6"/>
        <v>252.9440374384865</v>
      </c>
      <c r="T4" s="163">
        <f>T3+T8</f>
        <v>3</v>
      </c>
      <c r="U4" s="223">
        <f>U3+U8</f>
        <v>0.93</v>
      </c>
      <c r="V4" s="224">
        <f>V3+V8</f>
        <v>3</v>
      </c>
      <c r="W4" s="144"/>
      <c r="AB4" s="108"/>
      <c r="AC4" s="107"/>
      <c r="AD4" s="107"/>
      <c r="AE4" s="107"/>
      <c r="AF4" s="106" t="s">
        <v>34</v>
      </c>
      <c r="AG4" s="105"/>
    </row>
    <row r="5" spans="1:51" ht="20" x14ac:dyDescent="0.2">
      <c r="A5" s="89">
        <v>3</v>
      </c>
      <c r="B5" s="124">
        <f>B$3</f>
        <v>3</v>
      </c>
      <c r="C5" s="25">
        <f>C$3</f>
        <v>0.93</v>
      </c>
      <c r="D5" s="124">
        <f>V6</f>
        <v>7</v>
      </c>
      <c r="E5" s="86">
        <f t="shared" si="0"/>
        <v>85.50374467773031</v>
      </c>
      <c r="F5" s="86">
        <f t="shared" si="7"/>
        <v>179.55786382323365</v>
      </c>
      <c r="G5" s="27">
        <f t="shared" si="8"/>
        <v>0.25</v>
      </c>
      <c r="H5" s="27">
        <f t="shared" si="1"/>
        <v>0.42857142857142855</v>
      </c>
      <c r="I5" s="27">
        <f t="shared" si="9"/>
        <v>0.5</v>
      </c>
      <c r="J5" s="27">
        <f t="shared" si="2"/>
        <v>0.93</v>
      </c>
      <c r="K5" s="27">
        <f t="shared" si="10"/>
        <v>0.25</v>
      </c>
      <c r="L5" s="27">
        <f t="shared" si="3"/>
        <v>1</v>
      </c>
      <c r="M5" s="124">
        <f>100*((G5*H5)+(I5*J5)+(K5*L5))</f>
        <v>82.214285714285722</v>
      </c>
      <c r="O5" s="87">
        <f>E5-E$31</f>
        <v>-6.6336615068286022</v>
      </c>
      <c r="P5" s="86">
        <f t="shared" si="4"/>
        <v>44.005464987179522</v>
      </c>
      <c r="Q5" s="87">
        <f>M5-M$31</f>
        <v>-0.99999999999998579</v>
      </c>
      <c r="R5" s="86">
        <f t="shared" si="5"/>
        <v>0.99999999999997158</v>
      </c>
      <c r="S5" s="24">
        <f t="shared" si="6"/>
        <v>6.6336615068285081</v>
      </c>
      <c r="T5" s="163">
        <f>T3+2*T8</f>
        <v>5</v>
      </c>
      <c r="U5" s="223">
        <f>U3+2*U8</f>
        <v>0.95</v>
      </c>
      <c r="V5" s="224">
        <f>V3+2*V8</f>
        <v>5</v>
      </c>
      <c r="W5" s="143"/>
      <c r="X5" s="109"/>
      <c r="AB5" s="104">
        <v>1</v>
      </c>
      <c r="AC5" s="103">
        <v>0.97</v>
      </c>
      <c r="AD5" s="102">
        <v>1</v>
      </c>
      <c r="AE5" s="101">
        <v>10</v>
      </c>
      <c r="AF5" s="100">
        <v>0.97899999999999998</v>
      </c>
      <c r="AG5" s="99">
        <v>0.99567000000000005</v>
      </c>
    </row>
    <row r="6" spans="1:51" ht="21" thickBot="1" x14ac:dyDescent="0.25">
      <c r="A6" s="89">
        <v>4</v>
      </c>
      <c r="B6" s="124">
        <f t="shared" ref="B6:B11" si="11">B$3</f>
        <v>3</v>
      </c>
      <c r="C6" s="25">
        <f>U5</f>
        <v>0.95</v>
      </c>
      <c r="D6" s="124">
        <f>D$3</f>
        <v>3</v>
      </c>
      <c r="E6" s="86">
        <f t="shared" si="0"/>
        <v>45.928526725398889</v>
      </c>
      <c r="F6" s="86">
        <f t="shared" si="7"/>
        <v>96.449906123337669</v>
      </c>
      <c r="G6" s="27">
        <f t="shared" si="8"/>
        <v>0.25</v>
      </c>
      <c r="H6" s="27">
        <f t="shared" si="1"/>
        <v>0.42857142857142855</v>
      </c>
      <c r="I6" s="27">
        <f t="shared" si="9"/>
        <v>0.5</v>
      </c>
      <c r="J6" s="27">
        <f t="shared" si="2"/>
        <v>0.95</v>
      </c>
      <c r="K6" s="27">
        <f t="shared" si="10"/>
        <v>0.25</v>
      </c>
      <c r="L6" s="27">
        <f t="shared" si="3"/>
        <v>0.42857142857142855</v>
      </c>
      <c r="M6" s="124">
        <f>100*((G6*H6)+(I6*J6)+(K6*L6))</f>
        <v>68.928571428571416</v>
      </c>
      <c r="O6" s="87">
        <f>E6-E$31</f>
        <v>-46.208879459160023</v>
      </c>
      <c r="P6" s="86">
        <f t="shared" si="4"/>
        <v>2135.2605408711811</v>
      </c>
      <c r="Q6" s="87">
        <f>M6-M$31</f>
        <v>-14.285714285714292</v>
      </c>
      <c r="R6" s="86">
        <f t="shared" si="5"/>
        <v>204.0816326530614</v>
      </c>
      <c r="S6" s="24">
        <f t="shared" si="6"/>
        <v>660.1268494165721</v>
      </c>
      <c r="T6" s="163">
        <f>T3+3*T8</f>
        <v>7</v>
      </c>
      <c r="U6" s="225">
        <f>U3+3*U8</f>
        <v>0.97</v>
      </c>
      <c r="V6" s="225">
        <f>V3+3*V8</f>
        <v>7</v>
      </c>
      <c r="W6" s="143"/>
      <c r="AB6" s="98">
        <v>3</v>
      </c>
      <c r="AC6" s="97">
        <v>0.99</v>
      </c>
      <c r="AD6" s="96">
        <v>3</v>
      </c>
      <c r="AE6" s="95"/>
      <c r="AF6" s="94"/>
      <c r="AG6" s="93"/>
    </row>
    <row r="7" spans="1:51" ht="19" thickBot="1" x14ac:dyDescent="0.25">
      <c r="A7" s="89">
        <v>5</v>
      </c>
      <c r="B7" s="124">
        <f t="shared" si="11"/>
        <v>3</v>
      </c>
      <c r="C7" s="25">
        <f>C$6</f>
        <v>0.95</v>
      </c>
      <c r="D7" s="124">
        <f>D$4</f>
        <v>5</v>
      </c>
      <c r="E7" s="86">
        <f t="shared" si="0"/>
        <v>76.54754454233148</v>
      </c>
      <c r="F7" s="86">
        <f t="shared" si="7"/>
        <v>160.7498435388961</v>
      </c>
      <c r="G7" s="27">
        <f t="shared" si="8"/>
        <v>0.25</v>
      </c>
      <c r="H7" s="27">
        <f t="shared" si="1"/>
        <v>0.42857142857142855</v>
      </c>
      <c r="I7" s="27">
        <f t="shared" si="9"/>
        <v>0.5</v>
      </c>
      <c r="J7" s="27">
        <f t="shared" si="2"/>
        <v>0.95</v>
      </c>
      <c r="K7" s="27">
        <f t="shared" si="10"/>
        <v>0.25</v>
      </c>
      <c r="L7" s="27">
        <f t="shared" si="3"/>
        <v>0.7142857142857143</v>
      </c>
      <c r="M7" s="124">
        <f>100*((G7*H7)+(I7*J7)+(K7*L7))</f>
        <v>76.071428571428569</v>
      </c>
      <c r="O7" s="87">
        <f>E7-E$31</f>
        <v>-15.589861642227433</v>
      </c>
      <c r="P7" s="86">
        <f t="shared" si="4"/>
        <v>243.04378602379424</v>
      </c>
      <c r="Q7" s="87">
        <f>M7-M$31</f>
        <v>-7.1428571428571388</v>
      </c>
      <c r="R7" s="86">
        <f t="shared" si="5"/>
        <v>51.020408163265245</v>
      </c>
      <c r="S7" s="24">
        <f t="shared" si="6"/>
        <v>111.35615458733875</v>
      </c>
      <c r="T7" s="164">
        <v>9</v>
      </c>
      <c r="U7" s="142">
        <v>0.99</v>
      </c>
      <c r="V7" s="141">
        <v>9</v>
      </c>
      <c r="W7" s="140"/>
    </row>
    <row r="8" spans="1:51" ht="26" thickBot="1" x14ac:dyDescent="0.3">
      <c r="A8" s="89">
        <v>6</v>
      </c>
      <c r="B8" s="124">
        <f t="shared" si="11"/>
        <v>3</v>
      </c>
      <c r="C8" s="25">
        <f>C$6</f>
        <v>0.95</v>
      </c>
      <c r="D8" s="124">
        <f>D$5</f>
        <v>7</v>
      </c>
      <c r="E8" s="86">
        <f t="shared" si="0"/>
        <v>107.16656235926408</v>
      </c>
      <c r="F8" s="86">
        <f t="shared" si="7"/>
        <v>225.04978095445458</v>
      </c>
      <c r="G8" s="27">
        <f t="shared" si="8"/>
        <v>0.25</v>
      </c>
      <c r="H8" s="27">
        <f t="shared" si="1"/>
        <v>0.42857142857142855</v>
      </c>
      <c r="I8" s="27">
        <f t="shared" si="9"/>
        <v>0.5</v>
      </c>
      <c r="J8" s="27">
        <f t="shared" si="2"/>
        <v>0.95</v>
      </c>
      <c r="K8" s="27">
        <f t="shared" si="10"/>
        <v>0.25</v>
      </c>
      <c r="L8" s="27">
        <f t="shared" si="3"/>
        <v>1</v>
      </c>
      <c r="M8" s="124">
        <f t="shared" ref="M8:M29" si="12">IF(K$7,100*((G8*H8)+(I8*J8)+(K8*L8)),"")</f>
        <v>83.214285714285708</v>
      </c>
      <c r="O8" s="87">
        <f>E8-E$31</f>
        <v>15.029156174705165</v>
      </c>
      <c r="P8" s="86">
        <f t="shared" si="4"/>
        <v>225.87553532367838</v>
      </c>
      <c r="Q8" s="87">
        <f>M8-M$31</f>
        <v>0</v>
      </c>
      <c r="R8" s="86">
        <f t="shared" si="5"/>
        <v>0</v>
      </c>
      <c r="S8" s="24">
        <f t="shared" si="6"/>
        <v>0</v>
      </c>
      <c r="T8" s="139">
        <f>(T7-T3)/4</f>
        <v>2</v>
      </c>
      <c r="U8" s="139">
        <f>(U7-U3)/4</f>
        <v>1.999999999999999E-2</v>
      </c>
      <c r="V8" s="139">
        <f>(V7-V3)/4</f>
        <v>2</v>
      </c>
      <c r="W8" s="227" t="s">
        <v>90</v>
      </c>
      <c r="AB8" s="108"/>
      <c r="AC8" s="107"/>
      <c r="AD8" s="107"/>
      <c r="AE8" s="107"/>
      <c r="AF8" s="106" t="s">
        <v>33</v>
      </c>
      <c r="AG8" s="105"/>
    </row>
    <row r="9" spans="1:51" ht="20" x14ac:dyDescent="0.2">
      <c r="A9" s="89">
        <v>7</v>
      </c>
      <c r="B9" s="124">
        <f t="shared" si="11"/>
        <v>3</v>
      </c>
      <c r="C9" s="25">
        <f>U6</f>
        <v>0.97</v>
      </c>
      <c r="D9" s="124">
        <f>D$3</f>
        <v>3</v>
      </c>
      <c r="E9" s="86">
        <f t="shared" si="0"/>
        <v>58.993962061994367</v>
      </c>
      <c r="F9" s="86">
        <f t="shared" si="7"/>
        <v>123.88732033018817</v>
      </c>
      <c r="G9" s="27">
        <f t="shared" si="8"/>
        <v>0.25</v>
      </c>
      <c r="H9" s="27">
        <f t="shared" si="1"/>
        <v>0.42857142857142855</v>
      </c>
      <c r="I9" s="27">
        <f t="shared" si="9"/>
        <v>0.5</v>
      </c>
      <c r="J9" s="27">
        <f t="shared" si="2"/>
        <v>0.97</v>
      </c>
      <c r="K9" s="27">
        <f t="shared" si="10"/>
        <v>0.25</v>
      </c>
      <c r="L9" s="27">
        <f t="shared" si="3"/>
        <v>0.42857142857142855</v>
      </c>
      <c r="M9" s="124">
        <f t="shared" si="12"/>
        <v>69.928571428571416</v>
      </c>
      <c r="O9" s="87">
        <f>E9-E$31</f>
        <v>-33.143444122564546</v>
      </c>
      <c r="P9" s="86">
        <f t="shared" si="4"/>
        <v>1098.4878883055583</v>
      </c>
      <c r="Q9" s="87">
        <f>M9-M$31</f>
        <v>-13.285714285714292</v>
      </c>
      <c r="R9" s="86">
        <f t="shared" si="5"/>
        <v>176.51020408163282</v>
      </c>
      <c r="S9" s="24">
        <f t="shared" si="6"/>
        <v>440.33432905692916</v>
      </c>
      <c r="AB9" s="104">
        <v>1</v>
      </c>
      <c r="AC9" s="103">
        <v>0.94</v>
      </c>
      <c r="AD9" s="102">
        <v>1</v>
      </c>
      <c r="AE9" s="101">
        <v>10</v>
      </c>
      <c r="AF9" s="100">
        <v>0.89700000000000002</v>
      </c>
      <c r="AG9" s="99">
        <v>0.98570000000000002</v>
      </c>
    </row>
    <row r="10" spans="1:51" ht="21" thickBot="1" x14ac:dyDescent="0.25">
      <c r="A10" s="89">
        <v>8</v>
      </c>
      <c r="B10" s="124">
        <f t="shared" si="11"/>
        <v>3</v>
      </c>
      <c r="C10" s="25">
        <f>C$9</f>
        <v>0.97</v>
      </c>
      <c r="D10" s="124">
        <f>D$4</f>
        <v>5</v>
      </c>
      <c r="E10" s="86">
        <f t="shared" si="0"/>
        <v>98.323270103323935</v>
      </c>
      <c r="F10" s="86">
        <f t="shared" si="7"/>
        <v>206.47886721698026</v>
      </c>
      <c r="G10" s="27">
        <f t="shared" si="8"/>
        <v>0.25</v>
      </c>
      <c r="H10" s="27">
        <f t="shared" si="1"/>
        <v>0.42857142857142855</v>
      </c>
      <c r="I10" s="27">
        <f t="shared" si="9"/>
        <v>0.5</v>
      </c>
      <c r="J10" s="27">
        <f t="shared" si="2"/>
        <v>0.97</v>
      </c>
      <c r="K10" s="27">
        <f t="shared" si="10"/>
        <v>0.25</v>
      </c>
      <c r="L10" s="27">
        <f t="shared" si="3"/>
        <v>0.7142857142857143</v>
      </c>
      <c r="M10" s="124">
        <f t="shared" si="12"/>
        <v>77.071428571428569</v>
      </c>
      <c r="O10" s="87">
        <f>E10-E$31</f>
        <v>6.1858639187650226</v>
      </c>
      <c r="P10" s="86">
        <f t="shared" si="4"/>
        <v>38.264912421478961</v>
      </c>
      <c r="Q10" s="87">
        <f>M10-M$31</f>
        <v>-6.1428571428571388</v>
      </c>
      <c r="R10" s="86">
        <f t="shared" si="5"/>
        <v>37.734693877550967</v>
      </c>
      <c r="S10" s="24">
        <f t="shared" si="6"/>
        <v>-37.998878358127968</v>
      </c>
      <c r="T10" s="138" t="s">
        <v>70</v>
      </c>
      <c r="AB10" s="98">
        <v>5</v>
      </c>
      <c r="AC10" s="97">
        <v>0.99</v>
      </c>
      <c r="AD10" s="96">
        <v>5</v>
      </c>
      <c r="AE10" s="95"/>
      <c r="AF10" s="94"/>
      <c r="AG10" s="93"/>
    </row>
    <row r="11" spans="1:51" ht="19" thickBot="1" x14ac:dyDescent="0.25">
      <c r="A11" s="89">
        <v>9</v>
      </c>
      <c r="B11" s="124">
        <f t="shared" si="11"/>
        <v>3</v>
      </c>
      <c r="C11" s="25">
        <f>C$9</f>
        <v>0.97</v>
      </c>
      <c r="D11" s="124">
        <f>D$5</f>
        <v>7</v>
      </c>
      <c r="E11" s="86">
        <f t="shared" si="0"/>
        <v>137.65257814465352</v>
      </c>
      <c r="F11" s="86">
        <f t="shared" si="7"/>
        <v>289.07041410377241</v>
      </c>
      <c r="G11" s="27">
        <f t="shared" si="8"/>
        <v>0.25</v>
      </c>
      <c r="H11" s="27">
        <f t="shared" si="1"/>
        <v>0.42857142857142855</v>
      </c>
      <c r="I11" s="27">
        <f t="shared" si="9"/>
        <v>0.5</v>
      </c>
      <c r="J11" s="27">
        <f t="shared" si="2"/>
        <v>0.97</v>
      </c>
      <c r="K11" s="27">
        <f t="shared" si="10"/>
        <v>0.25</v>
      </c>
      <c r="L11" s="27">
        <f t="shared" si="3"/>
        <v>1</v>
      </c>
      <c r="M11" s="124">
        <f t="shared" si="12"/>
        <v>84.214285714285708</v>
      </c>
      <c r="O11" s="87">
        <f>E11-E$31</f>
        <v>45.515171960094605</v>
      </c>
      <c r="P11" s="86">
        <f t="shared" si="4"/>
        <v>2071.6308785569822</v>
      </c>
      <c r="Q11" s="87">
        <f>M11-M$31</f>
        <v>1</v>
      </c>
      <c r="R11" s="86">
        <f t="shared" si="5"/>
        <v>1</v>
      </c>
      <c r="S11" s="24">
        <f t="shared" si="6"/>
        <v>45.515171960094605</v>
      </c>
      <c r="T11" s="9" t="s">
        <v>69</v>
      </c>
      <c r="AF11" s="109"/>
    </row>
    <row r="12" spans="1:51" ht="26" thickBot="1" x14ac:dyDescent="0.3">
      <c r="A12" s="89">
        <v>10</v>
      </c>
      <c r="B12" s="124">
        <f>T5</f>
        <v>5</v>
      </c>
      <c r="C12" s="25">
        <f t="shared" ref="C12:C29" si="13">C3</f>
        <v>0.93</v>
      </c>
      <c r="D12" s="124">
        <f>D$3</f>
        <v>3</v>
      </c>
      <c r="E12" s="86">
        <f t="shared" si="0"/>
        <v>40.232412657716189</v>
      </c>
      <c r="F12" s="86">
        <f t="shared" si="7"/>
        <v>84.488066581203995</v>
      </c>
      <c r="G12" s="27">
        <f t="shared" si="8"/>
        <v>0.25</v>
      </c>
      <c r="H12" s="27">
        <f t="shared" si="1"/>
        <v>0.7142857142857143</v>
      </c>
      <c r="I12" s="27">
        <f t="shared" si="9"/>
        <v>0.5</v>
      </c>
      <c r="J12" s="27">
        <f t="shared" si="2"/>
        <v>0.93</v>
      </c>
      <c r="K12" s="27">
        <f t="shared" si="10"/>
        <v>0.25</v>
      </c>
      <c r="L12" s="27">
        <f t="shared" si="3"/>
        <v>0.42857142857142855</v>
      </c>
      <c r="M12" s="124">
        <f t="shared" si="12"/>
        <v>75.071428571428569</v>
      </c>
      <c r="O12" s="87">
        <f>E12-E$31</f>
        <v>-51.904993526842723</v>
      </c>
      <c r="P12" s="86">
        <f t="shared" si="4"/>
        <v>2694.1283530215851</v>
      </c>
      <c r="Q12" s="87">
        <f>M12-M$31</f>
        <v>-8.1428571428571388</v>
      </c>
      <c r="R12" s="86">
        <f t="shared" si="5"/>
        <v>66.306122448979522</v>
      </c>
      <c r="S12" s="24">
        <f t="shared" si="6"/>
        <v>422.65494729000483</v>
      </c>
      <c r="T12" s="137" t="s">
        <v>84</v>
      </c>
      <c r="AB12" s="108"/>
      <c r="AC12" s="107"/>
      <c r="AD12" s="107"/>
      <c r="AE12" s="107"/>
      <c r="AF12" s="106" t="s">
        <v>32</v>
      </c>
      <c r="AG12" s="105"/>
    </row>
    <row r="13" spans="1:51" ht="20" x14ac:dyDescent="0.2">
      <c r="A13" s="89">
        <v>11</v>
      </c>
      <c r="B13" s="124">
        <f t="shared" ref="B13:B20" si="14">B$12</f>
        <v>5</v>
      </c>
      <c r="C13" s="25">
        <f t="shared" si="13"/>
        <v>0.93</v>
      </c>
      <c r="D13" s="124">
        <f>D$4</f>
        <v>5</v>
      </c>
      <c r="E13" s="86">
        <f t="shared" si="0"/>
        <v>67.054021096193651</v>
      </c>
      <c r="F13" s="86">
        <f t="shared" si="7"/>
        <v>140.81344430200667</v>
      </c>
      <c r="G13" s="27">
        <f t="shared" si="8"/>
        <v>0.25</v>
      </c>
      <c r="H13" s="27">
        <f t="shared" si="1"/>
        <v>0.7142857142857143</v>
      </c>
      <c r="I13" s="27">
        <f t="shared" si="9"/>
        <v>0.5</v>
      </c>
      <c r="J13" s="27">
        <f t="shared" si="2"/>
        <v>0.93</v>
      </c>
      <c r="K13" s="27">
        <f t="shared" si="10"/>
        <v>0.25</v>
      </c>
      <c r="L13" s="27">
        <f t="shared" si="3"/>
        <v>0.7142857142857143</v>
      </c>
      <c r="M13" s="124">
        <f t="shared" si="12"/>
        <v>82.214285714285722</v>
      </c>
      <c r="O13" s="87">
        <f>E13-E$31</f>
        <v>-25.083385088365262</v>
      </c>
      <c r="P13" s="86">
        <f t="shared" si="4"/>
        <v>629.17620749122477</v>
      </c>
      <c r="Q13" s="87">
        <f>M13-M$31</f>
        <v>-0.99999999999998579</v>
      </c>
      <c r="R13" s="86">
        <f t="shared" si="5"/>
        <v>0.99999999999997158</v>
      </c>
      <c r="S13" s="24">
        <f t="shared" si="6"/>
        <v>25.083385088364906</v>
      </c>
      <c r="T13" s="9"/>
      <c r="AB13" s="104">
        <v>1</v>
      </c>
      <c r="AC13" s="103">
        <v>0.91</v>
      </c>
      <c r="AD13" s="102">
        <v>1</v>
      </c>
      <c r="AE13" s="101">
        <v>10</v>
      </c>
      <c r="AF13" s="100">
        <v>0.73599999999999999</v>
      </c>
      <c r="AG13" s="99">
        <v>0.98479000000000005</v>
      </c>
    </row>
    <row r="14" spans="1:51" ht="21" thickBot="1" x14ac:dyDescent="0.25">
      <c r="A14" s="89">
        <v>12</v>
      </c>
      <c r="B14" s="124">
        <f t="shared" si="14"/>
        <v>5</v>
      </c>
      <c r="C14" s="25">
        <f t="shared" si="13"/>
        <v>0.93</v>
      </c>
      <c r="D14" s="124">
        <f>D$5</f>
        <v>7</v>
      </c>
      <c r="E14" s="86">
        <f t="shared" si="0"/>
        <v>93.87562953467112</v>
      </c>
      <c r="F14" s="86">
        <f t="shared" si="7"/>
        <v>197.13882202280936</v>
      </c>
      <c r="G14" s="27">
        <f t="shared" si="8"/>
        <v>0.25</v>
      </c>
      <c r="H14" s="27">
        <f t="shared" si="1"/>
        <v>0.7142857142857143</v>
      </c>
      <c r="I14" s="27">
        <f t="shared" si="9"/>
        <v>0.5</v>
      </c>
      <c r="J14" s="27">
        <f t="shared" si="2"/>
        <v>0.93</v>
      </c>
      <c r="K14" s="27">
        <f t="shared" si="10"/>
        <v>0.25</v>
      </c>
      <c r="L14" s="27">
        <f t="shared" si="3"/>
        <v>1</v>
      </c>
      <c r="M14" s="124">
        <f t="shared" si="12"/>
        <v>89.357142857142861</v>
      </c>
      <c r="O14" s="87">
        <f>E14-E$31</f>
        <v>1.7382233501122073</v>
      </c>
      <c r="P14" s="86">
        <f t="shared" si="4"/>
        <v>3.0214204148753052</v>
      </c>
      <c r="Q14" s="87">
        <f>M14-M$31</f>
        <v>6.142857142857153</v>
      </c>
      <c r="R14" s="86">
        <f t="shared" si="5"/>
        <v>37.734693877551145</v>
      </c>
      <c r="S14" s="24">
        <f t="shared" si="6"/>
        <v>10.677657722117862</v>
      </c>
      <c r="T14" s="9"/>
      <c r="AB14" s="98">
        <v>9</v>
      </c>
      <c r="AC14" s="97">
        <v>0.99</v>
      </c>
      <c r="AD14" s="96">
        <v>9</v>
      </c>
      <c r="AE14" s="95"/>
      <c r="AF14" s="94"/>
      <c r="AG14" s="93"/>
    </row>
    <row r="15" spans="1:51" ht="18" x14ac:dyDescent="0.2">
      <c r="A15" s="89">
        <v>13</v>
      </c>
      <c r="B15" s="124">
        <f t="shared" si="14"/>
        <v>5</v>
      </c>
      <c r="C15" s="25">
        <f t="shared" si="13"/>
        <v>0.95</v>
      </c>
      <c r="D15" s="124">
        <f>D$3</f>
        <v>3</v>
      </c>
      <c r="E15" s="86">
        <f t="shared" si="0"/>
        <v>53.980964969522532</v>
      </c>
      <c r="F15" s="86">
        <f t="shared" si="7"/>
        <v>113.36002643599733</v>
      </c>
      <c r="G15" s="27">
        <f t="shared" si="8"/>
        <v>0.25</v>
      </c>
      <c r="H15" s="27">
        <f t="shared" si="1"/>
        <v>0.7142857142857143</v>
      </c>
      <c r="I15" s="27">
        <f t="shared" si="9"/>
        <v>0.5</v>
      </c>
      <c r="J15" s="27">
        <f t="shared" si="2"/>
        <v>0.95</v>
      </c>
      <c r="K15" s="27">
        <f t="shared" si="10"/>
        <v>0.25</v>
      </c>
      <c r="L15" s="27">
        <f t="shared" si="3"/>
        <v>0.42857142857142855</v>
      </c>
      <c r="M15" s="124">
        <f t="shared" si="12"/>
        <v>76.071428571428569</v>
      </c>
      <c r="O15" s="87">
        <f>E15-E$31</f>
        <v>-38.156441215036381</v>
      </c>
      <c r="P15" s="86">
        <f t="shared" si="4"/>
        <v>1455.914006196527</v>
      </c>
      <c r="Q15" s="87">
        <f>M15-M$31</f>
        <v>-7.1428571428571388</v>
      </c>
      <c r="R15" s="86">
        <f t="shared" si="5"/>
        <v>51.020408163265245</v>
      </c>
      <c r="S15" s="24">
        <f t="shared" si="6"/>
        <v>272.54600867883113</v>
      </c>
      <c r="T15" s="132"/>
    </row>
    <row r="16" spans="1:51" ht="18" x14ac:dyDescent="0.2">
      <c r="A16" s="89">
        <v>14</v>
      </c>
      <c r="B16" s="124">
        <f t="shared" si="14"/>
        <v>5</v>
      </c>
      <c r="C16" s="25">
        <f t="shared" si="13"/>
        <v>0.95</v>
      </c>
      <c r="D16" s="124">
        <f>D$4</f>
        <v>5</v>
      </c>
      <c r="E16" s="86">
        <f t="shared" si="0"/>
        <v>89.968274949204201</v>
      </c>
      <c r="F16" s="86">
        <f t="shared" si="7"/>
        <v>188.93337739332884</v>
      </c>
      <c r="G16" s="27">
        <f t="shared" si="8"/>
        <v>0.25</v>
      </c>
      <c r="H16" s="27">
        <f t="shared" si="1"/>
        <v>0.7142857142857143</v>
      </c>
      <c r="I16" s="27">
        <f t="shared" si="9"/>
        <v>0.5</v>
      </c>
      <c r="J16" s="27">
        <f t="shared" si="2"/>
        <v>0.95</v>
      </c>
      <c r="K16" s="27">
        <f t="shared" si="10"/>
        <v>0.25</v>
      </c>
      <c r="L16" s="27">
        <f t="shared" si="3"/>
        <v>0.7142857142857143</v>
      </c>
      <c r="M16" s="124">
        <f t="shared" si="12"/>
        <v>83.214285714285722</v>
      </c>
      <c r="O16" s="87">
        <f>E16-E$31</f>
        <v>-2.1691312353547119</v>
      </c>
      <c r="P16" s="86">
        <f t="shared" si="4"/>
        <v>4.7051303161914584</v>
      </c>
      <c r="Q16" s="87">
        <f>M16-M$31</f>
        <v>0</v>
      </c>
      <c r="R16" s="86">
        <f t="shared" si="5"/>
        <v>0</v>
      </c>
      <c r="S16" s="24">
        <f t="shared" si="6"/>
        <v>0</v>
      </c>
      <c r="T16" s="9"/>
      <c r="AK16" s="199"/>
      <c r="AL16" s="199"/>
    </row>
    <row r="17" spans="1:43" ht="20" x14ac:dyDescent="0.2">
      <c r="A17" s="89">
        <v>15</v>
      </c>
      <c r="B17" s="124">
        <f t="shared" si="14"/>
        <v>5</v>
      </c>
      <c r="C17" s="25">
        <f t="shared" si="13"/>
        <v>0.95</v>
      </c>
      <c r="D17" s="124">
        <f>D$5</f>
        <v>7</v>
      </c>
      <c r="E17" s="86">
        <f t="shared" si="0"/>
        <v>125.95558492888588</v>
      </c>
      <c r="F17" s="86">
        <f t="shared" si="7"/>
        <v>264.50672835066035</v>
      </c>
      <c r="G17" s="27">
        <f t="shared" si="8"/>
        <v>0.25</v>
      </c>
      <c r="H17" s="27">
        <f t="shared" si="1"/>
        <v>0.7142857142857143</v>
      </c>
      <c r="I17" s="27">
        <f t="shared" si="9"/>
        <v>0.5</v>
      </c>
      <c r="J17" s="27">
        <f t="shared" si="2"/>
        <v>0.95</v>
      </c>
      <c r="K17" s="27">
        <f t="shared" si="10"/>
        <v>0.25</v>
      </c>
      <c r="L17" s="27">
        <f t="shared" si="3"/>
        <v>1</v>
      </c>
      <c r="M17" s="124">
        <f t="shared" si="12"/>
        <v>90.357142857142861</v>
      </c>
      <c r="O17" s="87">
        <f>E17-E$31</f>
        <v>33.818178744326971</v>
      </c>
      <c r="P17" s="86">
        <f t="shared" si="4"/>
        <v>1143.6692135832486</v>
      </c>
      <c r="Q17" s="87">
        <f>M17-M$31</f>
        <v>7.142857142857153</v>
      </c>
      <c r="R17" s="86">
        <f t="shared" si="5"/>
        <v>51.020408163265451</v>
      </c>
      <c r="S17" s="24">
        <f t="shared" si="6"/>
        <v>241.55841960233585</v>
      </c>
      <c r="T17" s="9"/>
      <c r="AO17" s="38"/>
    </row>
    <row r="18" spans="1:43" ht="21" customHeight="1" x14ac:dyDescent="0.6">
      <c r="A18" s="136">
        <v>16</v>
      </c>
      <c r="B18" s="133">
        <f t="shared" si="14"/>
        <v>5</v>
      </c>
      <c r="C18" s="135">
        <f t="shared" si="13"/>
        <v>0.97</v>
      </c>
      <c r="D18" s="133">
        <f>D$3</f>
        <v>3</v>
      </c>
      <c r="E18" s="91">
        <f t="shared" si="0"/>
        <v>77.011629285041892</v>
      </c>
      <c r="F18" s="91">
        <f t="shared" si="7"/>
        <v>161.72442149858799</v>
      </c>
      <c r="G18" s="134">
        <f t="shared" si="8"/>
        <v>0.25</v>
      </c>
      <c r="H18" s="134">
        <f t="shared" si="1"/>
        <v>0.7142857142857143</v>
      </c>
      <c r="I18" s="134">
        <f t="shared" si="9"/>
        <v>0.5</v>
      </c>
      <c r="J18" s="134">
        <f t="shared" si="2"/>
        <v>0.97</v>
      </c>
      <c r="K18" s="134">
        <f t="shared" si="10"/>
        <v>0.25</v>
      </c>
      <c r="L18" s="134">
        <f t="shared" si="3"/>
        <v>0.42857142857142855</v>
      </c>
      <c r="M18" s="133">
        <f t="shared" si="12"/>
        <v>77.071428571428569</v>
      </c>
      <c r="O18" s="92">
        <f>E18-E$31</f>
        <v>-15.125776899517021</v>
      </c>
      <c r="P18" s="91">
        <f t="shared" si="4"/>
        <v>228.78912681396275</v>
      </c>
      <c r="Q18" s="92">
        <f>M18-M$31</f>
        <v>-6.1428571428571388</v>
      </c>
      <c r="R18" s="91">
        <f t="shared" si="5"/>
        <v>37.734693877550967</v>
      </c>
      <c r="S18" s="90">
        <f t="shared" si="6"/>
        <v>92.915486668461639</v>
      </c>
      <c r="T18" s="9"/>
      <c r="Z18" s="131"/>
      <c r="AA18" s="131"/>
      <c r="AO18" s="127"/>
      <c r="AP18" s="130"/>
      <c r="AQ18" s="130"/>
    </row>
    <row r="19" spans="1:43" ht="20" x14ac:dyDescent="0.2">
      <c r="A19" s="89">
        <v>17</v>
      </c>
      <c r="B19" s="124">
        <f t="shared" si="14"/>
        <v>5</v>
      </c>
      <c r="C19" s="25">
        <f t="shared" si="13"/>
        <v>0.97</v>
      </c>
      <c r="D19" s="124">
        <f>D$4</f>
        <v>5</v>
      </c>
      <c r="E19" s="86">
        <f t="shared" si="0"/>
        <v>128.3527154750698</v>
      </c>
      <c r="F19" s="86">
        <f t="shared" si="7"/>
        <v>269.54070249764658</v>
      </c>
      <c r="G19" s="27">
        <f t="shared" si="8"/>
        <v>0.25</v>
      </c>
      <c r="H19" s="27">
        <f t="shared" si="1"/>
        <v>0.7142857142857143</v>
      </c>
      <c r="I19" s="27">
        <f t="shared" si="9"/>
        <v>0.5</v>
      </c>
      <c r="J19" s="27">
        <f t="shared" si="2"/>
        <v>0.97</v>
      </c>
      <c r="K19" s="27">
        <f t="shared" si="10"/>
        <v>0.25</v>
      </c>
      <c r="L19" s="27">
        <f t="shared" si="3"/>
        <v>0.7142857142857143</v>
      </c>
      <c r="M19" s="124">
        <f t="shared" si="12"/>
        <v>84.214285714285722</v>
      </c>
      <c r="O19" s="87">
        <f>E19-E$31</f>
        <v>36.215309290510888</v>
      </c>
      <c r="P19" s="86">
        <f t="shared" si="4"/>
        <v>1311.5486270073643</v>
      </c>
      <c r="Q19" s="87">
        <f>M19-M$31</f>
        <v>1.0000000000000142</v>
      </c>
      <c r="R19" s="86">
        <f t="shared" si="5"/>
        <v>1.0000000000000284</v>
      </c>
      <c r="S19" s="24">
        <f t="shared" si="6"/>
        <v>36.215309290511399</v>
      </c>
      <c r="T19" s="9"/>
      <c r="AO19" s="38"/>
    </row>
    <row r="20" spans="1:43" ht="23" x14ac:dyDescent="0.25">
      <c r="A20" s="89">
        <v>18</v>
      </c>
      <c r="B20" s="124">
        <f t="shared" si="14"/>
        <v>5</v>
      </c>
      <c r="C20" s="25">
        <f t="shared" si="13"/>
        <v>0.97</v>
      </c>
      <c r="D20" s="124">
        <f>D$5</f>
        <v>7</v>
      </c>
      <c r="E20" s="86">
        <f t="shared" si="0"/>
        <v>179.69380166509774</v>
      </c>
      <c r="F20" s="86">
        <f t="shared" si="7"/>
        <v>377.35698349670525</v>
      </c>
      <c r="G20" s="27">
        <f t="shared" si="8"/>
        <v>0.25</v>
      </c>
      <c r="H20" s="27">
        <f t="shared" si="1"/>
        <v>0.7142857142857143</v>
      </c>
      <c r="I20" s="27">
        <f t="shared" si="9"/>
        <v>0.5</v>
      </c>
      <c r="J20" s="27">
        <f t="shared" si="2"/>
        <v>0.97</v>
      </c>
      <c r="K20" s="27">
        <f t="shared" si="10"/>
        <v>0.25</v>
      </c>
      <c r="L20" s="27">
        <f t="shared" si="3"/>
        <v>1</v>
      </c>
      <c r="M20" s="124">
        <f t="shared" si="12"/>
        <v>91.357142857142861</v>
      </c>
      <c r="O20" s="87">
        <f>E20-E$31</f>
        <v>87.556395480538825</v>
      </c>
      <c r="P20" s="86">
        <f t="shared" si="4"/>
        <v>7666.1223895445191</v>
      </c>
      <c r="Q20" s="87">
        <f>M20-M$31</f>
        <v>8.142857142857153</v>
      </c>
      <c r="R20" s="86">
        <f t="shared" si="5"/>
        <v>66.306122448979764</v>
      </c>
      <c r="S20" s="24">
        <f t="shared" si="6"/>
        <v>712.95922034153136</v>
      </c>
      <c r="T20" s="9"/>
      <c r="U20" s="226" t="s">
        <v>93</v>
      </c>
    </row>
    <row r="21" spans="1:43" ht="18" x14ac:dyDescent="0.2">
      <c r="A21" s="89">
        <v>19</v>
      </c>
      <c r="B21" s="124">
        <f>T6</f>
        <v>7</v>
      </c>
      <c r="C21" s="25">
        <f t="shared" si="13"/>
        <v>0.93</v>
      </c>
      <c r="D21" s="124">
        <f>D$3</f>
        <v>3</v>
      </c>
      <c r="E21" s="86">
        <f t="shared" si="0"/>
        <v>41.072850177425927</v>
      </c>
      <c r="F21" s="86">
        <f t="shared" si="7"/>
        <v>86.252985372594452</v>
      </c>
      <c r="G21" s="27">
        <f t="shared" si="8"/>
        <v>0.25</v>
      </c>
      <c r="H21" s="27">
        <f t="shared" si="1"/>
        <v>1</v>
      </c>
      <c r="I21" s="27">
        <f t="shared" si="9"/>
        <v>0.5</v>
      </c>
      <c r="J21" s="27">
        <f t="shared" si="2"/>
        <v>0.93</v>
      </c>
      <c r="K21" s="27">
        <f t="shared" si="10"/>
        <v>0.25</v>
      </c>
      <c r="L21" s="27">
        <f t="shared" si="3"/>
        <v>0.42857142857142855</v>
      </c>
      <c r="M21" s="124">
        <f t="shared" si="12"/>
        <v>82.214285714285722</v>
      </c>
      <c r="O21" s="87">
        <f>E21-E$31</f>
        <v>-51.064556007132985</v>
      </c>
      <c r="P21" s="86">
        <f t="shared" si="4"/>
        <v>2607.5888802056215</v>
      </c>
      <c r="Q21" s="87">
        <f>M21-M$31</f>
        <v>-0.99999999999998579</v>
      </c>
      <c r="R21" s="86">
        <f t="shared" si="5"/>
        <v>0.99999999999997158</v>
      </c>
      <c r="S21" s="24">
        <f t="shared" si="6"/>
        <v>51.064556007132261</v>
      </c>
    </row>
    <row r="22" spans="1:43" ht="18" x14ac:dyDescent="0.2">
      <c r="A22" s="89">
        <v>20</v>
      </c>
      <c r="B22" s="124">
        <f t="shared" ref="B22:B29" si="15">B$21</f>
        <v>7</v>
      </c>
      <c r="C22" s="25">
        <f t="shared" si="13"/>
        <v>0.93</v>
      </c>
      <c r="D22" s="124">
        <f>D$4</f>
        <v>5</v>
      </c>
      <c r="E22" s="86">
        <f t="shared" si="0"/>
        <v>68.454750295709871</v>
      </c>
      <c r="F22" s="86">
        <f t="shared" si="7"/>
        <v>143.75497562099073</v>
      </c>
      <c r="G22" s="27">
        <f t="shared" si="8"/>
        <v>0.25</v>
      </c>
      <c r="H22" s="27">
        <f t="shared" si="1"/>
        <v>1</v>
      </c>
      <c r="I22" s="27">
        <f t="shared" si="9"/>
        <v>0.5</v>
      </c>
      <c r="J22" s="27">
        <f t="shared" si="2"/>
        <v>0.93</v>
      </c>
      <c r="K22" s="27">
        <f t="shared" si="10"/>
        <v>0.25</v>
      </c>
      <c r="L22" s="27">
        <f t="shared" si="3"/>
        <v>0.7142857142857143</v>
      </c>
      <c r="M22" s="124">
        <f t="shared" si="12"/>
        <v>89.357142857142861</v>
      </c>
      <c r="O22" s="87">
        <f>E22-E$31</f>
        <v>-23.682655888849041</v>
      </c>
      <c r="P22" s="86">
        <f t="shared" si="4"/>
        <v>560.86818994963619</v>
      </c>
      <c r="Q22" s="87">
        <f>M22-M$31</f>
        <v>6.142857142857153</v>
      </c>
      <c r="R22" s="86">
        <f t="shared" si="5"/>
        <v>37.734693877551145</v>
      </c>
      <c r="S22" s="24">
        <f t="shared" si="6"/>
        <v>-145.47917188864434</v>
      </c>
    </row>
    <row r="23" spans="1:43" ht="24" x14ac:dyDescent="0.3">
      <c r="A23" s="89">
        <v>21</v>
      </c>
      <c r="B23" s="124">
        <f t="shared" si="15"/>
        <v>7</v>
      </c>
      <c r="C23" s="25">
        <f t="shared" si="13"/>
        <v>0.93</v>
      </c>
      <c r="D23" s="124">
        <f>D$5</f>
        <v>7</v>
      </c>
      <c r="E23" s="86">
        <f t="shared" si="0"/>
        <v>95.836650413993837</v>
      </c>
      <c r="F23" s="86">
        <f t="shared" si="7"/>
        <v>201.25696586938707</v>
      </c>
      <c r="G23" s="27">
        <f t="shared" si="8"/>
        <v>0.25</v>
      </c>
      <c r="H23" s="27">
        <f t="shared" si="1"/>
        <v>1</v>
      </c>
      <c r="I23" s="27">
        <f t="shared" si="9"/>
        <v>0.5</v>
      </c>
      <c r="J23" s="27">
        <f t="shared" si="2"/>
        <v>0.93</v>
      </c>
      <c r="K23" s="27">
        <f t="shared" si="10"/>
        <v>0.25</v>
      </c>
      <c r="L23" s="27">
        <f t="shared" si="3"/>
        <v>1</v>
      </c>
      <c r="M23" s="124">
        <f t="shared" si="12"/>
        <v>96.500000000000014</v>
      </c>
      <c r="O23" s="87">
        <f>E23-E$31</f>
        <v>3.6992442294349246</v>
      </c>
      <c r="P23" s="86">
        <f t="shared" si="4"/>
        <v>13.68440786900759</v>
      </c>
      <c r="Q23" s="87">
        <f>M23-M$31</f>
        <v>13.285714285714306</v>
      </c>
      <c r="R23" s="86">
        <f t="shared" si="5"/>
        <v>176.51020408163319</v>
      </c>
      <c r="S23" s="24">
        <f t="shared" si="6"/>
        <v>49.147101905349786</v>
      </c>
      <c r="W23" s="38" t="s">
        <v>68</v>
      </c>
      <c r="X23" s="38"/>
      <c r="Y23" s="38"/>
      <c r="Z23" s="74" t="s">
        <v>67</v>
      </c>
      <c r="AA23" s="38"/>
      <c r="AB23" s="38"/>
      <c r="AC23" s="76" t="s">
        <v>66</v>
      </c>
      <c r="AD23" s="38" t="s">
        <v>65</v>
      </c>
      <c r="AE23" s="38"/>
      <c r="AF23" s="74" t="s">
        <v>64</v>
      </c>
    </row>
    <row r="24" spans="1:43" ht="33" x14ac:dyDescent="0.2">
      <c r="A24" s="89">
        <v>22</v>
      </c>
      <c r="B24" s="124">
        <f t="shared" si="15"/>
        <v>7</v>
      </c>
      <c r="C24" s="25">
        <f t="shared" si="13"/>
        <v>0.95</v>
      </c>
      <c r="D24" s="124">
        <f>D$3</f>
        <v>3</v>
      </c>
      <c r="E24" s="86">
        <f t="shared" si="0"/>
        <v>56.867650721105015</v>
      </c>
      <c r="F24" s="86">
        <f t="shared" si="7"/>
        <v>119.42206651432053</v>
      </c>
      <c r="G24" s="27">
        <f t="shared" si="8"/>
        <v>0.25</v>
      </c>
      <c r="H24" s="27">
        <f t="shared" si="1"/>
        <v>1</v>
      </c>
      <c r="I24" s="27">
        <f t="shared" si="9"/>
        <v>0.5</v>
      </c>
      <c r="J24" s="27">
        <f t="shared" si="2"/>
        <v>0.95</v>
      </c>
      <c r="K24" s="27">
        <f t="shared" si="10"/>
        <v>0.25</v>
      </c>
      <c r="L24" s="27">
        <f t="shared" si="3"/>
        <v>0.42857142857142855</v>
      </c>
      <c r="M24" s="124">
        <f t="shared" si="12"/>
        <v>83.214285714285708</v>
      </c>
      <c r="O24" s="87">
        <f>E24-E$31</f>
        <v>-35.269755463453897</v>
      </c>
      <c r="P24" s="86">
        <f t="shared" si="4"/>
        <v>1243.9556504518359</v>
      </c>
      <c r="Q24" s="87">
        <f>M24-M$31</f>
        <v>0</v>
      </c>
      <c r="R24" s="86">
        <f t="shared" si="5"/>
        <v>0</v>
      </c>
      <c r="S24" s="24">
        <f t="shared" si="6"/>
        <v>0</v>
      </c>
      <c r="U24" s="127" t="s">
        <v>63</v>
      </c>
      <c r="V24" s="130"/>
      <c r="W24" s="127" t="s">
        <v>62</v>
      </c>
      <c r="X24" s="127"/>
      <c r="Y24" s="126" t="s">
        <v>59</v>
      </c>
      <c r="Z24" s="126" t="s">
        <v>58</v>
      </c>
      <c r="AA24" s="127"/>
      <c r="AB24" s="129" t="s">
        <v>61</v>
      </c>
      <c r="AC24" s="128" t="s">
        <v>60</v>
      </c>
      <c r="AD24" s="127"/>
      <c r="AE24" s="126" t="s">
        <v>59</v>
      </c>
      <c r="AF24" s="126" t="s">
        <v>58</v>
      </c>
    </row>
    <row r="25" spans="1:43" ht="26" x14ac:dyDescent="0.3">
      <c r="A25" s="89">
        <v>23</v>
      </c>
      <c r="B25" s="124">
        <f t="shared" si="15"/>
        <v>7</v>
      </c>
      <c r="C25" s="25">
        <f t="shared" si="13"/>
        <v>0.95</v>
      </c>
      <c r="D25" s="124">
        <f>D$4</f>
        <v>5</v>
      </c>
      <c r="E25" s="86">
        <f t="shared" si="0"/>
        <v>94.779417868508347</v>
      </c>
      <c r="F25" s="86">
        <f t="shared" si="7"/>
        <v>199.03677752386753</v>
      </c>
      <c r="G25" s="27">
        <f t="shared" si="8"/>
        <v>0.25</v>
      </c>
      <c r="H25" s="27">
        <f t="shared" si="1"/>
        <v>1</v>
      </c>
      <c r="I25" s="27">
        <f t="shared" si="9"/>
        <v>0.5</v>
      </c>
      <c r="J25" s="27">
        <f t="shared" si="2"/>
        <v>0.95</v>
      </c>
      <c r="K25" s="27">
        <f t="shared" si="10"/>
        <v>0.25</v>
      </c>
      <c r="L25" s="27">
        <f t="shared" si="3"/>
        <v>0.7142857142857143</v>
      </c>
      <c r="M25" s="124">
        <f t="shared" si="12"/>
        <v>90.357142857142861</v>
      </c>
      <c r="O25" s="87">
        <f>E25-E$31</f>
        <v>2.6420116839494341</v>
      </c>
      <c r="P25" s="86">
        <f t="shared" si="4"/>
        <v>6.9802257381253243</v>
      </c>
      <c r="Q25" s="87">
        <f>M25-M$31</f>
        <v>7.142857142857153</v>
      </c>
      <c r="R25" s="86">
        <f t="shared" si="5"/>
        <v>51.020408163265451</v>
      </c>
      <c r="S25" s="24">
        <f t="shared" si="6"/>
        <v>18.871512028210269</v>
      </c>
      <c r="V25" s="9"/>
      <c r="W25" s="125" t="s">
        <v>57</v>
      </c>
      <c r="X25" s="38"/>
      <c r="Y25" s="75"/>
      <c r="Z25" s="76">
        <v>27</v>
      </c>
      <c r="AA25" s="38"/>
      <c r="AB25" s="38"/>
      <c r="AC25" s="38" t="s">
        <v>56</v>
      </c>
      <c r="AD25" s="38" t="s">
        <v>55</v>
      </c>
      <c r="AE25" s="38"/>
      <c r="AF25" s="38" t="s">
        <v>54</v>
      </c>
    </row>
    <row r="26" spans="1:43" ht="18" x14ac:dyDescent="0.2">
      <c r="A26" s="89">
        <v>24</v>
      </c>
      <c r="B26" s="124">
        <f t="shared" si="15"/>
        <v>7</v>
      </c>
      <c r="C26" s="25">
        <f t="shared" si="13"/>
        <v>0.95</v>
      </c>
      <c r="D26" s="124">
        <f>D$5</f>
        <v>7</v>
      </c>
      <c r="E26" s="86">
        <f t="shared" si="0"/>
        <v>132.69118501591169</v>
      </c>
      <c r="F26" s="86">
        <f t="shared" si="7"/>
        <v>278.65148853341458</v>
      </c>
      <c r="G26" s="27">
        <f t="shared" si="8"/>
        <v>0.25</v>
      </c>
      <c r="H26" s="27">
        <f t="shared" si="1"/>
        <v>1</v>
      </c>
      <c r="I26" s="27">
        <f t="shared" si="9"/>
        <v>0.5</v>
      </c>
      <c r="J26" s="27">
        <f t="shared" si="2"/>
        <v>0.95</v>
      </c>
      <c r="K26" s="27">
        <f t="shared" si="10"/>
        <v>0.25</v>
      </c>
      <c r="L26" s="27">
        <f t="shared" si="3"/>
        <v>1</v>
      </c>
      <c r="M26" s="124">
        <f t="shared" si="12"/>
        <v>97.5</v>
      </c>
      <c r="O26" s="87">
        <f>E26-E$31</f>
        <v>40.553778831352773</v>
      </c>
      <c r="P26" s="86">
        <f t="shared" si="4"/>
        <v>1644.6089775022763</v>
      </c>
      <c r="Q26" s="87">
        <f>M26-M$31</f>
        <v>14.285714285714292</v>
      </c>
      <c r="R26" s="86">
        <f t="shared" si="5"/>
        <v>204.0816326530614</v>
      </c>
      <c r="S26" s="24">
        <f t="shared" si="6"/>
        <v>579.3396975907541</v>
      </c>
    </row>
    <row r="27" spans="1:43" ht="18" x14ac:dyDescent="0.2">
      <c r="A27" s="89">
        <v>25</v>
      </c>
      <c r="B27" s="124">
        <f t="shared" si="15"/>
        <v>7</v>
      </c>
      <c r="C27" s="25">
        <f t="shared" si="13"/>
        <v>0.97</v>
      </c>
      <c r="D27" s="124">
        <f>D$3</f>
        <v>3</v>
      </c>
      <c r="E27" s="86">
        <f t="shared" si="0"/>
        <v>86.809534793671787</v>
      </c>
      <c r="F27" s="86">
        <f t="shared" si="7"/>
        <v>182.30002306671076</v>
      </c>
      <c r="G27" s="27">
        <f t="shared" si="8"/>
        <v>0.25</v>
      </c>
      <c r="H27" s="27">
        <f t="shared" si="1"/>
        <v>1</v>
      </c>
      <c r="I27" s="27">
        <f t="shared" si="9"/>
        <v>0.5</v>
      </c>
      <c r="J27" s="27">
        <f t="shared" si="2"/>
        <v>0.97</v>
      </c>
      <c r="K27" s="27">
        <f t="shared" si="10"/>
        <v>0.25</v>
      </c>
      <c r="L27" s="27">
        <f t="shared" si="3"/>
        <v>0.42857142857142855</v>
      </c>
      <c r="M27" s="124">
        <f t="shared" si="12"/>
        <v>84.214285714285708</v>
      </c>
      <c r="O27" s="87">
        <f>E27-E$31</f>
        <v>-5.3278713908871254</v>
      </c>
      <c r="P27" s="86">
        <f t="shared" si="4"/>
        <v>28.386213557833511</v>
      </c>
      <c r="Q27" s="87">
        <f>M27-M$31</f>
        <v>1</v>
      </c>
      <c r="R27" s="86">
        <f t="shared" si="5"/>
        <v>1</v>
      </c>
      <c r="S27" s="24">
        <f t="shared" si="6"/>
        <v>-5.3278713908871254</v>
      </c>
    </row>
    <row r="28" spans="1:43" ht="18" x14ac:dyDescent="0.2">
      <c r="A28" s="89">
        <v>26</v>
      </c>
      <c r="B28" s="124">
        <f t="shared" si="15"/>
        <v>7</v>
      </c>
      <c r="C28" s="25">
        <f t="shared" si="13"/>
        <v>0.97</v>
      </c>
      <c r="D28" s="124">
        <f>D$4</f>
        <v>5</v>
      </c>
      <c r="E28" s="86">
        <f t="shared" si="0"/>
        <v>144.68255798945299</v>
      </c>
      <c r="F28" s="86">
        <f t="shared" si="7"/>
        <v>303.83337177785131</v>
      </c>
      <c r="G28" s="27">
        <f t="shared" si="8"/>
        <v>0.25</v>
      </c>
      <c r="H28" s="27">
        <f t="shared" si="1"/>
        <v>1</v>
      </c>
      <c r="I28" s="27">
        <f t="shared" si="9"/>
        <v>0.5</v>
      </c>
      <c r="J28" s="27">
        <f t="shared" si="2"/>
        <v>0.97</v>
      </c>
      <c r="K28" s="27">
        <f t="shared" si="10"/>
        <v>0.25</v>
      </c>
      <c r="L28" s="27">
        <f t="shared" si="3"/>
        <v>0.7142857142857143</v>
      </c>
      <c r="M28" s="124">
        <f t="shared" si="12"/>
        <v>91.357142857142861</v>
      </c>
      <c r="O28" s="87">
        <f>E28-E$31</f>
        <v>52.545151804894076</v>
      </c>
      <c r="P28" s="86">
        <f t="shared" si="4"/>
        <v>2760.9929781993633</v>
      </c>
      <c r="Q28" s="87">
        <f>M28-M$31</f>
        <v>8.142857142857153</v>
      </c>
      <c r="R28" s="86">
        <f t="shared" si="5"/>
        <v>66.306122448979764</v>
      </c>
      <c r="S28" s="24">
        <f t="shared" si="6"/>
        <v>427.86766469699512</v>
      </c>
      <c r="V28" s="81"/>
      <c r="W28" s="81"/>
      <c r="X28" s="81"/>
      <c r="Y28" s="81"/>
    </row>
    <row r="29" spans="1:43" ht="19" thickBot="1" x14ac:dyDescent="0.25">
      <c r="A29" s="85">
        <v>27</v>
      </c>
      <c r="B29" s="123">
        <f t="shared" si="15"/>
        <v>7</v>
      </c>
      <c r="C29" s="15">
        <f t="shared" si="13"/>
        <v>0.97</v>
      </c>
      <c r="D29" s="123">
        <f>D$5</f>
        <v>7</v>
      </c>
      <c r="E29" s="82">
        <f>SQRT(C29)*D29*(1-C29^(B29*10))/(1-C29)</f>
        <v>202.55558118523422</v>
      </c>
      <c r="F29" s="82">
        <f t="shared" si="7"/>
        <v>425.36672048899186</v>
      </c>
      <c r="G29" s="17">
        <f t="shared" si="8"/>
        <v>0.25</v>
      </c>
      <c r="H29" s="17">
        <f t="shared" si="1"/>
        <v>1</v>
      </c>
      <c r="I29" s="17">
        <f t="shared" si="9"/>
        <v>0.5</v>
      </c>
      <c r="J29" s="17">
        <f t="shared" si="2"/>
        <v>0.97</v>
      </c>
      <c r="K29" s="17">
        <f t="shared" si="10"/>
        <v>0.25</v>
      </c>
      <c r="L29" s="17">
        <f t="shared" si="3"/>
        <v>1</v>
      </c>
      <c r="M29" s="123">
        <f t="shared" si="12"/>
        <v>98.5</v>
      </c>
      <c r="O29" s="83">
        <f>E29-E$31</f>
        <v>110.4181750006753</v>
      </c>
      <c r="P29" s="82">
        <f t="shared" si="4"/>
        <v>12192.173370479757</v>
      </c>
      <c r="Q29" s="83">
        <f>M29-M$31</f>
        <v>15.285714285714292</v>
      </c>
      <c r="R29" s="82">
        <f t="shared" si="5"/>
        <v>233.65306122448999</v>
      </c>
      <c r="S29" s="14">
        <f t="shared" si="6"/>
        <v>1687.8206750103232</v>
      </c>
    </row>
    <row r="30" spans="1:43" ht="18" x14ac:dyDescent="0.2">
      <c r="A30" s="80" t="s">
        <v>2</v>
      </c>
      <c r="B30" s="80"/>
      <c r="C30" s="9"/>
      <c r="D30" s="9"/>
      <c r="E30" s="81"/>
      <c r="G30" s="9"/>
      <c r="H30" s="9"/>
      <c r="I30" s="9"/>
      <c r="J30" s="9"/>
      <c r="K30" s="9"/>
      <c r="L30" s="9"/>
      <c r="M30" s="81"/>
      <c r="O30" s="1"/>
      <c r="P30" s="6">
        <f>SUM(P3:P29)</f>
        <v>46097.278012113136</v>
      </c>
      <c r="Q30" s="122"/>
      <c r="R30" s="6">
        <f>SUM(R3:R29)</f>
        <v>1854.7346938775522</v>
      </c>
      <c r="S30" s="6">
        <f>SUM(S3:S29)</f>
        <v>6805.0752138552944</v>
      </c>
    </row>
    <row r="31" spans="1:43" ht="19" thickBot="1" x14ac:dyDescent="0.25">
      <c r="A31" s="80" t="s">
        <v>1</v>
      </c>
      <c r="B31" s="80"/>
      <c r="C31" s="9"/>
      <c r="D31" s="9"/>
      <c r="E31" s="79">
        <f>AVERAGE(E3:E29)</f>
        <v>92.137406184558913</v>
      </c>
      <c r="G31" s="9"/>
      <c r="H31" s="9"/>
      <c r="I31" s="9"/>
      <c r="J31" s="9"/>
      <c r="K31" s="9"/>
      <c r="L31" s="9"/>
      <c r="M31" s="79">
        <f>AVERAGE(M3:M29)</f>
        <v>83.214285714285708</v>
      </c>
    </row>
    <row r="32" spans="1:43" ht="26" thickBot="1" x14ac:dyDescent="0.3">
      <c r="A32" s="5" t="s">
        <v>0</v>
      </c>
      <c r="B32" s="4"/>
      <c r="C32" s="3"/>
      <c r="D32" s="3"/>
      <c r="E32" s="78"/>
      <c r="F32" s="3"/>
      <c r="G32" s="3"/>
      <c r="H32" s="3"/>
      <c r="I32" s="3"/>
      <c r="J32" s="3"/>
      <c r="K32" s="3"/>
      <c r="L32" s="177"/>
      <c r="M32" s="121">
        <f>S30/(SQRT(P30)*SQRT(R30))</f>
        <v>0.7359603054359819</v>
      </c>
      <c r="Q32" s="178" t="s">
        <v>80</v>
      </c>
      <c r="R32" s="179" t="s">
        <v>82</v>
      </c>
      <c r="AA32" s="192" t="s">
        <v>53</v>
      </c>
      <c r="AB32" s="192"/>
      <c r="AC32" s="38" t="s">
        <v>89</v>
      </c>
    </row>
    <row r="33" spans="1:42" ht="20" x14ac:dyDescent="0.2">
      <c r="A33" s="9" t="s">
        <v>52</v>
      </c>
      <c r="B33" s="120">
        <f>MAX(B3:B29)</f>
        <v>7</v>
      </c>
      <c r="C33" s="120">
        <f>MAX(C3:C29)</f>
        <v>0.97</v>
      </c>
      <c r="D33" s="120">
        <f>MAX(D3:D29)</f>
        <v>7</v>
      </c>
      <c r="E33" s="81"/>
      <c r="F33" s="9"/>
      <c r="G33" s="9"/>
      <c r="H33" s="9"/>
      <c r="I33" s="9"/>
      <c r="J33" s="9"/>
      <c r="K33" s="9"/>
      <c r="L33" s="81"/>
      <c r="Q33" s="180" t="s">
        <v>81</v>
      </c>
      <c r="R33" s="181" t="s">
        <v>83</v>
      </c>
      <c r="U33" s="81" t="s">
        <v>46</v>
      </c>
      <c r="V33" s="81" t="s">
        <v>45</v>
      </c>
      <c r="W33" s="81" t="s">
        <v>44</v>
      </c>
      <c r="X33" s="81" t="s">
        <v>43</v>
      </c>
      <c r="Y33" s="81" t="s">
        <v>42</v>
      </c>
      <c r="Z33" s="81" t="s">
        <v>41</v>
      </c>
      <c r="AA33" s="81" t="s">
        <v>40</v>
      </c>
      <c r="AB33" s="81" t="s">
        <v>39</v>
      </c>
      <c r="AC33" s="81" t="s">
        <v>38</v>
      </c>
      <c r="AD33" s="118" t="s">
        <v>37</v>
      </c>
      <c r="AE33" s="118" t="s">
        <v>36</v>
      </c>
    </row>
    <row r="34" spans="1:42" ht="18" x14ac:dyDescent="0.2">
      <c r="U34" s="81">
        <v>0</v>
      </c>
      <c r="V34" s="81">
        <v>1</v>
      </c>
      <c r="W34" s="81">
        <v>0</v>
      </c>
      <c r="X34" s="81">
        <v>1</v>
      </c>
      <c r="Y34" s="81">
        <v>0.95</v>
      </c>
      <c r="Z34" s="81">
        <v>0.98</v>
      </c>
      <c r="AA34" s="81">
        <v>0.5</v>
      </c>
      <c r="AB34" s="81">
        <v>0.9</v>
      </c>
      <c r="AC34" s="81">
        <v>0</v>
      </c>
      <c r="AD34" s="119">
        <f>(LN(AC34-LN(X34-AB34))-LN(AC34-LN(X34-AA34)))/((LN(V34-Y34)-LN(Y34-U34))-(LN(V34-Z34)-LN(Z34-U34)))</f>
        <v>1.2672250780367658</v>
      </c>
      <c r="AE34" s="110">
        <f>(AC34-LN(X34-AA34))/(((Y34-U34)/(V34-Y34))^AD34)</f>
        <v>1.660951033821529E-2</v>
      </c>
    </row>
    <row r="35" spans="1:42" ht="24" customHeight="1" thickBot="1" x14ac:dyDescent="0.25">
      <c r="U35" s="81" t="s">
        <v>51</v>
      </c>
      <c r="V35" s="81" t="s">
        <v>50</v>
      </c>
      <c r="W35" s="81" t="s">
        <v>49</v>
      </c>
      <c r="X35" s="81" t="s">
        <v>48</v>
      </c>
      <c r="Y35" s="200" t="s">
        <v>47</v>
      </c>
      <c r="Z35" s="200"/>
      <c r="AA35" s="200"/>
      <c r="AB35" s="200"/>
    </row>
    <row r="36" spans="1:42" ht="49" customHeight="1" thickBot="1" x14ac:dyDescent="0.25">
      <c r="A36" s="189" t="s">
        <v>19</v>
      </c>
      <c r="B36" s="190"/>
      <c r="C36" s="190"/>
      <c r="D36" s="191"/>
      <c r="E36" s="230" t="s">
        <v>18</v>
      </c>
      <c r="F36" s="236"/>
      <c r="G36" s="201" t="s">
        <v>87</v>
      </c>
      <c r="H36" s="222"/>
      <c r="I36" s="222"/>
      <c r="J36" s="222"/>
      <c r="K36" s="222"/>
      <c r="L36" s="222"/>
      <c r="M36" s="222"/>
      <c r="N36" s="202"/>
      <c r="O36" s="230" t="s">
        <v>18</v>
      </c>
      <c r="P36" s="231"/>
      <c r="Q36" s="228" t="s">
        <v>17</v>
      </c>
      <c r="R36" s="229"/>
      <c r="S36" s="234" t="s">
        <v>92</v>
      </c>
      <c r="U36" s="81"/>
      <c r="V36" s="81"/>
      <c r="W36" s="81"/>
      <c r="X36" s="81"/>
      <c r="Y36" s="81"/>
      <c r="Z36" s="81"/>
      <c r="AA36" s="81"/>
      <c r="AB36" s="81"/>
      <c r="AC36" s="81"/>
    </row>
    <row r="37" spans="1:42" ht="27" thickBot="1" x14ac:dyDescent="0.35">
      <c r="A37" s="54" t="s">
        <v>16</v>
      </c>
      <c r="B37" s="52" t="s">
        <v>15</v>
      </c>
      <c r="C37" s="53" t="s">
        <v>14</v>
      </c>
      <c r="D37" s="33" t="s">
        <v>13</v>
      </c>
      <c r="E37" s="165" t="s">
        <v>12</v>
      </c>
      <c r="F37" s="160" t="s">
        <v>78</v>
      </c>
      <c r="G37" s="171" t="s">
        <v>11</v>
      </c>
      <c r="H37" s="172"/>
      <c r="I37" s="172" t="s">
        <v>10</v>
      </c>
      <c r="J37" s="172"/>
      <c r="K37" s="172" t="s">
        <v>9</v>
      </c>
      <c r="L37" s="172"/>
      <c r="M37" s="172" t="s">
        <v>8</v>
      </c>
      <c r="N37" s="173" t="s">
        <v>76</v>
      </c>
      <c r="O37" s="34" t="s">
        <v>7</v>
      </c>
      <c r="P37" s="31" t="s">
        <v>6</v>
      </c>
      <c r="Q37" s="32" t="s">
        <v>30</v>
      </c>
      <c r="R37" s="31" t="s">
        <v>29</v>
      </c>
      <c r="S37" s="54" t="s">
        <v>28</v>
      </c>
      <c r="AA37" s="192" t="s">
        <v>15</v>
      </c>
      <c r="AB37" s="192"/>
      <c r="AC37" s="38" t="s">
        <v>88</v>
      </c>
    </row>
    <row r="38" spans="1:42" ht="18" x14ac:dyDescent="0.2">
      <c r="A38" s="117">
        <v>1</v>
      </c>
      <c r="B38" s="116">
        <f t="shared" ref="B38:F47" si="16">B3</f>
        <v>3</v>
      </c>
      <c r="C38" s="115">
        <f t="shared" si="16"/>
        <v>0.93</v>
      </c>
      <c r="D38" s="114">
        <f t="shared" si="16"/>
        <v>3</v>
      </c>
      <c r="E38" s="113">
        <f t="shared" si="16"/>
        <v>36.644462004741563</v>
      </c>
      <c r="F38" s="166">
        <f t="shared" si="16"/>
        <v>76.953370209957285</v>
      </c>
      <c r="G38" s="174">
        <f>1-EXP(-AE$39*B38^AD$39)</f>
        <v>0.52735488238448791</v>
      </c>
      <c r="H38" s="66"/>
      <c r="I38" s="66">
        <f t="shared" ref="I38:I64" si="17">1-EXP(-AE$34*(C38/(1-C38))^AD$34)</f>
        <v>0.35628058386134998</v>
      </c>
      <c r="J38" s="66"/>
      <c r="K38" s="66">
        <f t="shared" ref="K38:K64" si="18">D38</f>
        <v>3</v>
      </c>
      <c r="L38" s="66"/>
      <c r="M38" s="111">
        <f t="shared" ref="M38:M64" si="19">50*G38*I38*K38</f>
        <v>28.182945809711835</v>
      </c>
      <c r="N38" s="61">
        <f>2*M38</f>
        <v>56.365891619423671</v>
      </c>
      <c r="O38" s="167">
        <f t="shared" ref="O38:O64" si="20">E38-E$66</f>
        <v>-55.49294417981735</v>
      </c>
      <c r="P38" s="111">
        <f t="shared" ref="P38:P64" si="21">O38^2</f>
        <v>3079.4668537443245</v>
      </c>
      <c r="Q38" s="112">
        <f t="shared" ref="Q38:Q64" si="22">M38-N$66</f>
        <v>-65.602826398596662</v>
      </c>
      <c r="R38" s="111">
        <f t="shared" ref="R38:R64" si="23">Q38^2</f>
        <v>4303.7308314844113</v>
      </c>
      <c r="S38" s="61">
        <f t="shared" ref="S38:S64" si="24">O38*Q38</f>
        <v>3640.4939833755725</v>
      </c>
      <c r="U38" s="81" t="s">
        <v>46</v>
      </c>
      <c r="V38" s="81" t="s">
        <v>45</v>
      </c>
      <c r="W38" s="81" t="s">
        <v>44</v>
      </c>
      <c r="X38" s="81" t="s">
        <v>43</v>
      </c>
      <c r="Y38" s="81" t="s">
        <v>42</v>
      </c>
      <c r="Z38" s="81" t="s">
        <v>41</v>
      </c>
      <c r="AA38" s="81" t="s">
        <v>40</v>
      </c>
      <c r="AB38" s="81" t="s">
        <v>39</v>
      </c>
      <c r="AC38" s="81" t="s">
        <v>38</v>
      </c>
      <c r="AD38" s="118" t="s">
        <v>37</v>
      </c>
      <c r="AE38" s="118" t="s">
        <v>36</v>
      </c>
    </row>
    <row r="39" spans="1:42" ht="18" x14ac:dyDescent="0.2">
      <c r="A39" s="89">
        <v>2</v>
      </c>
      <c r="B39" s="28">
        <f t="shared" si="16"/>
        <v>3</v>
      </c>
      <c r="C39" s="25">
        <f t="shared" si="16"/>
        <v>0.93</v>
      </c>
      <c r="D39" s="48">
        <f t="shared" si="16"/>
        <v>5</v>
      </c>
      <c r="E39" s="88">
        <f t="shared" si="16"/>
        <v>61.07410334123594</v>
      </c>
      <c r="F39" s="158">
        <f t="shared" si="16"/>
        <v>128.25561701659547</v>
      </c>
      <c r="G39" s="175">
        <f>1-EXP(-AE$39*B39^AD$39)</f>
        <v>0.52735488238448791</v>
      </c>
      <c r="H39" s="27"/>
      <c r="I39" s="27">
        <f t="shared" si="17"/>
        <v>0.35628058386134998</v>
      </c>
      <c r="J39" s="27"/>
      <c r="K39" s="27">
        <f t="shared" si="18"/>
        <v>5</v>
      </c>
      <c r="L39" s="27"/>
      <c r="M39" s="86">
        <f t="shared" si="19"/>
        <v>46.971576349519722</v>
      </c>
      <c r="N39" s="24">
        <f t="shared" ref="N39:N64" si="25">2*M39</f>
        <v>93.943152699039445</v>
      </c>
      <c r="O39" s="168">
        <f t="shared" si="20"/>
        <v>-31.063302843322973</v>
      </c>
      <c r="P39" s="86">
        <f t="shared" si="21"/>
        <v>964.92878353599713</v>
      </c>
      <c r="Q39" s="87">
        <f t="shared" si="22"/>
        <v>-46.814195858788779</v>
      </c>
      <c r="R39" s="86">
        <f t="shared" si="23"/>
        <v>2191.5689339050364</v>
      </c>
      <c r="S39" s="24">
        <f t="shared" si="24"/>
        <v>1454.2035433281919</v>
      </c>
      <c r="U39" s="81">
        <v>0</v>
      </c>
      <c r="V39" s="81" t="s">
        <v>35</v>
      </c>
      <c r="W39" s="81">
        <v>0</v>
      </c>
      <c r="X39" s="81">
        <v>1</v>
      </c>
      <c r="Y39" s="81">
        <v>1</v>
      </c>
      <c r="Z39" s="81">
        <v>6</v>
      </c>
      <c r="AA39" s="81">
        <v>0.2</v>
      </c>
      <c r="AB39" s="81">
        <v>0.8</v>
      </c>
      <c r="AC39" s="81">
        <v>0</v>
      </c>
      <c r="AD39" s="110">
        <f>(LN(AC39-LN(X39-AB39))-LN(AC39-LN(X39-AA39)))/(LN(Z39-U39)-LN(Y39-U39))</f>
        <v>1.1027289187079741</v>
      </c>
      <c r="AE39" s="110">
        <f>(AC39-LN(X39-AA39))/((Y39-U39)^AD39)</f>
        <v>0.22314355131420971</v>
      </c>
    </row>
    <row r="40" spans="1:42" ht="18" x14ac:dyDescent="0.2">
      <c r="A40" s="89">
        <v>3</v>
      </c>
      <c r="B40" s="28">
        <f t="shared" si="16"/>
        <v>3</v>
      </c>
      <c r="C40" s="25">
        <f t="shared" si="16"/>
        <v>0.93</v>
      </c>
      <c r="D40" s="48">
        <f t="shared" si="16"/>
        <v>7</v>
      </c>
      <c r="E40" s="88">
        <f t="shared" si="16"/>
        <v>85.50374467773031</v>
      </c>
      <c r="F40" s="158">
        <f t="shared" si="16"/>
        <v>179.55786382323365</v>
      </c>
      <c r="G40" s="175">
        <f>1-EXP(-AE$39*B40^AD$39)</f>
        <v>0.52735488238448791</v>
      </c>
      <c r="H40" s="27"/>
      <c r="I40" s="27">
        <f t="shared" si="17"/>
        <v>0.35628058386134998</v>
      </c>
      <c r="J40" s="27"/>
      <c r="K40" s="27">
        <f t="shared" si="18"/>
        <v>7</v>
      </c>
      <c r="L40" s="27"/>
      <c r="M40" s="86">
        <f t="shared" si="19"/>
        <v>65.76020688932762</v>
      </c>
      <c r="N40" s="24">
        <f t="shared" si="25"/>
        <v>131.52041377865524</v>
      </c>
      <c r="O40" s="168">
        <f t="shared" si="20"/>
        <v>-6.6336615068286022</v>
      </c>
      <c r="P40" s="86">
        <f t="shared" si="21"/>
        <v>44.005464987179522</v>
      </c>
      <c r="Q40" s="87">
        <f t="shared" si="22"/>
        <v>-28.025565318980881</v>
      </c>
      <c r="R40" s="86">
        <f t="shared" si="23"/>
        <v>785.43231144846391</v>
      </c>
      <c r="S40" s="24">
        <f t="shared" si="24"/>
        <v>185.91211386363412</v>
      </c>
    </row>
    <row r="41" spans="1:42" ht="18" x14ac:dyDescent="0.2">
      <c r="A41" s="89">
        <v>4</v>
      </c>
      <c r="B41" s="28">
        <f t="shared" si="16"/>
        <v>3</v>
      </c>
      <c r="C41" s="25">
        <f t="shared" si="16"/>
        <v>0.95</v>
      </c>
      <c r="D41" s="48">
        <f t="shared" si="16"/>
        <v>3</v>
      </c>
      <c r="E41" s="88">
        <f t="shared" si="16"/>
        <v>45.928526725398889</v>
      </c>
      <c r="F41" s="158">
        <f t="shared" si="16"/>
        <v>96.449906123337669</v>
      </c>
      <c r="G41" s="175">
        <f>1-EXP(-AE$39*B41^AD$39)</f>
        <v>0.52735488238448791</v>
      </c>
      <c r="H41" s="27"/>
      <c r="I41" s="27">
        <f t="shared" si="17"/>
        <v>0.5</v>
      </c>
      <c r="J41" s="27"/>
      <c r="K41" s="27">
        <f t="shared" si="18"/>
        <v>3</v>
      </c>
      <c r="L41" s="27"/>
      <c r="M41" s="86">
        <f t="shared" si="19"/>
        <v>39.551616178836589</v>
      </c>
      <c r="N41" s="24">
        <f t="shared" si="25"/>
        <v>79.103232357673178</v>
      </c>
      <c r="O41" s="168">
        <f t="shared" si="20"/>
        <v>-46.208879459160023</v>
      </c>
      <c r="P41" s="86">
        <f t="shared" si="21"/>
        <v>2135.2605408711811</v>
      </c>
      <c r="Q41" s="87">
        <f t="shared" si="22"/>
        <v>-54.234156029471912</v>
      </c>
      <c r="R41" s="86">
        <f t="shared" si="23"/>
        <v>2941.3436802291044</v>
      </c>
      <c r="S41" s="24">
        <f t="shared" si="24"/>
        <v>2506.0995785351442</v>
      </c>
    </row>
    <row r="42" spans="1:42" ht="18" x14ac:dyDescent="0.2">
      <c r="A42" s="89">
        <v>5</v>
      </c>
      <c r="B42" s="28">
        <f t="shared" si="16"/>
        <v>3</v>
      </c>
      <c r="C42" s="25">
        <f t="shared" si="16"/>
        <v>0.95</v>
      </c>
      <c r="D42" s="48">
        <f t="shared" si="16"/>
        <v>5</v>
      </c>
      <c r="E42" s="88">
        <f t="shared" si="16"/>
        <v>76.54754454233148</v>
      </c>
      <c r="F42" s="158">
        <f t="shared" si="16"/>
        <v>160.7498435388961</v>
      </c>
      <c r="G42" s="175">
        <f>1-EXP(-AE$39*B42^AD$39)</f>
        <v>0.52735488238448791</v>
      </c>
      <c r="H42" s="27"/>
      <c r="I42" s="27">
        <f t="shared" si="17"/>
        <v>0.5</v>
      </c>
      <c r="J42" s="27"/>
      <c r="K42" s="27">
        <f t="shared" si="18"/>
        <v>5</v>
      </c>
      <c r="L42" s="27"/>
      <c r="M42" s="86">
        <f t="shared" si="19"/>
        <v>65.91936029806098</v>
      </c>
      <c r="N42" s="24">
        <f t="shared" si="25"/>
        <v>131.83872059612196</v>
      </c>
      <c r="O42" s="168">
        <f t="shared" si="20"/>
        <v>-15.589861642227433</v>
      </c>
      <c r="P42" s="86">
        <f t="shared" si="21"/>
        <v>243.04378602379424</v>
      </c>
      <c r="Q42" s="87">
        <f t="shared" si="22"/>
        <v>-27.866411910247521</v>
      </c>
      <c r="R42" s="86">
        <f t="shared" si="23"/>
        <v>776.53691275158485</v>
      </c>
      <c r="S42" s="24">
        <f t="shared" si="24"/>
        <v>434.43350614607749</v>
      </c>
    </row>
    <row r="43" spans="1:42" ht="18" x14ac:dyDescent="0.2">
      <c r="A43" s="89">
        <v>6</v>
      </c>
      <c r="B43" s="28">
        <f t="shared" si="16"/>
        <v>3</v>
      </c>
      <c r="C43" s="25">
        <f t="shared" si="16"/>
        <v>0.95</v>
      </c>
      <c r="D43" s="48">
        <f t="shared" si="16"/>
        <v>7</v>
      </c>
      <c r="E43" s="88">
        <f t="shared" si="16"/>
        <v>107.16656235926408</v>
      </c>
      <c r="F43" s="158">
        <f t="shared" si="16"/>
        <v>225.04978095445458</v>
      </c>
      <c r="G43" s="175">
        <f>1-EXP(-AE$39*B43^AD$39)</f>
        <v>0.52735488238448791</v>
      </c>
      <c r="H43" s="27"/>
      <c r="I43" s="27">
        <f t="shared" si="17"/>
        <v>0.5</v>
      </c>
      <c r="J43" s="27"/>
      <c r="K43" s="27">
        <f t="shared" si="18"/>
        <v>7</v>
      </c>
      <c r="L43" s="27"/>
      <c r="M43" s="86">
        <f t="shared" si="19"/>
        <v>92.287104417285377</v>
      </c>
      <c r="N43" s="24">
        <f t="shared" si="25"/>
        <v>184.57420883457075</v>
      </c>
      <c r="O43" s="168">
        <f t="shared" si="20"/>
        <v>15.029156174705165</v>
      </c>
      <c r="P43" s="86">
        <f t="shared" si="21"/>
        <v>225.87553532367838</v>
      </c>
      <c r="Q43" s="87">
        <f t="shared" si="22"/>
        <v>-1.4986677910231236</v>
      </c>
      <c r="R43" s="86">
        <f t="shared" si="23"/>
        <v>2.2460051478501288</v>
      </c>
      <c r="S43" s="24">
        <f t="shared" si="24"/>
        <v>-22.523712285286926</v>
      </c>
      <c r="AK43" s="81"/>
      <c r="AL43" s="81"/>
      <c r="AM43" s="81"/>
      <c r="AN43" s="81"/>
      <c r="AO43" s="81"/>
      <c r="AP43" s="81"/>
    </row>
    <row r="44" spans="1:42" ht="18" x14ac:dyDescent="0.2">
      <c r="A44" s="89">
        <v>7</v>
      </c>
      <c r="B44" s="28">
        <f t="shared" si="16"/>
        <v>3</v>
      </c>
      <c r="C44" s="25">
        <f t="shared" si="16"/>
        <v>0.97</v>
      </c>
      <c r="D44" s="48">
        <f t="shared" si="16"/>
        <v>3</v>
      </c>
      <c r="E44" s="88">
        <f t="shared" si="16"/>
        <v>58.993962061994367</v>
      </c>
      <c r="F44" s="158">
        <f t="shared" si="16"/>
        <v>123.88732033018817</v>
      </c>
      <c r="G44" s="175">
        <f>1-EXP(-AE$39*B44^AD$39)</f>
        <v>0.52735488238448791</v>
      </c>
      <c r="H44" s="27"/>
      <c r="I44" s="27">
        <f t="shared" si="17"/>
        <v>0.74324668248818893</v>
      </c>
      <c r="J44" s="27"/>
      <c r="K44" s="27">
        <f t="shared" si="18"/>
        <v>3</v>
      </c>
      <c r="L44" s="27"/>
      <c r="M44" s="86">
        <f t="shared" si="19"/>
        <v>58.793215023932945</v>
      </c>
      <c r="N44" s="24">
        <f t="shared" si="25"/>
        <v>117.58643004786589</v>
      </c>
      <c r="O44" s="168">
        <f t="shared" si="20"/>
        <v>-33.143444122564546</v>
      </c>
      <c r="P44" s="86">
        <f t="shared" si="21"/>
        <v>1098.4878883055583</v>
      </c>
      <c r="Q44" s="87">
        <f t="shared" si="22"/>
        <v>-34.992557184375556</v>
      </c>
      <c r="R44" s="86">
        <f t="shared" si="23"/>
        <v>1224.4790583017934</v>
      </c>
      <c r="S44" s="24">
        <f t="shared" si="24"/>
        <v>1159.7738637459959</v>
      </c>
    </row>
    <row r="45" spans="1:42" ht="18" x14ac:dyDescent="0.2">
      <c r="A45" s="89">
        <v>8</v>
      </c>
      <c r="B45" s="28">
        <f t="shared" si="16"/>
        <v>3</v>
      </c>
      <c r="C45" s="25">
        <f t="shared" si="16"/>
        <v>0.97</v>
      </c>
      <c r="D45" s="48">
        <f t="shared" si="16"/>
        <v>5</v>
      </c>
      <c r="E45" s="88">
        <f t="shared" si="16"/>
        <v>98.323270103323935</v>
      </c>
      <c r="F45" s="158">
        <f t="shared" si="16"/>
        <v>206.47886721698026</v>
      </c>
      <c r="G45" s="175">
        <f>1-EXP(-AE$39*B45^AD$39)</f>
        <v>0.52735488238448791</v>
      </c>
      <c r="H45" s="27"/>
      <c r="I45" s="27">
        <f t="shared" si="17"/>
        <v>0.74324668248818893</v>
      </c>
      <c r="J45" s="27"/>
      <c r="K45" s="27">
        <f t="shared" si="18"/>
        <v>5</v>
      </c>
      <c r="L45" s="27"/>
      <c r="M45" s="86">
        <f t="shared" si="19"/>
        <v>97.988691706554917</v>
      </c>
      <c r="N45" s="24">
        <f t="shared" si="25"/>
        <v>195.97738341310983</v>
      </c>
      <c r="O45" s="168">
        <f t="shared" si="20"/>
        <v>6.1858639187650226</v>
      </c>
      <c r="P45" s="86">
        <f t="shared" si="21"/>
        <v>38.264912421478961</v>
      </c>
      <c r="Q45" s="87">
        <f t="shared" si="22"/>
        <v>4.2029194982464162</v>
      </c>
      <c r="R45" s="86">
        <f t="shared" si="23"/>
        <v>17.664532308739908</v>
      </c>
      <c r="S45" s="24">
        <f t="shared" si="24"/>
        <v>25.998688077676498</v>
      </c>
    </row>
    <row r="46" spans="1:42" ht="18" x14ac:dyDescent="0.2">
      <c r="A46" s="89">
        <v>9</v>
      </c>
      <c r="B46" s="28">
        <f t="shared" si="16"/>
        <v>3</v>
      </c>
      <c r="C46" s="25">
        <f t="shared" si="16"/>
        <v>0.97</v>
      </c>
      <c r="D46" s="48">
        <f t="shared" si="16"/>
        <v>7</v>
      </c>
      <c r="E46" s="88">
        <f t="shared" si="16"/>
        <v>137.65257814465352</v>
      </c>
      <c r="F46" s="158">
        <f t="shared" si="16"/>
        <v>289.07041410377241</v>
      </c>
      <c r="G46" s="175">
        <f>1-EXP(-AE$39*B46^AD$39)</f>
        <v>0.52735488238448791</v>
      </c>
      <c r="H46" s="27"/>
      <c r="I46" s="27">
        <f t="shared" si="17"/>
        <v>0.74324668248818893</v>
      </c>
      <c r="J46" s="27"/>
      <c r="K46" s="27">
        <f t="shared" si="18"/>
        <v>7</v>
      </c>
      <c r="L46" s="27"/>
      <c r="M46" s="86">
        <f t="shared" si="19"/>
        <v>137.18416838917688</v>
      </c>
      <c r="N46" s="24">
        <f t="shared" si="25"/>
        <v>274.36833677835375</v>
      </c>
      <c r="O46" s="168">
        <f t="shared" si="20"/>
        <v>45.515171960094605</v>
      </c>
      <c r="P46" s="86">
        <f t="shared" si="21"/>
        <v>2071.6308785569822</v>
      </c>
      <c r="Q46" s="87">
        <f t="shared" si="22"/>
        <v>43.398396180868374</v>
      </c>
      <c r="R46" s="86">
        <f t="shared" si="23"/>
        <v>1883.4207910716107</v>
      </c>
      <c r="S46" s="24">
        <f t="shared" si="24"/>
        <v>1975.2854649645371</v>
      </c>
    </row>
    <row r="47" spans="1:42" ht="18" x14ac:dyDescent="0.2">
      <c r="A47" s="89">
        <v>10</v>
      </c>
      <c r="B47" s="28">
        <f t="shared" si="16"/>
        <v>5</v>
      </c>
      <c r="C47" s="25">
        <f t="shared" si="16"/>
        <v>0.93</v>
      </c>
      <c r="D47" s="48">
        <f t="shared" si="16"/>
        <v>3</v>
      </c>
      <c r="E47" s="88">
        <f t="shared" si="16"/>
        <v>40.232412657716189</v>
      </c>
      <c r="F47" s="158">
        <f t="shared" si="16"/>
        <v>84.488066581203995</v>
      </c>
      <c r="G47" s="175">
        <f>1-EXP(-AE$39*B47^AD$39)</f>
        <v>0.73187763302774622</v>
      </c>
      <c r="H47" s="27"/>
      <c r="I47" s="27">
        <f t="shared" si="17"/>
        <v>0.35628058386134998</v>
      </c>
      <c r="J47" s="27"/>
      <c r="K47" s="27">
        <f t="shared" si="18"/>
        <v>3</v>
      </c>
      <c r="L47" s="27"/>
      <c r="M47" s="86">
        <f t="shared" si="19"/>
        <v>39.113068561528237</v>
      </c>
      <c r="N47" s="24">
        <f t="shared" si="25"/>
        <v>78.226137123056475</v>
      </c>
      <c r="O47" s="168">
        <f t="shared" si="20"/>
        <v>-51.904993526842723</v>
      </c>
      <c r="P47" s="86">
        <f t="shared" si="21"/>
        <v>2694.1283530215851</v>
      </c>
      <c r="Q47" s="87">
        <f t="shared" si="22"/>
        <v>-54.672703646780263</v>
      </c>
      <c r="R47" s="86">
        <f t="shared" si="23"/>
        <v>2989.1045240486601</v>
      </c>
      <c r="S47" s="24">
        <f t="shared" si="24"/>
        <v>2837.78632888112</v>
      </c>
    </row>
    <row r="48" spans="1:42" ht="18" x14ac:dyDescent="0.2">
      <c r="A48" s="89">
        <v>11</v>
      </c>
      <c r="B48" s="28">
        <f t="shared" ref="B48:F57" si="26">B13</f>
        <v>5</v>
      </c>
      <c r="C48" s="25">
        <f t="shared" si="26"/>
        <v>0.93</v>
      </c>
      <c r="D48" s="48">
        <f t="shared" si="26"/>
        <v>5</v>
      </c>
      <c r="E48" s="88">
        <f t="shared" si="26"/>
        <v>67.054021096193651</v>
      </c>
      <c r="F48" s="158">
        <f t="shared" si="26"/>
        <v>140.81344430200667</v>
      </c>
      <c r="G48" s="175">
        <f>1-EXP(-AE$39*B48^AD$39)</f>
        <v>0.73187763302774622</v>
      </c>
      <c r="H48" s="27"/>
      <c r="I48" s="27">
        <f t="shared" si="17"/>
        <v>0.35628058386134998</v>
      </c>
      <c r="J48" s="27"/>
      <c r="K48" s="27">
        <f t="shared" si="18"/>
        <v>5</v>
      </c>
      <c r="L48" s="27"/>
      <c r="M48" s="86">
        <f t="shared" si="19"/>
        <v>65.188447602547072</v>
      </c>
      <c r="N48" s="24">
        <f t="shared" si="25"/>
        <v>130.37689520509414</v>
      </c>
      <c r="O48" s="168">
        <f t="shared" si="20"/>
        <v>-25.083385088365262</v>
      </c>
      <c r="P48" s="86">
        <f t="shared" si="21"/>
        <v>629.17620749122477</v>
      </c>
      <c r="Q48" s="87">
        <f t="shared" si="22"/>
        <v>-28.597324605761429</v>
      </c>
      <c r="R48" s="86">
        <f t="shared" si="23"/>
        <v>817.80697460728811</v>
      </c>
      <c r="S48" s="24">
        <f t="shared" si="24"/>
        <v>717.3177055832972</v>
      </c>
    </row>
    <row r="49" spans="1:41" ht="18" x14ac:dyDescent="0.2">
      <c r="A49" s="89">
        <v>12</v>
      </c>
      <c r="B49" s="28">
        <f t="shared" si="26"/>
        <v>5</v>
      </c>
      <c r="C49" s="25">
        <f t="shared" si="26"/>
        <v>0.93</v>
      </c>
      <c r="D49" s="48">
        <f t="shared" si="26"/>
        <v>7</v>
      </c>
      <c r="E49" s="88">
        <f t="shared" si="26"/>
        <v>93.87562953467112</v>
      </c>
      <c r="F49" s="158">
        <f t="shared" si="26"/>
        <v>197.13882202280936</v>
      </c>
      <c r="G49" s="175">
        <f>1-EXP(-AE$39*B49^AD$39)</f>
        <v>0.73187763302774622</v>
      </c>
      <c r="H49" s="27"/>
      <c r="I49" s="27">
        <f t="shared" si="17"/>
        <v>0.35628058386134998</v>
      </c>
      <c r="J49" s="27"/>
      <c r="K49" s="27">
        <f t="shared" si="18"/>
        <v>7</v>
      </c>
      <c r="L49" s="27"/>
      <c r="M49" s="86">
        <f t="shared" si="19"/>
        <v>91.263826643565892</v>
      </c>
      <c r="N49" s="24">
        <f t="shared" si="25"/>
        <v>182.52765328713178</v>
      </c>
      <c r="O49" s="168">
        <f t="shared" si="20"/>
        <v>1.7382233501122073</v>
      </c>
      <c r="P49" s="86">
        <f t="shared" si="21"/>
        <v>3.0214204148753052</v>
      </c>
      <c r="Q49" s="87">
        <f t="shared" si="22"/>
        <v>-2.5219455647426088</v>
      </c>
      <c r="R49" s="86">
        <f t="shared" si="23"/>
        <v>6.3602094315249156</v>
      </c>
      <c r="S49" s="24">
        <f t="shared" si="24"/>
        <v>-4.3837046683475203</v>
      </c>
      <c r="AL49" s="81"/>
      <c r="AM49" s="81"/>
      <c r="AN49" s="81"/>
      <c r="AO49" s="81"/>
    </row>
    <row r="50" spans="1:41" ht="18" x14ac:dyDescent="0.2">
      <c r="A50" s="89">
        <v>13</v>
      </c>
      <c r="B50" s="28">
        <f t="shared" si="26"/>
        <v>5</v>
      </c>
      <c r="C50" s="25">
        <f t="shared" si="26"/>
        <v>0.95</v>
      </c>
      <c r="D50" s="48">
        <f t="shared" si="26"/>
        <v>3</v>
      </c>
      <c r="E50" s="88">
        <f t="shared" si="26"/>
        <v>53.980964969522532</v>
      </c>
      <c r="F50" s="158">
        <f t="shared" si="26"/>
        <v>113.36002643599733</v>
      </c>
      <c r="G50" s="175">
        <f>1-EXP(-AE$39*B50^AD$39)</f>
        <v>0.73187763302774622</v>
      </c>
      <c r="H50" s="27"/>
      <c r="I50" s="27">
        <f t="shared" si="17"/>
        <v>0.5</v>
      </c>
      <c r="J50" s="27"/>
      <c r="K50" s="27">
        <f t="shared" si="18"/>
        <v>3</v>
      </c>
      <c r="L50" s="27"/>
      <c r="M50" s="86">
        <f t="shared" si="19"/>
        <v>54.890822477080974</v>
      </c>
      <c r="N50" s="24">
        <f t="shared" si="25"/>
        <v>109.78164495416195</v>
      </c>
      <c r="O50" s="168">
        <f t="shared" si="20"/>
        <v>-38.156441215036381</v>
      </c>
      <c r="P50" s="86">
        <f t="shared" si="21"/>
        <v>1455.914006196527</v>
      </c>
      <c r="Q50" s="87">
        <f t="shared" si="22"/>
        <v>-38.894949731227527</v>
      </c>
      <c r="R50" s="86">
        <f t="shared" si="23"/>
        <v>1512.8171145947163</v>
      </c>
      <c r="S50" s="24">
        <f t="shared" si="24"/>
        <v>1484.0928629813782</v>
      </c>
      <c r="AL50" s="81"/>
      <c r="AM50" s="81"/>
      <c r="AN50" s="81"/>
      <c r="AO50" s="81"/>
    </row>
    <row r="51" spans="1:41" ht="18" x14ac:dyDescent="0.2">
      <c r="A51" s="89">
        <v>14</v>
      </c>
      <c r="B51" s="28">
        <f t="shared" si="26"/>
        <v>5</v>
      </c>
      <c r="C51" s="25">
        <f t="shared" si="26"/>
        <v>0.95</v>
      </c>
      <c r="D51" s="48">
        <f t="shared" si="26"/>
        <v>5</v>
      </c>
      <c r="E51" s="88">
        <f t="shared" si="26"/>
        <v>89.968274949204201</v>
      </c>
      <c r="F51" s="158">
        <f t="shared" si="26"/>
        <v>188.93337739332884</v>
      </c>
      <c r="G51" s="175">
        <f>1-EXP(-AE$39*B51^AD$39)</f>
        <v>0.73187763302774622</v>
      </c>
      <c r="H51" s="27"/>
      <c r="I51" s="27">
        <f t="shared" si="17"/>
        <v>0.5</v>
      </c>
      <c r="J51" s="27"/>
      <c r="K51" s="27">
        <f t="shared" si="18"/>
        <v>5</v>
      </c>
      <c r="L51" s="27"/>
      <c r="M51" s="86">
        <f t="shared" si="19"/>
        <v>91.48470412846828</v>
      </c>
      <c r="N51" s="24">
        <f t="shared" si="25"/>
        <v>182.96940825693656</v>
      </c>
      <c r="O51" s="168">
        <f t="shared" si="20"/>
        <v>-2.1691312353547119</v>
      </c>
      <c r="P51" s="86">
        <f t="shared" si="21"/>
        <v>4.7051303161914584</v>
      </c>
      <c r="Q51" s="87">
        <f t="shared" si="22"/>
        <v>-2.3010680798402205</v>
      </c>
      <c r="R51" s="86">
        <f t="shared" si="23"/>
        <v>5.2949143080595595</v>
      </c>
      <c r="S51" s="24">
        <f t="shared" si="24"/>
        <v>4.9913186466591126</v>
      </c>
    </row>
    <row r="52" spans="1:41" ht="18" x14ac:dyDescent="0.2">
      <c r="A52" s="89">
        <v>15</v>
      </c>
      <c r="B52" s="28">
        <f t="shared" si="26"/>
        <v>5</v>
      </c>
      <c r="C52" s="25">
        <f t="shared" si="26"/>
        <v>0.95</v>
      </c>
      <c r="D52" s="48">
        <f t="shared" si="26"/>
        <v>7</v>
      </c>
      <c r="E52" s="88">
        <f t="shared" si="26"/>
        <v>125.95558492888588</v>
      </c>
      <c r="F52" s="158">
        <f t="shared" si="26"/>
        <v>264.50672835066035</v>
      </c>
      <c r="G52" s="175">
        <f>1-EXP(-AE$39*B52^AD$39)</f>
        <v>0.73187763302774622</v>
      </c>
      <c r="H52" s="27"/>
      <c r="I52" s="27">
        <f t="shared" si="17"/>
        <v>0.5</v>
      </c>
      <c r="J52" s="27"/>
      <c r="K52" s="27">
        <f t="shared" si="18"/>
        <v>7</v>
      </c>
      <c r="L52" s="27"/>
      <c r="M52" s="86">
        <f t="shared" si="19"/>
        <v>128.07858577985559</v>
      </c>
      <c r="N52" s="24">
        <f t="shared" si="25"/>
        <v>256.15717155971117</v>
      </c>
      <c r="O52" s="168">
        <f t="shared" si="20"/>
        <v>33.818178744326971</v>
      </c>
      <c r="P52" s="86">
        <f t="shared" si="21"/>
        <v>1143.6692135832486</v>
      </c>
      <c r="Q52" s="87">
        <f t="shared" si="22"/>
        <v>34.292813571547086</v>
      </c>
      <c r="R52" s="86">
        <f t="shared" si="23"/>
        <v>1175.9970626528841</v>
      </c>
      <c r="S52" s="24">
        <f t="shared" si="24"/>
        <v>1159.720499008461</v>
      </c>
    </row>
    <row r="53" spans="1:41" ht="18" x14ac:dyDescent="0.2">
      <c r="A53" s="89">
        <v>16</v>
      </c>
      <c r="B53" s="28">
        <f t="shared" si="26"/>
        <v>5</v>
      </c>
      <c r="C53" s="25">
        <f t="shared" si="26"/>
        <v>0.97</v>
      </c>
      <c r="D53" s="48">
        <f t="shared" si="26"/>
        <v>3</v>
      </c>
      <c r="E53" s="88">
        <f t="shared" si="26"/>
        <v>77.011629285041892</v>
      </c>
      <c r="F53" s="158">
        <f t="shared" si="26"/>
        <v>161.72442149858799</v>
      </c>
      <c r="G53" s="175">
        <f>1-EXP(-AE$39*B53^AD$39)</f>
        <v>0.73187763302774622</v>
      </c>
      <c r="H53" s="27"/>
      <c r="I53" s="27">
        <f t="shared" si="17"/>
        <v>0.74324668248818893</v>
      </c>
      <c r="J53" s="27"/>
      <c r="K53" s="27">
        <f t="shared" si="18"/>
        <v>3</v>
      </c>
      <c r="L53" s="27"/>
      <c r="M53" s="86">
        <f t="shared" si="19"/>
        <v>81.594843410277093</v>
      </c>
      <c r="N53" s="24">
        <f t="shared" si="25"/>
        <v>163.18968682055419</v>
      </c>
      <c r="O53" s="169">
        <f t="shared" si="20"/>
        <v>-15.125776899517021</v>
      </c>
      <c r="P53" s="91">
        <f t="shared" si="21"/>
        <v>228.78912681396275</v>
      </c>
      <c r="Q53" s="92">
        <f t="shared" si="22"/>
        <v>-12.190928798031408</v>
      </c>
      <c r="R53" s="91">
        <f t="shared" si="23"/>
        <v>148.6187449586715</v>
      </c>
      <c r="S53" s="90">
        <f t="shared" si="24"/>
        <v>184.39726919692026</v>
      </c>
    </row>
    <row r="54" spans="1:41" ht="18" x14ac:dyDescent="0.2">
      <c r="A54" s="89">
        <v>17</v>
      </c>
      <c r="B54" s="28">
        <f t="shared" si="26"/>
        <v>5</v>
      </c>
      <c r="C54" s="25">
        <f t="shared" si="26"/>
        <v>0.97</v>
      </c>
      <c r="D54" s="48">
        <f t="shared" si="26"/>
        <v>5</v>
      </c>
      <c r="E54" s="88">
        <f t="shared" si="26"/>
        <v>128.3527154750698</v>
      </c>
      <c r="F54" s="158">
        <f t="shared" si="26"/>
        <v>269.54070249764658</v>
      </c>
      <c r="G54" s="175">
        <f>1-EXP(-AE$39*B54^AD$39)</f>
        <v>0.73187763302774622</v>
      </c>
      <c r="H54" s="27"/>
      <c r="I54" s="27">
        <f t="shared" si="17"/>
        <v>0.74324668248818893</v>
      </c>
      <c r="J54" s="27"/>
      <c r="K54" s="27">
        <f t="shared" si="18"/>
        <v>5</v>
      </c>
      <c r="L54" s="27"/>
      <c r="M54" s="86">
        <f t="shared" si="19"/>
        <v>135.99140568379514</v>
      </c>
      <c r="N54" s="24">
        <f t="shared" si="25"/>
        <v>271.98281136759027</v>
      </c>
      <c r="O54" s="168">
        <f t="shared" si="20"/>
        <v>36.215309290510888</v>
      </c>
      <c r="P54" s="86">
        <f t="shared" si="21"/>
        <v>1311.5486270073643</v>
      </c>
      <c r="Q54" s="87">
        <f t="shared" si="22"/>
        <v>42.205633475486636</v>
      </c>
      <c r="R54" s="86">
        <f t="shared" si="23"/>
        <v>1781.315497067118</v>
      </c>
      <c r="S54" s="24">
        <f t="shared" si="24"/>
        <v>1528.4900701166885</v>
      </c>
    </row>
    <row r="55" spans="1:41" ht="18" x14ac:dyDescent="0.2">
      <c r="A55" s="89">
        <v>18</v>
      </c>
      <c r="B55" s="28">
        <f t="shared" si="26"/>
        <v>5</v>
      </c>
      <c r="C55" s="25">
        <f t="shared" si="26"/>
        <v>0.97</v>
      </c>
      <c r="D55" s="48">
        <f t="shared" si="26"/>
        <v>7</v>
      </c>
      <c r="E55" s="88">
        <f t="shared" si="26"/>
        <v>179.69380166509774</v>
      </c>
      <c r="F55" s="158">
        <f t="shared" si="26"/>
        <v>377.35698349670525</v>
      </c>
      <c r="G55" s="175">
        <f>1-EXP(-AE$39*B55^AD$39)</f>
        <v>0.73187763302774622</v>
      </c>
      <c r="H55" s="27"/>
      <c r="I55" s="27">
        <f t="shared" si="17"/>
        <v>0.74324668248818893</v>
      </c>
      <c r="J55" s="27"/>
      <c r="K55" s="27">
        <f t="shared" si="18"/>
        <v>7</v>
      </c>
      <c r="L55" s="27"/>
      <c r="M55" s="86">
        <f t="shared" si="19"/>
        <v>190.38796795731321</v>
      </c>
      <c r="N55" s="24">
        <f t="shared" si="25"/>
        <v>380.77593591462642</v>
      </c>
      <c r="O55" s="168">
        <f t="shared" si="20"/>
        <v>87.556395480538825</v>
      </c>
      <c r="P55" s="86">
        <f t="shared" si="21"/>
        <v>7666.1223895445191</v>
      </c>
      <c r="Q55" s="87">
        <f t="shared" si="22"/>
        <v>96.602195749004707</v>
      </c>
      <c r="R55" s="86">
        <f t="shared" si="23"/>
        <v>9331.9842235290234</v>
      </c>
      <c r="S55" s="24">
        <f t="shared" si="24"/>
        <v>8458.1400552882824</v>
      </c>
    </row>
    <row r="56" spans="1:41" ht="18" x14ac:dyDescent="0.2">
      <c r="A56" s="89">
        <v>19</v>
      </c>
      <c r="B56" s="28">
        <f t="shared" si="26"/>
        <v>7</v>
      </c>
      <c r="C56" s="25">
        <f t="shared" si="26"/>
        <v>0.93</v>
      </c>
      <c r="D56" s="48">
        <f t="shared" si="26"/>
        <v>3</v>
      </c>
      <c r="E56" s="88">
        <f t="shared" si="26"/>
        <v>41.072850177425927</v>
      </c>
      <c r="F56" s="158">
        <f t="shared" si="26"/>
        <v>86.252985372594452</v>
      </c>
      <c r="G56" s="175">
        <f>1-EXP(-AE$39*B56^AD$39)</f>
        <v>0.8515710141859274</v>
      </c>
      <c r="H56" s="27"/>
      <c r="I56" s="27">
        <f t="shared" si="17"/>
        <v>0.35628058386134998</v>
      </c>
      <c r="J56" s="27"/>
      <c r="K56" s="27">
        <f t="shared" si="18"/>
        <v>3</v>
      </c>
      <c r="L56" s="27"/>
      <c r="M56" s="86">
        <f t="shared" si="19"/>
        <v>45.509732720034627</v>
      </c>
      <c r="N56" s="24">
        <f t="shared" si="25"/>
        <v>91.019465440069254</v>
      </c>
      <c r="O56" s="168">
        <f t="shared" si="20"/>
        <v>-51.064556007132985</v>
      </c>
      <c r="P56" s="86">
        <f t="shared" si="21"/>
        <v>2607.5888802056215</v>
      </c>
      <c r="Q56" s="87">
        <f t="shared" si="22"/>
        <v>-48.276039488273874</v>
      </c>
      <c r="R56" s="86">
        <f t="shared" si="23"/>
        <v>2330.5759886733786</v>
      </c>
      <c r="S56" s="24">
        <f t="shared" si="24"/>
        <v>2465.1945222515246</v>
      </c>
    </row>
    <row r="57" spans="1:41" ht="18" x14ac:dyDescent="0.2">
      <c r="A57" s="89">
        <v>20</v>
      </c>
      <c r="B57" s="28">
        <f t="shared" si="26"/>
        <v>7</v>
      </c>
      <c r="C57" s="25">
        <f t="shared" si="26"/>
        <v>0.93</v>
      </c>
      <c r="D57" s="48">
        <f t="shared" si="26"/>
        <v>5</v>
      </c>
      <c r="E57" s="88">
        <f t="shared" si="26"/>
        <v>68.454750295709871</v>
      </c>
      <c r="F57" s="158">
        <f t="shared" si="26"/>
        <v>143.75497562099073</v>
      </c>
      <c r="G57" s="175">
        <f>1-EXP(-AE$39*B57^AD$39)</f>
        <v>0.8515710141859274</v>
      </c>
      <c r="H57" s="27"/>
      <c r="I57" s="27">
        <f t="shared" si="17"/>
        <v>0.35628058386134998</v>
      </c>
      <c r="J57" s="27"/>
      <c r="K57" s="27">
        <f t="shared" si="18"/>
        <v>5</v>
      </c>
      <c r="L57" s="27"/>
      <c r="M57" s="86">
        <f t="shared" si="19"/>
        <v>75.849554533391043</v>
      </c>
      <c r="N57" s="24">
        <f t="shared" si="25"/>
        <v>151.69910906678209</v>
      </c>
      <c r="O57" s="168">
        <f t="shared" si="20"/>
        <v>-23.682655888849041</v>
      </c>
      <c r="P57" s="86">
        <f t="shared" si="21"/>
        <v>560.86818994963619</v>
      </c>
      <c r="Q57" s="87">
        <f t="shared" si="22"/>
        <v>-17.936217674917458</v>
      </c>
      <c r="R57" s="86">
        <f t="shared" si="23"/>
        <v>321.70790448202143</v>
      </c>
      <c r="S57" s="24">
        <f t="shared" si="24"/>
        <v>424.7772711425622</v>
      </c>
    </row>
    <row r="58" spans="1:41" ht="18" x14ac:dyDescent="0.2">
      <c r="A58" s="89">
        <v>21</v>
      </c>
      <c r="B58" s="28">
        <f t="shared" ref="B58:F64" si="27">B23</f>
        <v>7</v>
      </c>
      <c r="C58" s="25">
        <f t="shared" si="27"/>
        <v>0.93</v>
      </c>
      <c r="D58" s="48">
        <f t="shared" si="27"/>
        <v>7</v>
      </c>
      <c r="E58" s="88">
        <f t="shared" si="27"/>
        <v>95.836650413993837</v>
      </c>
      <c r="F58" s="158">
        <f t="shared" si="27"/>
        <v>201.25696586938707</v>
      </c>
      <c r="G58" s="175">
        <f>1-EXP(-AE$39*B58^AD$39)</f>
        <v>0.8515710141859274</v>
      </c>
      <c r="H58" s="27"/>
      <c r="I58" s="27">
        <f t="shared" si="17"/>
        <v>0.35628058386134998</v>
      </c>
      <c r="J58" s="27"/>
      <c r="K58" s="27">
        <f t="shared" si="18"/>
        <v>7</v>
      </c>
      <c r="L58" s="27"/>
      <c r="M58" s="86">
        <f t="shared" si="19"/>
        <v>106.18937634674747</v>
      </c>
      <c r="N58" s="24">
        <f t="shared" si="25"/>
        <v>212.37875269349493</v>
      </c>
      <c r="O58" s="168">
        <f t="shared" si="20"/>
        <v>3.6992442294349246</v>
      </c>
      <c r="P58" s="86">
        <f t="shared" si="21"/>
        <v>13.68440786900759</v>
      </c>
      <c r="Q58" s="87">
        <f t="shared" si="22"/>
        <v>12.403604138438965</v>
      </c>
      <c r="R58" s="86">
        <f t="shared" si="23"/>
        <v>153.84939562310021</v>
      </c>
      <c r="S58" s="24">
        <f t="shared" si="24"/>
        <v>45.883961033315487</v>
      </c>
    </row>
    <row r="59" spans="1:41" ht="18" x14ac:dyDescent="0.2">
      <c r="A59" s="89">
        <v>22</v>
      </c>
      <c r="B59" s="28">
        <f t="shared" si="27"/>
        <v>7</v>
      </c>
      <c r="C59" s="25">
        <f t="shared" si="27"/>
        <v>0.95</v>
      </c>
      <c r="D59" s="48">
        <f t="shared" si="27"/>
        <v>3</v>
      </c>
      <c r="E59" s="88">
        <f t="shared" si="27"/>
        <v>56.867650721105015</v>
      </c>
      <c r="F59" s="158">
        <f t="shared" si="27"/>
        <v>119.42206651432053</v>
      </c>
      <c r="G59" s="175">
        <f>1-EXP(-AE$39*B59^AD$39)</f>
        <v>0.8515710141859274</v>
      </c>
      <c r="H59" s="27"/>
      <c r="I59" s="27">
        <f t="shared" si="17"/>
        <v>0.5</v>
      </c>
      <c r="J59" s="27"/>
      <c r="K59" s="27">
        <f t="shared" si="18"/>
        <v>3</v>
      </c>
      <c r="L59" s="27"/>
      <c r="M59" s="86">
        <f t="shared" si="19"/>
        <v>63.867826063944563</v>
      </c>
      <c r="N59" s="24">
        <f t="shared" si="25"/>
        <v>127.73565212788913</v>
      </c>
      <c r="O59" s="168">
        <f t="shared" si="20"/>
        <v>-35.269755463453897</v>
      </c>
      <c r="P59" s="86">
        <f t="shared" si="21"/>
        <v>1243.9556504518359</v>
      </c>
      <c r="Q59" s="87">
        <f t="shared" si="22"/>
        <v>-29.917946144363938</v>
      </c>
      <c r="R59" s="86">
        <f t="shared" si="23"/>
        <v>895.08350149706109</v>
      </c>
      <c r="S59" s="24">
        <f t="shared" si="24"/>
        <v>1055.1986444804995</v>
      </c>
    </row>
    <row r="60" spans="1:41" ht="18" x14ac:dyDescent="0.2">
      <c r="A60" s="89">
        <v>23</v>
      </c>
      <c r="B60" s="28">
        <f t="shared" si="27"/>
        <v>7</v>
      </c>
      <c r="C60" s="25">
        <f t="shared" si="27"/>
        <v>0.95</v>
      </c>
      <c r="D60" s="48">
        <f t="shared" si="27"/>
        <v>5</v>
      </c>
      <c r="E60" s="88">
        <f t="shared" si="27"/>
        <v>94.779417868508347</v>
      </c>
      <c r="F60" s="158">
        <f t="shared" si="27"/>
        <v>199.03677752386753</v>
      </c>
      <c r="G60" s="175">
        <f>1-EXP(-AE$39*B60^AD$39)</f>
        <v>0.8515710141859274</v>
      </c>
      <c r="H60" s="27"/>
      <c r="I60" s="27">
        <f t="shared" si="17"/>
        <v>0.5</v>
      </c>
      <c r="J60" s="27"/>
      <c r="K60" s="27">
        <f t="shared" si="18"/>
        <v>5</v>
      </c>
      <c r="L60" s="27"/>
      <c r="M60" s="86">
        <f t="shared" si="19"/>
        <v>106.44637677324093</v>
      </c>
      <c r="N60" s="24">
        <f t="shared" si="25"/>
        <v>212.89275354648186</v>
      </c>
      <c r="O60" s="168">
        <f t="shared" si="20"/>
        <v>2.6420116839494341</v>
      </c>
      <c r="P60" s="86">
        <f t="shared" si="21"/>
        <v>6.9802257381253243</v>
      </c>
      <c r="Q60" s="87">
        <f t="shared" si="22"/>
        <v>12.660604564932427</v>
      </c>
      <c r="R60" s="86">
        <f t="shared" si="23"/>
        <v>160.29090794958782</v>
      </c>
      <c r="S60" s="24">
        <f t="shared" si="24"/>
        <v>33.449465186415011</v>
      </c>
    </row>
    <row r="61" spans="1:41" ht="18" x14ac:dyDescent="0.2">
      <c r="A61" s="89">
        <v>24</v>
      </c>
      <c r="B61" s="28">
        <f t="shared" si="27"/>
        <v>7</v>
      </c>
      <c r="C61" s="25">
        <f t="shared" si="27"/>
        <v>0.95</v>
      </c>
      <c r="D61" s="48">
        <f t="shared" si="27"/>
        <v>7</v>
      </c>
      <c r="E61" s="88">
        <f t="shared" si="27"/>
        <v>132.69118501591169</v>
      </c>
      <c r="F61" s="158">
        <f t="shared" si="27"/>
        <v>278.65148853341458</v>
      </c>
      <c r="G61" s="175">
        <f>1-EXP(-AE$39*B61^AD$39)</f>
        <v>0.8515710141859274</v>
      </c>
      <c r="H61" s="27"/>
      <c r="I61" s="27">
        <f t="shared" si="17"/>
        <v>0.5</v>
      </c>
      <c r="J61" s="27"/>
      <c r="K61" s="27">
        <f t="shared" si="18"/>
        <v>7</v>
      </c>
      <c r="L61" s="27"/>
      <c r="M61" s="86">
        <f t="shared" si="19"/>
        <v>149.02492748253729</v>
      </c>
      <c r="N61" s="24">
        <f t="shared" si="25"/>
        <v>298.04985496507459</v>
      </c>
      <c r="O61" s="168">
        <f t="shared" si="20"/>
        <v>40.553778831352773</v>
      </c>
      <c r="P61" s="86">
        <f t="shared" si="21"/>
        <v>1644.6089775022763</v>
      </c>
      <c r="Q61" s="87">
        <f t="shared" si="22"/>
        <v>55.239155274228793</v>
      </c>
      <c r="R61" s="86">
        <f t="shared" si="23"/>
        <v>3051.3642754103585</v>
      </c>
      <c r="S61" s="24">
        <f t="shared" si="24"/>
        <v>2240.1564858218285</v>
      </c>
    </row>
    <row r="62" spans="1:41" ht="18" x14ac:dyDescent="0.2">
      <c r="A62" s="89">
        <v>25</v>
      </c>
      <c r="B62" s="28">
        <f t="shared" si="27"/>
        <v>7</v>
      </c>
      <c r="C62" s="25">
        <f t="shared" si="27"/>
        <v>0.97</v>
      </c>
      <c r="D62" s="48">
        <f t="shared" si="27"/>
        <v>3</v>
      </c>
      <c r="E62" s="88">
        <f t="shared" si="27"/>
        <v>86.809534793671787</v>
      </c>
      <c r="F62" s="158">
        <f t="shared" si="27"/>
        <v>182.30002306671076</v>
      </c>
      <c r="G62" s="175">
        <f>1-EXP(-AE$39*B62^AD$39)</f>
        <v>0.8515710141859274</v>
      </c>
      <c r="H62" s="27"/>
      <c r="I62" s="27">
        <f t="shared" si="17"/>
        <v>0.74324668248818893</v>
      </c>
      <c r="J62" s="27"/>
      <c r="K62" s="27">
        <f t="shared" si="18"/>
        <v>3</v>
      </c>
      <c r="L62" s="27"/>
      <c r="M62" s="86">
        <f t="shared" si="19"/>
        <v>94.939099679518961</v>
      </c>
      <c r="N62" s="24">
        <f t="shared" si="25"/>
        <v>189.87819935903792</v>
      </c>
      <c r="O62" s="168">
        <f t="shared" si="20"/>
        <v>-5.3278713908871254</v>
      </c>
      <c r="P62" s="86">
        <f t="shared" si="21"/>
        <v>28.386213557833511</v>
      </c>
      <c r="Q62" s="87">
        <f t="shared" si="22"/>
        <v>1.15332747121046</v>
      </c>
      <c r="R62" s="86">
        <f t="shared" si="23"/>
        <v>1.3301642558487143</v>
      </c>
      <c r="S62" s="24">
        <f t="shared" si="24"/>
        <v>-6.1447804381864044</v>
      </c>
    </row>
    <row r="63" spans="1:41" ht="18" x14ac:dyDescent="0.2">
      <c r="A63" s="89">
        <v>26</v>
      </c>
      <c r="B63" s="28">
        <f t="shared" si="27"/>
        <v>7</v>
      </c>
      <c r="C63" s="25">
        <f t="shared" si="27"/>
        <v>0.97</v>
      </c>
      <c r="D63" s="48">
        <f t="shared" si="27"/>
        <v>5</v>
      </c>
      <c r="E63" s="88">
        <f t="shared" si="27"/>
        <v>144.68255798945299</v>
      </c>
      <c r="F63" s="158">
        <f t="shared" si="27"/>
        <v>303.83337177785131</v>
      </c>
      <c r="G63" s="175">
        <f>1-EXP(-AE$39*B63^AD$39)</f>
        <v>0.8515710141859274</v>
      </c>
      <c r="H63" s="27"/>
      <c r="I63" s="27">
        <f t="shared" si="17"/>
        <v>0.74324668248818893</v>
      </c>
      <c r="J63" s="27"/>
      <c r="K63" s="27">
        <f t="shared" si="18"/>
        <v>5</v>
      </c>
      <c r="L63" s="27"/>
      <c r="M63" s="86">
        <f t="shared" si="19"/>
        <v>158.23183279919826</v>
      </c>
      <c r="N63" s="24">
        <f t="shared" si="25"/>
        <v>316.46366559839652</v>
      </c>
      <c r="O63" s="168">
        <f t="shared" si="20"/>
        <v>52.545151804894076</v>
      </c>
      <c r="P63" s="86">
        <f t="shared" si="21"/>
        <v>2760.9929781993633</v>
      </c>
      <c r="Q63" s="87">
        <f t="shared" si="22"/>
        <v>64.446060590889758</v>
      </c>
      <c r="R63" s="86">
        <f t="shared" si="23"/>
        <v>4153.2947256846337</v>
      </c>
      <c r="S63" s="24">
        <f t="shared" si="24"/>
        <v>3386.328036975704</v>
      </c>
    </row>
    <row r="64" spans="1:41" ht="19" thickBot="1" x14ac:dyDescent="0.25">
      <c r="A64" s="85">
        <v>27</v>
      </c>
      <c r="B64" s="18">
        <f t="shared" si="27"/>
        <v>7</v>
      </c>
      <c r="C64" s="15">
        <f t="shared" si="27"/>
        <v>0.97</v>
      </c>
      <c r="D64" s="42">
        <f t="shared" si="27"/>
        <v>7</v>
      </c>
      <c r="E64" s="84">
        <f t="shared" si="27"/>
        <v>202.55558118523422</v>
      </c>
      <c r="F64" s="159">
        <f t="shared" si="27"/>
        <v>425.36672048899186</v>
      </c>
      <c r="G64" s="176">
        <f>1-EXP(-AE$39*B64^AD$39)</f>
        <v>0.8515710141859274</v>
      </c>
      <c r="H64" s="17"/>
      <c r="I64" s="17">
        <f t="shared" si="17"/>
        <v>0.74324668248818893</v>
      </c>
      <c r="J64" s="17"/>
      <c r="K64" s="17">
        <f t="shared" si="18"/>
        <v>7</v>
      </c>
      <c r="L64" s="17"/>
      <c r="M64" s="82">
        <f t="shared" si="19"/>
        <v>221.52456591887756</v>
      </c>
      <c r="N64" s="14">
        <f t="shared" si="25"/>
        <v>443.04913183775511</v>
      </c>
      <c r="O64" s="170">
        <f t="shared" si="20"/>
        <v>110.4181750006753</v>
      </c>
      <c r="P64" s="82">
        <f t="shared" si="21"/>
        <v>12192.173370479757</v>
      </c>
      <c r="Q64" s="83">
        <f t="shared" si="22"/>
        <v>127.73879371056906</v>
      </c>
      <c r="R64" s="82">
        <f t="shared" si="23"/>
        <v>16317.199418631317</v>
      </c>
      <c r="S64" s="14">
        <f t="shared" si="24"/>
        <v>14104.684478308776</v>
      </c>
    </row>
    <row r="65" spans="1:19" ht="18" x14ac:dyDescent="0.2">
      <c r="A65" s="80" t="s">
        <v>2</v>
      </c>
      <c r="B65" s="80"/>
      <c r="C65" s="9"/>
      <c r="D65" s="9"/>
      <c r="E65" s="81"/>
      <c r="H65" s="9"/>
      <c r="I65" s="9"/>
      <c r="J65" s="9"/>
      <c r="K65" s="9"/>
      <c r="L65" s="9"/>
      <c r="M65" s="9"/>
      <c r="N65" s="81"/>
      <c r="O65" s="9"/>
      <c r="P65" s="6">
        <f>SUM(P38:P64)</f>
        <v>46097.278012113136</v>
      </c>
      <c r="Q65" s="9"/>
      <c r="R65" s="6">
        <f>SUM(R38:R64)</f>
        <v>59280.418604053841</v>
      </c>
      <c r="S65" s="6">
        <f>SUM(S38:S64)</f>
        <v>51479.757519548439</v>
      </c>
    </row>
    <row r="66" spans="1:19" ht="19" thickBot="1" x14ac:dyDescent="0.25">
      <c r="A66" s="80" t="s">
        <v>1</v>
      </c>
      <c r="B66" s="80"/>
      <c r="C66" s="9"/>
      <c r="D66" s="9"/>
      <c r="E66" s="79">
        <f>AVERAGE(E38:E64)</f>
        <v>92.137406184558913</v>
      </c>
      <c r="H66" s="9"/>
      <c r="I66" s="9"/>
      <c r="J66" s="9"/>
      <c r="K66" s="9"/>
      <c r="L66" s="9"/>
      <c r="M66" s="9"/>
      <c r="N66" s="79">
        <f>AVERAGE(M38:M64)</f>
        <v>93.785772208308501</v>
      </c>
      <c r="O66" s="9"/>
      <c r="P66" s="6"/>
      <c r="Q66" s="9"/>
      <c r="R66" s="9"/>
      <c r="S66" s="9"/>
    </row>
    <row r="67" spans="1:19" ht="21" thickBot="1" x14ac:dyDescent="0.25">
      <c r="A67" s="5" t="s">
        <v>0</v>
      </c>
      <c r="B67" s="4"/>
      <c r="C67" s="3"/>
      <c r="D67" s="3"/>
      <c r="E67" s="78"/>
      <c r="F67" s="3"/>
      <c r="G67" s="3"/>
      <c r="H67" s="3"/>
      <c r="I67" s="3"/>
      <c r="J67" s="3"/>
      <c r="K67" s="3"/>
      <c r="L67" s="177"/>
      <c r="M67" s="77">
        <f>S65/(SQRT(P65)*SQRT(R65))</f>
        <v>0.9847890726601084</v>
      </c>
    </row>
    <row r="69" spans="1:19" ht="26" thickBot="1" x14ac:dyDescent="0.3">
      <c r="C69" s="38"/>
      <c r="D69" s="38"/>
      <c r="E69" s="38"/>
      <c r="F69" s="56" t="s">
        <v>31</v>
      </c>
      <c r="G69" s="38"/>
      <c r="H69" s="38"/>
      <c r="I69" s="76"/>
      <c r="J69" s="38"/>
      <c r="K69" s="38"/>
      <c r="L69" s="75"/>
      <c r="M69" s="74"/>
      <c r="N69" s="38"/>
      <c r="O69" s="38"/>
    </row>
    <row r="70" spans="1:19" ht="49" thickBot="1" x14ac:dyDescent="0.2">
      <c r="A70" s="203" t="s">
        <v>19</v>
      </c>
      <c r="B70" s="193"/>
      <c r="C70" s="193"/>
      <c r="D70" s="194"/>
      <c r="E70" s="235" t="s">
        <v>18</v>
      </c>
      <c r="F70" s="203" t="s">
        <v>85</v>
      </c>
      <c r="G70" s="193"/>
      <c r="H70" s="193"/>
      <c r="I70" s="193"/>
      <c r="J70" s="193"/>
      <c r="K70" s="193"/>
      <c r="L70" s="194"/>
      <c r="O70" s="232" t="s">
        <v>18</v>
      </c>
      <c r="P70" s="233"/>
      <c r="Q70" s="228" t="s">
        <v>71</v>
      </c>
      <c r="R70" s="229"/>
      <c r="S70" s="37" t="s">
        <v>91</v>
      </c>
    </row>
    <row r="71" spans="1:19" ht="27" thickBot="1" x14ac:dyDescent="0.35">
      <c r="A71" s="54" t="s">
        <v>16</v>
      </c>
      <c r="B71" s="55" t="s">
        <v>15</v>
      </c>
      <c r="C71" s="53" t="s">
        <v>14</v>
      </c>
      <c r="D71" s="33" t="s">
        <v>13</v>
      </c>
      <c r="E71" s="54" t="s">
        <v>12</v>
      </c>
      <c r="F71" s="52" t="s">
        <v>26</v>
      </c>
      <c r="G71" s="53" t="s">
        <v>11</v>
      </c>
      <c r="H71" s="53" t="s">
        <v>25</v>
      </c>
      <c r="I71" s="53" t="s">
        <v>10</v>
      </c>
      <c r="J71" s="53" t="s">
        <v>24</v>
      </c>
      <c r="K71" s="53" t="s">
        <v>9</v>
      </c>
      <c r="L71" s="33" t="s">
        <v>23</v>
      </c>
      <c r="O71" s="52" t="s">
        <v>7</v>
      </c>
      <c r="P71" s="33" t="s">
        <v>6</v>
      </c>
      <c r="Q71" s="32" t="s">
        <v>22</v>
      </c>
      <c r="R71" s="31" t="s">
        <v>21</v>
      </c>
      <c r="S71" s="30" t="s">
        <v>20</v>
      </c>
    </row>
    <row r="72" spans="1:19" ht="18" x14ac:dyDescent="0.2">
      <c r="A72" s="68">
        <v>1</v>
      </c>
      <c r="B72" s="67">
        <v>10</v>
      </c>
      <c r="C72" s="66">
        <v>0.99</v>
      </c>
      <c r="D72" s="65">
        <v>0.1</v>
      </c>
      <c r="E72" s="73">
        <f t="shared" ref="E72:E79" si="28">SQRT(C72)*D72*(1-C72^(B72*10))/(1-C72)</f>
        <v>6.3078985596503374</v>
      </c>
      <c r="F72" s="72">
        <v>0.25</v>
      </c>
      <c r="G72" s="66">
        <f t="shared" ref="G72:G79" si="29">B72/10</f>
        <v>1</v>
      </c>
      <c r="H72" s="71">
        <v>0.5</v>
      </c>
      <c r="I72" s="66">
        <f t="shared" ref="I72:I79" si="30">C72</f>
        <v>0.99</v>
      </c>
      <c r="J72" s="71">
        <v>0.25</v>
      </c>
      <c r="K72" s="66">
        <f t="shared" ref="K72:K79" si="31">D72/10</f>
        <v>0.01</v>
      </c>
      <c r="L72" s="65">
        <f>100*((F72*G72)+(H72*I72)+(J72*K72))</f>
        <v>74.75</v>
      </c>
      <c r="O72" s="70">
        <f>E72-E$81</f>
        <v>-45.913729560613234</v>
      </c>
      <c r="P72" s="69">
        <f t="shared" ref="P72:P79" si="32">O72^2</f>
        <v>2108.0705621651296</v>
      </c>
      <c r="Q72" s="59">
        <f>L72-L$81</f>
        <v>4.125</v>
      </c>
      <c r="R72" s="58">
        <f t="shared" ref="R72:R79" si="33">Q72^2</f>
        <v>17.015625</v>
      </c>
      <c r="S72" s="57">
        <f t="shared" ref="S72:S79" si="34">O72*Q72</f>
        <v>-189.3941344375296</v>
      </c>
    </row>
    <row r="73" spans="1:19" ht="18" x14ac:dyDescent="0.2">
      <c r="A73" s="29">
        <v>2</v>
      </c>
      <c r="B73" s="28">
        <v>10</v>
      </c>
      <c r="C73" s="27">
        <v>0.3</v>
      </c>
      <c r="D73" s="48">
        <v>10</v>
      </c>
      <c r="E73" s="51">
        <f t="shared" si="28"/>
        <v>7.8246079643595152</v>
      </c>
      <c r="F73" s="50">
        <f t="shared" ref="F73:F79" si="35">IF(G$3,G$3,"")</f>
        <v>0.25</v>
      </c>
      <c r="G73" s="27">
        <f t="shared" si="29"/>
        <v>1</v>
      </c>
      <c r="H73" s="49">
        <f t="shared" ref="H73:H79" si="36">IF(I$3,I$3,"")</f>
        <v>0.5</v>
      </c>
      <c r="I73" s="27">
        <f t="shared" si="30"/>
        <v>0.3</v>
      </c>
      <c r="J73" s="49">
        <f t="shared" ref="J73:J79" si="37">IF(K$3,K$3,"")</f>
        <v>0.25</v>
      </c>
      <c r="K73" s="27">
        <f t="shared" si="31"/>
        <v>1</v>
      </c>
      <c r="L73" s="48">
        <f>100*((F73*G73)+(H73*I73)+(J73*K73))</f>
        <v>65</v>
      </c>
      <c r="O73" s="47">
        <f>E73-E$81</f>
        <v>-44.397020155904059</v>
      </c>
      <c r="P73" s="46">
        <f t="shared" si="32"/>
        <v>1971.0953987237513</v>
      </c>
      <c r="Q73" s="22">
        <f>L73-L$81</f>
        <v>-5.625</v>
      </c>
      <c r="R73" s="21">
        <f t="shared" si="33"/>
        <v>31.640625</v>
      </c>
      <c r="S73" s="20">
        <f t="shared" si="34"/>
        <v>249.73323837696034</v>
      </c>
    </row>
    <row r="74" spans="1:19" ht="18" x14ac:dyDescent="0.2">
      <c r="A74" s="29">
        <v>3</v>
      </c>
      <c r="B74" s="28">
        <v>0.1</v>
      </c>
      <c r="C74" s="27">
        <v>0.99</v>
      </c>
      <c r="D74" s="48">
        <v>10</v>
      </c>
      <c r="E74" s="51">
        <f t="shared" si="28"/>
        <v>9.9498743710661994</v>
      </c>
      <c r="F74" s="50">
        <f t="shared" si="35"/>
        <v>0.25</v>
      </c>
      <c r="G74" s="27">
        <f t="shared" si="29"/>
        <v>0.01</v>
      </c>
      <c r="H74" s="49">
        <f t="shared" si="36"/>
        <v>0.5</v>
      </c>
      <c r="I74" s="27">
        <f t="shared" si="30"/>
        <v>0.99</v>
      </c>
      <c r="J74" s="49">
        <f t="shared" si="37"/>
        <v>0.25</v>
      </c>
      <c r="K74" s="27">
        <f t="shared" si="31"/>
        <v>1</v>
      </c>
      <c r="L74" s="48">
        <f>100*((F74*G74)+(H74*I74)+(J74*K74))</f>
        <v>74.75</v>
      </c>
      <c r="O74" s="47">
        <f>E74-E$81</f>
        <v>-42.271753749197373</v>
      </c>
      <c r="P74" s="46">
        <f t="shared" si="32"/>
        <v>1786.901165032782</v>
      </c>
      <c r="Q74" s="22">
        <f>L74-L$81</f>
        <v>4.125</v>
      </c>
      <c r="R74" s="21">
        <f t="shared" si="33"/>
        <v>17.015625</v>
      </c>
      <c r="S74" s="20">
        <f t="shared" si="34"/>
        <v>-174.37098421543917</v>
      </c>
    </row>
    <row r="75" spans="1:19" ht="18" x14ac:dyDescent="0.2">
      <c r="A75" s="29">
        <v>4</v>
      </c>
      <c r="B75" s="28">
        <v>5</v>
      </c>
      <c r="C75" s="27">
        <v>0.95</v>
      </c>
      <c r="D75" s="48">
        <v>5</v>
      </c>
      <c r="E75" s="51">
        <f t="shared" si="28"/>
        <v>89.968274949204201</v>
      </c>
      <c r="F75" s="50">
        <f t="shared" si="35"/>
        <v>0.25</v>
      </c>
      <c r="G75" s="27">
        <f t="shared" si="29"/>
        <v>0.5</v>
      </c>
      <c r="H75" s="49">
        <f t="shared" si="36"/>
        <v>0.5</v>
      </c>
      <c r="I75" s="27">
        <f t="shared" si="30"/>
        <v>0.95</v>
      </c>
      <c r="J75" s="49">
        <f t="shared" si="37"/>
        <v>0.25</v>
      </c>
      <c r="K75" s="27">
        <f t="shared" si="31"/>
        <v>0.5</v>
      </c>
      <c r="L75" s="48">
        <f>100*((F75*G75)+(H75*I75)+(J75*K75))</f>
        <v>72.5</v>
      </c>
      <c r="O75" s="47">
        <f>E75-E$81</f>
        <v>37.746646828940627</v>
      </c>
      <c r="P75" s="46">
        <f t="shared" si="32"/>
        <v>1424.8093468287734</v>
      </c>
      <c r="Q75" s="22">
        <f>L75-L$81</f>
        <v>1.875</v>
      </c>
      <c r="R75" s="21">
        <f t="shared" si="33"/>
        <v>3.515625</v>
      </c>
      <c r="S75" s="20">
        <f t="shared" si="34"/>
        <v>70.77496280426368</v>
      </c>
    </row>
    <row r="76" spans="1:19" ht="18" x14ac:dyDescent="0.2">
      <c r="A76" s="29">
        <v>5</v>
      </c>
      <c r="B76" s="28">
        <v>1</v>
      </c>
      <c r="C76" s="27">
        <v>0.98</v>
      </c>
      <c r="D76" s="48">
        <v>5</v>
      </c>
      <c r="E76" s="51">
        <f t="shared" si="28"/>
        <v>45.272170549632882</v>
      </c>
      <c r="F76" s="50">
        <f t="shared" si="35"/>
        <v>0.25</v>
      </c>
      <c r="G76" s="27">
        <f t="shared" si="29"/>
        <v>0.1</v>
      </c>
      <c r="H76" s="49">
        <f t="shared" si="36"/>
        <v>0.5</v>
      </c>
      <c r="I76" s="27">
        <f t="shared" si="30"/>
        <v>0.98</v>
      </c>
      <c r="J76" s="49">
        <f t="shared" si="37"/>
        <v>0.25</v>
      </c>
      <c r="K76" s="27">
        <f t="shared" si="31"/>
        <v>0.5</v>
      </c>
      <c r="L76" s="48">
        <f>100*((F76*G76)+(H76*I76)+(J76*K76))</f>
        <v>64</v>
      </c>
      <c r="O76" s="47">
        <f>E76-E$81</f>
        <v>-6.9494575706306918</v>
      </c>
      <c r="P76" s="46">
        <f t="shared" si="32"/>
        <v>48.294960525996238</v>
      </c>
      <c r="Q76" s="22">
        <f>L76-L$81</f>
        <v>-6.625</v>
      </c>
      <c r="R76" s="21">
        <f t="shared" si="33"/>
        <v>43.890625</v>
      </c>
      <c r="S76" s="20">
        <f t="shared" si="34"/>
        <v>46.040156405428334</v>
      </c>
    </row>
    <row r="77" spans="1:19" ht="18" x14ac:dyDescent="0.2">
      <c r="A77" s="29">
        <v>6</v>
      </c>
      <c r="B77" s="28">
        <v>5</v>
      </c>
      <c r="C77" s="27">
        <v>0.98</v>
      </c>
      <c r="D77" s="48">
        <v>3</v>
      </c>
      <c r="E77" s="51">
        <f t="shared" si="28"/>
        <v>94.415985487826404</v>
      </c>
      <c r="F77" s="50">
        <f t="shared" si="35"/>
        <v>0.25</v>
      </c>
      <c r="G77" s="27">
        <f t="shared" si="29"/>
        <v>0.5</v>
      </c>
      <c r="H77" s="49">
        <f t="shared" si="36"/>
        <v>0.5</v>
      </c>
      <c r="I77" s="27">
        <f t="shared" si="30"/>
        <v>0.98</v>
      </c>
      <c r="J77" s="49">
        <f t="shared" si="37"/>
        <v>0.25</v>
      </c>
      <c r="K77" s="27">
        <f t="shared" si="31"/>
        <v>0.3</v>
      </c>
      <c r="L77" s="48">
        <f>IF(K$7,100*((F77*G77)+(H77*I77)+(J77*K77)),"")</f>
        <v>69</v>
      </c>
      <c r="O77" s="47">
        <f>E77-E$81</f>
        <v>42.19435736756283</v>
      </c>
      <c r="P77" s="46">
        <f t="shared" si="32"/>
        <v>1780.3637936616037</v>
      </c>
      <c r="Q77" s="22">
        <f>L77-L$81</f>
        <v>-1.625</v>
      </c>
      <c r="R77" s="21">
        <f t="shared" si="33"/>
        <v>2.640625</v>
      </c>
      <c r="S77" s="20">
        <f t="shared" si="34"/>
        <v>-68.565830722289604</v>
      </c>
    </row>
    <row r="78" spans="1:19" ht="18" x14ac:dyDescent="0.2">
      <c r="A78" s="29">
        <v>7</v>
      </c>
      <c r="B78" s="28">
        <v>7</v>
      </c>
      <c r="C78" s="27">
        <v>0.95</v>
      </c>
      <c r="D78" s="48">
        <v>3</v>
      </c>
      <c r="E78" s="51">
        <f t="shared" si="28"/>
        <v>56.867650721105015</v>
      </c>
      <c r="F78" s="50">
        <f t="shared" si="35"/>
        <v>0.25</v>
      </c>
      <c r="G78" s="27">
        <f t="shared" si="29"/>
        <v>0.7</v>
      </c>
      <c r="H78" s="49">
        <f t="shared" si="36"/>
        <v>0.5</v>
      </c>
      <c r="I78" s="27">
        <f t="shared" si="30"/>
        <v>0.95</v>
      </c>
      <c r="J78" s="49">
        <f t="shared" si="37"/>
        <v>0.25</v>
      </c>
      <c r="K78" s="27">
        <f t="shared" si="31"/>
        <v>0.3</v>
      </c>
      <c r="L78" s="48">
        <f>IF(K$7,100*((F78*G78)+(H78*I78)+(J78*K78)),"")</f>
        <v>72.499999999999986</v>
      </c>
      <c r="O78" s="47">
        <f>E78-E$81</f>
        <v>4.6460226008414409</v>
      </c>
      <c r="P78" s="46">
        <f t="shared" si="32"/>
        <v>21.585526007529467</v>
      </c>
      <c r="Q78" s="22">
        <f>L78-L$81</f>
        <v>1.8749999999999858</v>
      </c>
      <c r="R78" s="21">
        <f t="shared" si="33"/>
        <v>3.5156249999999467</v>
      </c>
      <c r="S78" s="20">
        <f t="shared" si="34"/>
        <v>8.7112923765776351</v>
      </c>
    </row>
    <row r="79" spans="1:19" ht="19" thickBot="1" x14ac:dyDescent="0.25">
      <c r="A79" s="19">
        <v>8</v>
      </c>
      <c r="B79" s="18">
        <v>3</v>
      </c>
      <c r="C79" s="17">
        <v>0.95</v>
      </c>
      <c r="D79" s="42">
        <v>7</v>
      </c>
      <c r="E79" s="45">
        <f t="shared" si="28"/>
        <v>107.16656235926408</v>
      </c>
      <c r="F79" s="44">
        <f t="shared" si="35"/>
        <v>0.25</v>
      </c>
      <c r="G79" s="17">
        <f t="shared" si="29"/>
        <v>0.3</v>
      </c>
      <c r="H79" s="43">
        <f t="shared" si="36"/>
        <v>0.5</v>
      </c>
      <c r="I79" s="17">
        <f t="shared" si="30"/>
        <v>0.95</v>
      </c>
      <c r="J79" s="43">
        <f t="shared" si="37"/>
        <v>0.25</v>
      </c>
      <c r="K79" s="17">
        <f t="shared" si="31"/>
        <v>0.7</v>
      </c>
      <c r="L79" s="42">
        <f>IF(K$7,100*((F79*G79)+(H79*I79)+(J79*K79)),"")</f>
        <v>72.499999999999986</v>
      </c>
      <c r="O79" s="41">
        <f>E79-E$81</f>
        <v>54.944934239000503</v>
      </c>
      <c r="P79" s="40">
        <f t="shared" si="32"/>
        <v>3018.9457985280897</v>
      </c>
      <c r="Q79" s="12">
        <f>L79-L$81</f>
        <v>1.8749999999999858</v>
      </c>
      <c r="R79" s="11">
        <f t="shared" si="33"/>
        <v>3.5156249999999467</v>
      </c>
      <c r="S79" s="10">
        <f t="shared" si="34"/>
        <v>103.02175169812516</v>
      </c>
    </row>
    <row r="80" spans="1:19" ht="18" x14ac:dyDescent="0.2">
      <c r="A80" s="8" t="s">
        <v>2</v>
      </c>
      <c r="B80" s="8"/>
      <c r="E80"/>
      <c r="L80"/>
      <c r="P80" s="6">
        <f>SUM(P72:P79)</f>
        <v>12160.066551473656</v>
      </c>
      <c r="Q80" s="6"/>
      <c r="R80" s="6">
        <f>SUM(R72:R79)</f>
        <v>122.74999999999989</v>
      </c>
      <c r="S80" s="6">
        <f>SUM(S72:S79)</f>
        <v>45.950452286096777</v>
      </c>
    </row>
    <row r="81" spans="1:19" ht="17" thickBot="1" x14ac:dyDescent="0.25">
      <c r="A81" s="8" t="s">
        <v>1</v>
      </c>
      <c r="B81" s="8"/>
      <c r="E81" s="7">
        <f>AVERAGE(E72:E79)</f>
        <v>52.221628120263574</v>
      </c>
      <c r="L81" s="7">
        <f>AVERAGE(L72:L79)</f>
        <v>70.625</v>
      </c>
    </row>
    <row r="82" spans="1:19" ht="21" thickBot="1" x14ac:dyDescent="0.25">
      <c r="A82" s="5" t="s">
        <v>0</v>
      </c>
      <c r="B82" s="4"/>
      <c r="C82" s="3"/>
      <c r="D82" s="3"/>
      <c r="E82" s="3"/>
      <c r="F82" s="3"/>
      <c r="G82" s="3"/>
      <c r="H82" s="3"/>
      <c r="I82" s="3"/>
      <c r="J82" s="3"/>
      <c r="K82" s="3"/>
      <c r="L82" s="2">
        <f>S80/(SQRT(P80)*SQRT(R80))</f>
        <v>3.7610669489424244E-2</v>
      </c>
      <c r="O82" s="39"/>
      <c r="P82" s="39"/>
      <c r="Q82" s="38"/>
      <c r="R82" s="38"/>
      <c r="S82" s="38"/>
    </row>
    <row r="84" spans="1:19" ht="14" thickBot="1" x14ac:dyDescent="0.2"/>
    <row r="85" spans="1:19" ht="49" thickBot="1" x14ac:dyDescent="0.2">
      <c r="A85" s="203" t="s">
        <v>19</v>
      </c>
      <c r="B85" s="193"/>
      <c r="C85" s="193"/>
      <c r="D85" s="194"/>
      <c r="E85" s="235" t="s">
        <v>18</v>
      </c>
      <c r="F85" s="185" t="s">
        <v>86</v>
      </c>
      <c r="G85" s="204"/>
      <c r="H85" s="204"/>
      <c r="I85" s="204"/>
      <c r="J85" s="204"/>
      <c r="K85" s="204"/>
      <c r="L85" s="186"/>
      <c r="O85" s="232" t="s">
        <v>18</v>
      </c>
      <c r="P85" s="233"/>
      <c r="Q85" s="228" t="s">
        <v>17</v>
      </c>
      <c r="R85" s="229"/>
      <c r="S85" s="234" t="s">
        <v>92</v>
      </c>
    </row>
    <row r="86" spans="1:19" ht="27" thickBot="1" x14ac:dyDescent="0.35">
      <c r="A86" s="30" t="s">
        <v>16</v>
      </c>
      <c r="B86" s="34" t="s">
        <v>15</v>
      </c>
      <c r="C86" s="36" t="s">
        <v>14</v>
      </c>
      <c r="D86" s="31" t="s">
        <v>13</v>
      </c>
      <c r="E86" s="30" t="s">
        <v>12</v>
      </c>
      <c r="F86" s="210" t="s">
        <v>11</v>
      </c>
      <c r="G86" s="211"/>
      <c r="H86" s="212" t="s">
        <v>10</v>
      </c>
      <c r="I86" s="211"/>
      <c r="J86" s="212" t="s">
        <v>9</v>
      </c>
      <c r="K86" s="211"/>
      <c r="L86" s="33" t="s">
        <v>8</v>
      </c>
      <c r="O86" s="32" t="s">
        <v>7</v>
      </c>
      <c r="P86" s="31" t="s">
        <v>6</v>
      </c>
      <c r="Q86" s="32" t="s">
        <v>30</v>
      </c>
      <c r="R86" s="31" t="s">
        <v>29</v>
      </c>
      <c r="S86" s="30" t="s">
        <v>28</v>
      </c>
    </row>
    <row r="87" spans="1:19" ht="18" x14ac:dyDescent="0.2">
      <c r="A87" s="68">
        <v>1</v>
      </c>
      <c r="B87" s="67">
        <v>10</v>
      </c>
      <c r="C87" s="66">
        <v>0.99</v>
      </c>
      <c r="D87" s="65">
        <v>0.1</v>
      </c>
      <c r="E87" s="64">
        <f t="shared" ref="E87:E94" si="38">SQRT(C87)*D87*(1-C87^(B87*10))/(1-C87)</f>
        <v>6.3078985596503374</v>
      </c>
      <c r="F87" s="213">
        <f t="shared" ref="F87:F94" si="39">1-EXP(-0.223143554*B87^1.1027289)</f>
        <v>0.94080500149980906</v>
      </c>
      <c r="G87" s="214"/>
      <c r="H87" s="214">
        <f t="shared" ref="H87:H94" si="40">1-EXP(-0.01661*(C87/(1-C87))^1.2672)</f>
        <v>0.99635194946502426</v>
      </c>
      <c r="I87" s="214"/>
      <c r="J87" s="215">
        <f t="shared" ref="J87:J94" si="41">D87</f>
        <v>0.1</v>
      </c>
      <c r="K87" s="216"/>
      <c r="L87" s="61">
        <f t="shared" ref="L87:L94" si="42">50*F87*H87*J87</f>
        <v>4.6868644865538993</v>
      </c>
      <c r="O87" s="59">
        <f>E87-E$96</f>
        <v>-45.913729560613234</v>
      </c>
      <c r="P87" s="60">
        <f t="shared" ref="P87:P94" si="43">O87^2</f>
        <v>2108.0705621651296</v>
      </c>
      <c r="Q87" s="59">
        <f>L87-L$96</f>
        <v>-46.248192516886292</v>
      </c>
      <c r="R87" s="58">
        <f t="shared" ref="R87:R94" si="44">Q87^2</f>
        <v>2138.8953110789771</v>
      </c>
      <c r="S87" s="57">
        <f t="shared" ref="S87:S94" si="45">O87*Q87</f>
        <v>2123.4270038874938</v>
      </c>
    </row>
    <row r="88" spans="1:19" ht="18" x14ac:dyDescent="0.2">
      <c r="A88" s="29">
        <v>2</v>
      </c>
      <c r="B88" s="28">
        <v>10</v>
      </c>
      <c r="C88" s="27">
        <v>0.3</v>
      </c>
      <c r="D88" s="24">
        <v>10</v>
      </c>
      <c r="E88" s="26">
        <f t="shared" si="38"/>
        <v>7.8246079643595152</v>
      </c>
      <c r="F88" s="205">
        <f t="shared" si="39"/>
        <v>0.94080500149980906</v>
      </c>
      <c r="G88" s="206"/>
      <c r="H88" s="207">
        <f t="shared" si="40"/>
        <v>5.6602736586222058E-3</v>
      </c>
      <c r="I88" s="207"/>
      <c r="J88" s="208">
        <f t="shared" si="41"/>
        <v>10</v>
      </c>
      <c r="K88" s="209"/>
      <c r="L88" s="24">
        <f t="shared" si="42"/>
        <v>2.6626068839446972</v>
      </c>
      <c r="O88" s="22">
        <f>E88-E$96</f>
        <v>-44.397020155904059</v>
      </c>
      <c r="P88" s="23">
        <f t="shared" si="43"/>
        <v>1971.0953987237513</v>
      </c>
      <c r="Q88" s="22">
        <f>L88-L$96</f>
        <v>-48.272450119495495</v>
      </c>
      <c r="R88" s="21">
        <f t="shared" si="44"/>
        <v>2330.2294405391808</v>
      </c>
      <c r="S88" s="20">
        <f t="shared" si="45"/>
        <v>2143.1529409301147</v>
      </c>
    </row>
    <row r="89" spans="1:19" ht="18" x14ac:dyDescent="0.2">
      <c r="A89" s="29">
        <v>3</v>
      </c>
      <c r="B89" s="28">
        <v>0.1</v>
      </c>
      <c r="C89" s="27">
        <v>0.99</v>
      </c>
      <c r="D89" s="24">
        <v>10</v>
      </c>
      <c r="E89" s="26">
        <f t="shared" si="38"/>
        <v>9.9498743710661994</v>
      </c>
      <c r="F89" s="205">
        <f t="shared" si="39"/>
        <v>1.7459678839365833E-2</v>
      </c>
      <c r="G89" s="206"/>
      <c r="H89" s="207">
        <f t="shared" si="40"/>
        <v>0.99635194946502426</v>
      </c>
      <c r="I89" s="207"/>
      <c r="J89" s="208">
        <f t="shared" si="41"/>
        <v>10</v>
      </c>
      <c r="K89" s="209"/>
      <c r="L89" s="24">
        <f t="shared" si="42"/>
        <v>8.6979925243176908</v>
      </c>
      <c r="O89" s="22">
        <f>E89-E$96</f>
        <v>-42.271753749197373</v>
      </c>
      <c r="P89" s="23">
        <f t="shared" si="43"/>
        <v>1786.901165032782</v>
      </c>
      <c r="Q89" s="22">
        <f>L89-L$96</f>
        <v>-42.237064479122502</v>
      </c>
      <c r="R89" s="21">
        <f t="shared" si="44"/>
        <v>1783.9696158135519</v>
      </c>
      <c r="S89" s="20">
        <f t="shared" si="45"/>
        <v>1785.4347887504377</v>
      </c>
    </row>
    <row r="90" spans="1:19" ht="18" x14ac:dyDescent="0.2">
      <c r="A90" s="29">
        <v>4</v>
      </c>
      <c r="B90" s="28">
        <v>5</v>
      </c>
      <c r="C90" s="27">
        <v>0.95</v>
      </c>
      <c r="D90" s="24">
        <v>5</v>
      </c>
      <c r="E90" s="26">
        <f t="shared" si="38"/>
        <v>89.968274949204201</v>
      </c>
      <c r="F90" s="205">
        <f t="shared" si="39"/>
        <v>0.73187762664913536</v>
      </c>
      <c r="G90" s="206"/>
      <c r="H90" s="207">
        <f t="shared" si="40"/>
        <v>0.49998462597001725</v>
      </c>
      <c r="I90" s="207"/>
      <c r="J90" s="208">
        <f t="shared" si="41"/>
        <v>5</v>
      </c>
      <c r="K90" s="209"/>
      <c r="L90" s="24">
        <f t="shared" si="42"/>
        <v>91.481890353997969</v>
      </c>
      <c r="O90" s="22">
        <f>E90-E$96</f>
        <v>37.746646828940627</v>
      </c>
      <c r="P90" s="23">
        <f t="shared" si="43"/>
        <v>1424.8093468287734</v>
      </c>
      <c r="Q90" s="22">
        <f>L90-L$96</f>
        <v>40.546833350557776</v>
      </c>
      <c r="R90" s="21">
        <f t="shared" si="44"/>
        <v>1644.0456947579044</v>
      </c>
      <c r="S90" s="20">
        <f t="shared" si="45"/>
        <v>1530.5069985154157</v>
      </c>
    </row>
    <row r="91" spans="1:19" ht="18" x14ac:dyDescent="0.2">
      <c r="A91" s="29">
        <v>5</v>
      </c>
      <c r="B91" s="28">
        <v>1</v>
      </c>
      <c r="C91" s="27">
        <v>0.98</v>
      </c>
      <c r="D91" s="24">
        <v>5</v>
      </c>
      <c r="E91" s="26">
        <f t="shared" si="38"/>
        <v>45.272170549632882</v>
      </c>
      <c r="F91" s="205">
        <f t="shared" si="39"/>
        <v>0.20000000214863223</v>
      </c>
      <c r="G91" s="206"/>
      <c r="H91" s="207">
        <f t="shared" si="40"/>
        <v>0.89998431436179305</v>
      </c>
      <c r="I91" s="207"/>
      <c r="J91" s="208">
        <f t="shared" si="41"/>
        <v>5</v>
      </c>
      <c r="K91" s="209"/>
      <c r="L91" s="24">
        <f t="shared" si="42"/>
        <v>44.999216201523481</v>
      </c>
      <c r="O91" s="22">
        <f>E91-E$96</f>
        <v>-6.9494575706306918</v>
      </c>
      <c r="P91" s="23">
        <f t="shared" si="43"/>
        <v>48.294960525996238</v>
      </c>
      <c r="Q91" s="22">
        <f>L91-L$96</f>
        <v>-5.9358408019167115</v>
      </c>
      <c r="R91" s="21">
        <f t="shared" si="44"/>
        <v>35.23420602569923</v>
      </c>
      <c r="S91" s="20">
        <f t="shared" si="45"/>
        <v>41.250873798938649</v>
      </c>
    </row>
    <row r="92" spans="1:19" ht="18" x14ac:dyDescent="0.2">
      <c r="A92" s="29">
        <v>6</v>
      </c>
      <c r="B92" s="28">
        <v>5</v>
      </c>
      <c r="C92" s="27">
        <v>0.98</v>
      </c>
      <c r="D92" s="24">
        <v>3</v>
      </c>
      <c r="E92" s="26">
        <f t="shared" si="38"/>
        <v>94.415985487826404</v>
      </c>
      <c r="F92" s="205">
        <f t="shared" si="39"/>
        <v>0.73187762664913536</v>
      </c>
      <c r="G92" s="206"/>
      <c r="H92" s="207">
        <f t="shared" si="40"/>
        <v>0.89998431436179305</v>
      </c>
      <c r="I92" s="207"/>
      <c r="J92" s="208">
        <f t="shared" si="41"/>
        <v>3</v>
      </c>
      <c r="K92" s="209"/>
      <c r="L92" s="24">
        <f t="shared" si="42"/>
        <v>98.801757602483775</v>
      </c>
      <c r="O92" s="22">
        <f>E92-E$96</f>
        <v>42.19435736756283</v>
      </c>
      <c r="P92" s="23">
        <f t="shared" si="43"/>
        <v>1780.3637936616037</v>
      </c>
      <c r="Q92" s="22">
        <f>L92-L$96</f>
        <v>47.866700599043583</v>
      </c>
      <c r="R92" s="21">
        <f t="shared" si="44"/>
        <v>2291.2210262384792</v>
      </c>
      <c r="S92" s="20">
        <f t="shared" si="45"/>
        <v>2019.7046710821787</v>
      </c>
    </row>
    <row r="93" spans="1:19" ht="18" x14ac:dyDescent="0.2">
      <c r="A93" s="29">
        <v>7</v>
      </c>
      <c r="B93" s="28">
        <v>7</v>
      </c>
      <c r="C93" s="27">
        <v>0.95</v>
      </c>
      <c r="D93" s="24">
        <v>3</v>
      </c>
      <c r="E93" s="26">
        <f t="shared" si="38"/>
        <v>56.867650721105015</v>
      </c>
      <c r="F93" s="205">
        <f t="shared" si="39"/>
        <v>0.85157100728615287</v>
      </c>
      <c r="G93" s="206"/>
      <c r="H93" s="207">
        <f t="shared" si="40"/>
        <v>0.49998462597001725</v>
      </c>
      <c r="I93" s="207"/>
      <c r="J93" s="208">
        <f t="shared" si="41"/>
        <v>3</v>
      </c>
      <c r="K93" s="209"/>
      <c r="L93" s="24">
        <f t="shared" si="42"/>
        <v>63.865861734731702</v>
      </c>
      <c r="O93" s="22">
        <f>E93-E$96</f>
        <v>4.6460226008414409</v>
      </c>
      <c r="P93" s="23">
        <f t="shared" si="43"/>
        <v>21.585526007529467</v>
      </c>
      <c r="Q93" s="22">
        <f>L93-L$96</f>
        <v>12.930804731291509</v>
      </c>
      <c r="R93" s="21">
        <f t="shared" si="44"/>
        <v>167.20571099879089</v>
      </c>
      <c r="S93" s="20">
        <f t="shared" si="45"/>
        <v>60.076811028647789</v>
      </c>
    </row>
    <row r="94" spans="1:19" ht="19" thickBot="1" x14ac:dyDescent="0.25">
      <c r="A94" s="19">
        <v>8</v>
      </c>
      <c r="B94" s="18">
        <v>3</v>
      </c>
      <c r="C94" s="17">
        <v>0.95</v>
      </c>
      <c r="D94" s="14">
        <v>7</v>
      </c>
      <c r="E94" s="16">
        <f t="shared" si="38"/>
        <v>107.16656235926408</v>
      </c>
      <c r="F94" s="217">
        <f t="shared" si="39"/>
        <v>0.52735487936784431</v>
      </c>
      <c r="G94" s="218"/>
      <c r="H94" s="219">
        <f t="shared" si="40"/>
        <v>0.49998462597001725</v>
      </c>
      <c r="I94" s="219"/>
      <c r="J94" s="220">
        <f t="shared" si="41"/>
        <v>7</v>
      </c>
      <c r="K94" s="221"/>
      <c r="L94" s="14">
        <f t="shared" si="42"/>
        <v>92.284266239968332</v>
      </c>
      <c r="O94" s="12">
        <f>E94-E$96</f>
        <v>54.944934239000503</v>
      </c>
      <c r="P94" s="13">
        <f t="shared" si="43"/>
        <v>3018.9457985280897</v>
      </c>
      <c r="Q94" s="12">
        <f>L94-L$96</f>
        <v>41.349209236528139</v>
      </c>
      <c r="R94" s="11">
        <f t="shared" si="44"/>
        <v>1709.7571044861841</v>
      </c>
      <c r="S94" s="10">
        <f t="shared" si="45"/>
        <v>2271.9295823357106</v>
      </c>
    </row>
    <row r="95" spans="1:19" ht="18" x14ac:dyDescent="0.2">
      <c r="A95" s="8" t="s">
        <v>2</v>
      </c>
      <c r="B95" s="8"/>
      <c r="E95"/>
      <c r="L95"/>
      <c r="O95" s="9"/>
      <c r="P95" s="6">
        <f>SUM(P87:P94)</f>
        <v>12160.066551473656</v>
      </c>
      <c r="Q95" s="6"/>
      <c r="R95" s="6">
        <f>SUM(R87:R94)</f>
        <v>12100.558109938767</v>
      </c>
      <c r="S95" s="6">
        <f>SUM(S87:S94)</f>
        <v>11975.483670328937</v>
      </c>
    </row>
    <row r="96" spans="1:19" ht="19" thickBot="1" x14ac:dyDescent="0.25">
      <c r="A96" s="8" t="s">
        <v>1</v>
      </c>
      <c r="B96" s="8"/>
      <c r="E96" s="7">
        <f>AVERAGE(E87:E94)</f>
        <v>52.221628120263574</v>
      </c>
      <c r="L96" s="7">
        <f>AVERAGE(L87:L94)</f>
        <v>50.935057003440193</v>
      </c>
      <c r="P96" s="6"/>
      <c r="Q96" s="6"/>
      <c r="R96" s="6"/>
      <c r="S96" s="6"/>
    </row>
    <row r="97" spans="1:19" ht="21" thickBot="1" x14ac:dyDescent="0.25">
      <c r="A97" s="5" t="s">
        <v>0</v>
      </c>
      <c r="B97" s="4"/>
      <c r="C97" s="3"/>
      <c r="D97" s="3"/>
      <c r="E97" s="3"/>
      <c r="F97" s="3"/>
      <c r="G97" s="3"/>
      <c r="H97" s="3"/>
      <c r="I97" s="3"/>
      <c r="J97" s="3"/>
      <c r="K97" s="3"/>
      <c r="L97" s="2">
        <f>S95/(SQRT(P95)*SQRT(R95))</f>
        <v>0.98723918807887789</v>
      </c>
    </row>
    <row r="102" spans="1:19" ht="26" thickBot="1" x14ac:dyDescent="0.3">
      <c r="F102" s="56" t="s">
        <v>27</v>
      </c>
    </row>
    <row r="103" spans="1:19" ht="49" thickBot="1" x14ac:dyDescent="0.2">
      <c r="A103" s="203" t="s">
        <v>19</v>
      </c>
      <c r="B103" s="193"/>
      <c r="C103" s="193"/>
      <c r="D103" s="194"/>
      <c r="E103" s="235" t="s">
        <v>18</v>
      </c>
      <c r="F103" s="203" t="s">
        <v>85</v>
      </c>
      <c r="G103" s="193"/>
      <c r="H103" s="193"/>
      <c r="I103" s="193"/>
      <c r="J103" s="193"/>
      <c r="K103" s="193"/>
      <c r="L103" s="194"/>
      <c r="O103" s="232" t="s">
        <v>18</v>
      </c>
      <c r="P103" s="233"/>
      <c r="Q103" s="228" t="s">
        <v>71</v>
      </c>
      <c r="R103" s="229"/>
      <c r="S103" s="37" t="s">
        <v>91</v>
      </c>
    </row>
    <row r="104" spans="1:19" ht="27" thickBot="1" x14ac:dyDescent="0.35">
      <c r="A104" s="54" t="s">
        <v>16</v>
      </c>
      <c r="B104" s="55" t="s">
        <v>15</v>
      </c>
      <c r="C104" s="53" t="s">
        <v>14</v>
      </c>
      <c r="D104" s="33" t="s">
        <v>13</v>
      </c>
      <c r="E104" s="54" t="s">
        <v>12</v>
      </c>
      <c r="F104" s="52" t="s">
        <v>26</v>
      </c>
      <c r="G104" s="53" t="s">
        <v>11</v>
      </c>
      <c r="H104" s="53" t="s">
        <v>25</v>
      </c>
      <c r="I104" s="53" t="s">
        <v>10</v>
      </c>
      <c r="J104" s="53" t="s">
        <v>24</v>
      </c>
      <c r="K104" s="53" t="s">
        <v>9</v>
      </c>
      <c r="L104" s="33" t="s">
        <v>23</v>
      </c>
      <c r="O104" s="52" t="s">
        <v>7</v>
      </c>
      <c r="P104" s="33" t="s">
        <v>6</v>
      </c>
      <c r="Q104" s="32" t="s">
        <v>22</v>
      </c>
      <c r="R104" s="31" t="s">
        <v>21</v>
      </c>
      <c r="S104" s="30" t="s">
        <v>20</v>
      </c>
    </row>
    <row r="105" spans="1:19" ht="18" x14ac:dyDescent="0.2">
      <c r="A105" s="29">
        <v>4</v>
      </c>
      <c r="B105" s="28">
        <v>5</v>
      </c>
      <c r="C105" s="27">
        <v>0.95</v>
      </c>
      <c r="D105" s="48">
        <v>5</v>
      </c>
      <c r="E105" s="51">
        <f>SQRT(C105)*D105*(1-C105^(B105*10))/(1-C105)</f>
        <v>89.968274949204201</v>
      </c>
      <c r="F105" s="50">
        <f>IF(G$3,G$3,"")</f>
        <v>0.25</v>
      </c>
      <c r="G105" s="27">
        <f>B105/10</f>
        <v>0.5</v>
      </c>
      <c r="H105" s="49">
        <f>IF(I$3,I$3,"")</f>
        <v>0.5</v>
      </c>
      <c r="I105" s="27">
        <f>C105</f>
        <v>0.95</v>
      </c>
      <c r="J105" s="49">
        <f>IF(K$3,K$3,"")</f>
        <v>0.25</v>
      </c>
      <c r="K105" s="27">
        <f>D105/10</f>
        <v>0.5</v>
      </c>
      <c r="L105" s="48">
        <f>100*((F105*G105)+(H105*I105)+(J105*K105))</f>
        <v>72.5</v>
      </c>
      <c r="O105" s="47">
        <f>E105-E$111</f>
        <v>11.230146135797682</v>
      </c>
      <c r="P105" s="46">
        <f>O105^2</f>
        <v>126.11618223137161</v>
      </c>
      <c r="Q105" s="22">
        <f>L105-L$111</f>
        <v>2.4000000000000057</v>
      </c>
      <c r="R105" s="21">
        <f>Q105^2</f>
        <v>5.7600000000000273</v>
      </c>
      <c r="S105" s="20">
        <f>O105*Q105</f>
        <v>26.952350725914499</v>
      </c>
    </row>
    <row r="106" spans="1:19" ht="18" x14ac:dyDescent="0.2">
      <c r="A106" s="29">
        <v>5</v>
      </c>
      <c r="B106" s="28">
        <v>1</v>
      </c>
      <c r="C106" s="27">
        <v>0.98</v>
      </c>
      <c r="D106" s="48">
        <v>5</v>
      </c>
      <c r="E106" s="51">
        <f>SQRT(C106)*D106*(1-C106^(B106*10))/(1-C106)</f>
        <v>45.272170549632882</v>
      </c>
      <c r="F106" s="50">
        <f>IF(G$3,G$3,"")</f>
        <v>0.25</v>
      </c>
      <c r="G106" s="27">
        <f>B106/10</f>
        <v>0.1</v>
      </c>
      <c r="H106" s="49">
        <f>IF(I$3,I$3,"")</f>
        <v>0.5</v>
      </c>
      <c r="I106" s="27">
        <f>C106</f>
        <v>0.98</v>
      </c>
      <c r="J106" s="49">
        <f>IF(K$3,K$3,"")</f>
        <v>0.25</v>
      </c>
      <c r="K106" s="27">
        <f>D106/10</f>
        <v>0.5</v>
      </c>
      <c r="L106" s="48">
        <f>100*((F106*G106)+(H106*I106)+(J106*K106))</f>
        <v>64</v>
      </c>
      <c r="O106" s="47">
        <f>E106-E$111</f>
        <v>-33.465958263773636</v>
      </c>
      <c r="P106" s="46">
        <f>O106^2</f>
        <v>1119.970362512639</v>
      </c>
      <c r="Q106" s="22">
        <f>L106-L$111</f>
        <v>-6.0999999999999943</v>
      </c>
      <c r="R106" s="21">
        <f>Q106^2</f>
        <v>37.20999999999993</v>
      </c>
      <c r="S106" s="20">
        <f>O106*Q106</f>
        <v>204.14234540901899</v>
      </c>
    </row>
    <row r="107" spans="1:19" ht="18" x14ac:dyDescent="0.2">
      <c r="A107" s="29">
        <v>6</v>
      </c>
      <c r="B107" s="28">
        <v>5</v>
      </c>
      <c r="C107" s="27">
        <v>0.98</v>
      </c>
      <c r="D107" s="48">
        <v>3</v>
      </c>
      <c r="E107" s="51">
        <f>SQRT(C107)*D107*(1-C107^(B107*10))/(1-C107)</f>
        <v>94.415985487826404</v>
      </c>
      <c r="F107" s="50">
        <f>IF(G$3,G$3,"")</f>
        <v>0.25</v>
      </c>
      <c r="G107" s="27">
        <f>B107/10</f>
        <v>0.5</v>
      </c>
      <c r="H107" s="49">
        <f>IF(I$3,I$3,"")</f>
        <v>0.5</v>
      </c>
      <c r="I107" s="27">
        <f>C107</f>
        <v>0.98</v>
      </c>
      <c r="J107" s="49">
        <f>IF(K$3,K$3,"")</f>
        <v>0.25</v>
      </c>
      <c r="K107" s="27">
        <f>D107/10</f>
        <v>0.3</v>
      </c>
      <c r="L107" s="48">
        <f>IF(K$7,100*((F107*G107)+(H107*I107)+(J107*K107)),"")</f>
        <v>69</v>
      </c>
      <c r="O107" s="47">
        <f>E107-E$111</f>
        <v>15.677856674419886</v>
      </c>
      <c r="P107" s="46">
        <f>O107^2</f>
        <v>245.79518990365216</v>
      </c>
      <c r="Q107" s="22">
        <f>L107-L$111</f>
        <v>-1.0999999999999943</v>
      </c>
      <c r="R107" s="21">
        <f>Q107^2</f>
        <v>1.2099999999999875</v>
      </c>
      <c r="S107" s="20">
        <f>O107*Q107</f>
        <v>-17.245642341861785</v>
      </c>
    </row>
    <row r="108" spans="1:19" ht="18" x14ac:dyDescent="0.2">
      <c r="A108" s="29">
        <v>7</v>
      </c>
      <c r="B108" s="28">
        <v>7</v>
      </c>
      <c r="C108" s="27">
        <v>0.95</v>
      </c>
      <c r="D108" s="48">
        <v>3</v>
      </c>
      <c r="E108" s="51">
        <f>SQRT(C108)*D108*(1-C108^(B108*10))/(1-C108)</f>
        <v>56.867650721105015</v>
      </c>
      <c r="F108" s="50">
        <f>IF(G$3,G$3,"")</f>
        <v>0.25</v>
      </c>
      <c r="G108" s="27">
        <f>B108/10</f>
        <v>0.7</v>
      </c>
      <c r="H108" s="49">
        <f>IF(I$3,I$3,"")</f>
        <v>0.5</v>
      </c>
      <c r="I108" s="27">
        <f>C108</f>
        <v>0.95</v>
      </c>
      <c r="J108" s="49">
        <f>IF(K$3,K$3,"")</f>
        <v>0.25</v>
      </c>
      <c r="K108" s="27">
        <f>D108/10</f>
        <v>0.3</v>
      </c>
      <c r="L108" s="48">
        <f>IF(K$7,100*((F108*G108)+(H108*I108)+(J108*K108)),"")</f>
        <v>72.499999999999986</v>
      </c>
      <c r="O108" s="47">
        <f>E108-E$111</f>
        <v>-21.870478092301504</v>
      </c>
      <c r="P108" s="46">
        <f>O108^2</f>
        <v>478.31781198584002</v>
      </c>
      <c r="Q108" s="22">
        <f>L108-L$111</f>
        <v>2.3999999999999915</v>
      </c>
      <c r="R108" s="21">
        <f>Q108^2</f>
        <v>5.7599999999999589</v>
      </c>
      <c r="S108" s="20">
        <f>O108*Q108</f>
        <v>-52.48914742152342</v>
      </c>
    </row>
    <row r="109" spans="1:19" ht="19" thickBot="1" x14ac:dyDescent="0.25">
      <c r="A109" s="19">
        <v>8</v>
      </c>
      <c r="B109" s="18">
        <v>3</v>
      </c>
      <c r="C109" s="17">
        <v>0.95</v>
      </c>
      <c r="D109" s="42">
        <v>7</v>
      </c>
      <c r="E109" s="45">
        <f>SQRT(C109)*D109*(1-C109^(B109*10))/(1-C109)</f>
        <v>107.16656235926408</v>
      </c>
      <c r="F109" s="44">
        <f>IF(G$3,G$3,"")</f>
        <v>0.25</v>
      </c>
      <c r="G109" s="17">
        <f>B109/10</f>
        <v>0.3</v>
      </c>
      <c r="H109" s="43">
        <f>IF(I$3,I$3,"")</f>
        <v>0.5</v>
      </c>
      <c r="I109" s="17">
        <f>C109</f>
        <v>0.95</v>
      </c>
      <c r="J109" s="43">
        <f>IF(K$3,K$3,"")</f>
        <v>0.25</v>
      </c>
      <c r="K109" s="17">
        <f>D109/10</f>
        <v>0.7</v>
      </c>
      <c r="L109" s="42">
        <f>IF(K$7,100*((F109*G109)+(H109*I109)+(J109*K109)),"")</f>
        <v>72.499999999999986</v>
      </c>
      <c r="O109" s="41">
        <f>E109-E$111</f>
        <v>28.428433545857558</v>
      </c>
      <c r="P109" s="40">
        <f>O109^2</f>
        <v>808.17583387123932</v>
      </c>
      <c r="Q109" s="12">
        <f>L109-L$111</f>
        <v>2.3999999999999915</v>
      </c>
      <c r="R109" s="11">
        <f>Q109^2</f>
        <v>5.7599999999999589</v>
      </c>
      <c r="S109" s="10">
        <f>O109*Q109</f>
        <v>68.228240510057901</v>
      </c>
    </row>
    <row r="110" spans="1:19" ht="18" x14ac:dyDescent="0.2">
      <c r="A110" s="8" t="s">
        <v>2</v>
      </c>
      <c r="B110" s="8"/>
      <c r="E110"/>
      <c r="L110"/>
      <c r="O110" s="9"/>
      <c r="P110" s="6">
        <f>SUM(P105:P109)</f>
        <v>2778.3753805047418</v>
      </c>
      <c r="Q110" s="6"/>
      <c r="R110" s="6">
        <f>SUM(R105:R109)</f>
        <v>55.699999999999861</v>
      </c>
      <c r="S110" s="6">
        <f>SUM(S105:S109)</f>
        <v>229.58814688160618</v>
      </c>
    </row>
    <row r="111" spans="1:19" ht="17" thickBot="1" x14ac:dyDescent="0.25">
      <c r="A111" s="8" t="s">
        <v>1</v>
      </c>
      <c r="B111" s="8"/>
      <c r="E111" s="7">
        <f>AVERAGE(E105:E109)</f>
        <v>78.738128813406519</v>
      </c>
      <c r="L111" s="7">
        <f>AVERAGE(L105:L109)</f>
        <v>70.099999999999994</v>
      </c>
    </row>
    <row r="112" spans="1:19" ht="21" thickBot="1" x14ac:dyDescent="0.25">
      <c r="A112" s="5" t="s">
        <v>0</v>
      </c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2">
        <f>S110/(SQRT(P110)*SQRT(R110))</f>
        <v>0.58361494427369731</v>
      </c>
      <c r="O112" s="39"/>
      <c r="P112" s="39"/>
      <c r="Q112" s="38"/>
      <c r="R112" s="38"/>
      <c r="S112" s="38"/>
    </row>
    <row r="113" spans="1:19" x14ac:dyDescent="0.15">
      <c r="E113"/>
      <c r="L113"/>
    </row>
    <row r="114" spans="1:19" x14ac:dyDescent="0.15">
      <c r="E114"/>
      <c r="L114"/>
    </row>
    <row r="115" spans="1:19" ht="14" thickBot="1" x14ac:dyDescent="0.2">
      <c r="E115"/>
      <c r="L115"/>
    </row>
    <row r="116" spans="1:19" ht="49" customHeight="1" thickBot="1" x14ac:dyDescent="0.2">
      <c r="A116" s="203" t="s">
        <v>19</v>
      </c>
      <c r="B116" s="193"/>
      <c r="C116" s="193"/>
      <c r="D116" s="194"/>
      <c r="E116" s="235" t="s">
        <v>18</v>
      </c>
      <c r="F116" s="185" t="s">
        <v>86</v>
      </c>
      <c r="G116" s="204"/>
      <c r="H116" s="204"/>
      <c r="I116" s="204"/>
      <c r="J116" s="204"/>
      <c r="K116" s="204"/>
      <c r="L116" s="186"/>
      <c r="O116" s="232" t="s">
        <v>18</v>
      </c>
      <c r="P116" s="233"/>
      <c r="Q116" s="228" t="s">
        <v>17</v>
      </c>
      <c r="R116" s="229"/>
      <c r="S116" s="234" t="s">
        <v>92</v>
      </c>
    </row>
    <row r="117" spans="1:19" ht="27" thickBot="1" x14ac:dyDescent="0.35">
      <c r="A117" s="30" t="s">
        <v>16</v>
      </c>
      <c r="B117" s="34" t="s">
        <v>15</v>
      </c>
      <c r="C117" s="36" t="s">
        <v>14</v>
      </c>
      <c r="D117" s="31" t="s">
        <v>13</v>
      </c>
      <c r="E117" s="30" t="s">
        <v>12</v>
      </c>
      <c r="F117" s="210" t="s">
        <v>11</v>
      </c>
      <c r="G117" s="211"/>
      <c r="H117" s="212" t="s">
        <v>10</v>
      </c>
      <c r="I117" s="211"/>
      <c r="J117" s="212" t="s">
        <v>9</v>
      </c>
      <c r="K117" s="211"/>
      <c r="L117" s="33" t="s">
        <v>8</v>
      </c>
      <c r="O117" s="32" t="s">
        <v>7</v>
      </c>
      <c r="P117" s="31" t="s">
        <v>6</v>
      </c>
      <c r="Q117" s="32" t="s">
        <v>5</v>
      </c>
      <c r="R117" s="31" t="s">
        <v>4</v>
      </c>
      <c r="S117" s="30" t="s">
        <v>3</v>
      </c>
    </row>
    <row r="118" spans="1:19" ht="18" x14ac:dyDescent="0.2">
      <c r="A118" s="29">
        <v>4</v>
      </c>
      <c r="B118" s="28">
        <v>5</v>
      </c>
      <c r="C118" s="27">
        <v>0.95</v>
      </c>
      <c r="D118" s="24">
        <v>5</v>
      </c>
      <c r="E118" s="26">
        <f>SQRT(C118)*D118*(1-C118^(B118*10))/(1-C118)</f>
        <v>89.968274949204201</v>
      </c>
      <c r="F118" s="205">
        <f>1-EXP(-0.223143554*B118^1.1027289)</f>
        <v>0.73187762664913536</v>
      </c>
      <c r="G118" s="206"/>
      <c r="H118" s="207">
        <f>1-EXP(-0.01661*(C118/(1-C118))^1.2672)</f>
        <v>0.49998462597001725</v>
      </c>
      <c r="I118" s="207"/>
      <c r="J118" s="208">
        <f>D118</f>
        <v>5</v>
      </c>
      <c r="K118" s="209"/>
      <c r="L118" s="24">
        <f>50*F118*H118*J118</f>
        <v>91.481890353997969</v>
      </c>
      <c r="O118" s="22">
        <f>E118-E$124</f>
        <v>11.230146135797682</v>
      </c>
      <c r="P118" s="23">
        <f>O118^2</f>
        <v>126.11618223137161</v>
      </c>
      <c r="Q118" s="22">
        <f>L118-L$124</f>
        <v>13.195291927456907</v>
      </c>
      <c r="R118" s="21">
        <f>Q118^2</f>
        <v>174.11572905080942</v>
      </c>
      <c r="S118" s="20">
        <f>O118*Q118</f>
        <v>148.18505664985253</v>
      </c>
    </row>
    <row r="119" spans="1:19" ht="18" x14ac:dyDescent="0.2">
      <c r="A119" s="29">
        <v>5</v>
      </c>
      <c r="B119" s="28">
        <v>1</v>
      </c>
      <c r="C119" s="27">
        <v>0.98</v>
      </c>
      <c r="D119" s="24">
        <v>5</v>
      </c>
      <c r="E119" s="26">
        <f>SQRT(C119)*D119*(1-C119^(B119*10))/(1-C119)</f>
        <v>45.272170549632882</v>
      </c>
      <c r="F119" s="205">
        <f>1-EXP(-0.223143554*B119^1.1027289)</f>
        <v>0.20000000214863223</v>
      </c>
      <c r="G119" s="206"/>
      <c r="H119" s="207">
        <f>1-EXP(-0.01661*(C119/(1-C119))^1.2672)</f>
        <v>0.89998431436179305</v>
      </c>
      <c r="I119" s="207"/>
      <c r="J119" s="208">
        <f>D119</f>
        <v>5</v>
      </c>
      <c r="K119" s="209"/>
      <c r="L119" s="24">
        <f>50*F119*H119*J119</f>
        <v>44.999216201523481</v>
      </c>
      <c r="O119" s="22">
        <f>E119-E$124</f>
        <v>-33.465958263773636</v>
      </c>
      <c r="P119" s="23">
        <f>O119^2</f>
        <v>1119.970362512639</v>
      </c>
      <c r="Q119" s="22">
        <f>L119-L$124</f>
        <v>-33.287382225017581</v>
      </c>
      <c r="R119" s="21">
        <f>Q119^2</f>
        <v>1108.0498153944163</v>
      </c>
      <c r="S119" s="20">
        <f>O119*Q119</f>
        <v>1113.9941442527188</v>
      </c>
    </row>
    <row r="120" spans="1:19" ht="18" x14ac:dyDescent="0.2">
      <c r="A120" s="29">
        <v>6</v>
      </c>
      <c r="B120" s="28">
        <v>5</v>
      </c>
      <c r="C120" s="27">
        <v>0.98</v>
      </c>
      <c r="D120" s="24">
        <v>3</v>
      </c>
      <c r="E120" s="26">
        <f>SQRT(C120)*D120*(1-C120^(B120*10))/(1-C120)</f>
        <v>94.415985487826404</v>
      </c>
      <c r="F120" s="205">
        <f>1-EXP(-0.223143554*B120^1.1027289)</f>
        <v>0.73187762664913536</v>
      </c>
      <c r="G120" s="206"/>
      <c r="H120" s="207">
        <f>1-EXP(-0.01661*(C120/(1-C120))^1.2672)</f>
        <v>0.89998431436179305</v>
      </c>
      <c r="I120" s="207"/>
      <c r="J120" s="208">
        <f>D120</f>
        <v>3</v>
      </c>
      <c r="K120" s="209"/>
      <c r="L120" s="24">
        <f>50*F120*H120*J120</f>
        <v>98.801757602483775</v>
      </c>
      <c r="O120" s="22">
        <f>E120-E$124</f>
        <v>15.677856674419886</v>
      </c>
      <c r="P120" s="23">
        <f>O120^2</f>
        <v>245.79518990365216</v>
      </c>
      <c r="Q120" s="22">
        <f>L120-L$124</f>
        <v>20.515159175942713</v>
      </c>
      <c r="R120" s="21">
        <f>Q120^2</f>
        <v>420.87175601426651</v>
      </c>
      <c r="S120" s="20">
        <f>O120*Q120</f>
        <v>321.6337252133398</v>
      </c>
    </row>
    <row r="121" spans="1:19" ht="18" x14ac:dyDescent="0.2">
      <c r="A121" s="29">
        <v>7</v>
      </c>
      <c r="B121" s="28">
        <v>7</v>
      </c>
      <c r="C121" s="27">
        <v>0.95</v>
      </c>
      <c r="D121" s="24">
        <v>3</v>
      </c>
      <c r="E121" s="26">
        <f>SQRT(C121)*D121*(1-C121^(B121*10))/(1-C121)</f>
        <v>56.867650721105015</v>
      </c>
      <c r="F121" s="205">
        <f>1-EXP(-0.223143554*B121^1.1027289)</f>
        <v>0.85157100728615287</v>
      </c>
      <c r="G121" s="206"/>
      <c r="H121" s="207">
        <f>1-EXP(-0.01661*(C121/(1-C121))^1.2672)</f>
        <v>0.49998462597001725</v>
      </c>
      <c r="I121" s="207"/>
      <c r="J121" s="208">
        <f>D121</f>
        <v>3</v>
      </c>
      <c r="K121" s="209"/>
      <c r="L121" s="24">
        <f>50*F121*H121*J121</f>
        <v>63.865861734731702</v>
      </c>
      <c r="O121" s="22">
        <f>E121-E$124</f>
        <v>-21.870478092301504</v>
      </c>
      <c r="P121" s="23">
        <f>O121^2</f>
        <v>478.31781198584002</v>
      </c>
      <c r="Q121" s="22">
        <f>L121-L$124</f>
        <v>-14.42073669180936</v>
      </c>
      <c r="R121" s="21">
        <f>Q121^2</f>
        <v>207.95764673449676</v>
      </c>
      <c r="S121" s="20">
        <f>O121*Q121</f>
        <v>315.38840589306506</v>
      </c>
    </row>
    <row r="122" spans="1:19" ht="19" thickBot="1" x14ac:dyDescent="0.25">
      <c r="A122" s="19">
        <v>8</v>
      </c>
      <c r="B122" s="18">
        <v>3</v>
      </c>
      <c r="C122" s="17">
        <v>0.95</v>
      </c>
      <c r="D122" s="14">
        <v>7</v>
      </c>
      <c r="E122" s="16">
        <f>SQRT(C122)*D122*(1-C122^(B122*10))/(1-C122)</f>
        <v>107.16656235926408</v>
      </c>
      <c r="F122" s="217">
        <f>1-EXP(-0.223143554*B122^1.1027289)</f>
        <v>0.52735487936784431</v>
      </c>
      <c r="G122" s="218"/>
      <c r="H122" s="219">
        <f>1-EXP(-0.01661*(C122/(1-C122))^1.2672)</f>
        <v>0.49998462597001725</v>
      </c>
      <c r="I122" s="219"/>
      <c r="J122" s="220">
        <f>D122</f>
        <v>7</v>
      </c>
      <c r="K122" s="221"/>
      <c r="L122" s="14">
        <f>50*F122*H122*J122</f>
        <v>92.284266239968332</v>
      </c>
      <c r="O122" s="12">
        <f>E122-E$124</f>
        <v>28.428433545857558</v>
      </c>
      <c r="P122" s="13">
        <f>O122^2</f>
        <v>808.17583387123932</v>
      </c>
      <c r="Q122" s="12">
        <f>L122-L$124</f>
        <v>13.99766781342727</v>
      </c>
      <c r="R122" s="11">
        <f>Q122^2</f>
        <v>195.93470421505779</v>
      </c>
      <c r="S122" s="10">
        <f>O122*Q122</f>
        <v>397.93176923100646</v>
      </c>
    </row>
    <row r="123" spans="1:19" ht="18" x14ac:dyDescent="0.2">
      <c r="A123" s="8" t="s">
        <v>2</v>
      </c>
      <c r="B123" s="8"/>
      <c r="E123"/>
      <c r="L123"/>
      <c r="O123" s="9"/>
      <c r="P123" s="6">
        <f>SUM(P118:P122)</f>
        <v>2778.3753805047418</v>
      </c>
      <c r="Q123" s="6"/>
      <c r="R123" s="6">
        <f>SUM(R118:R122)</f>
        <v>2106.929651409047</v>
      </c>
      <c r="S123" s="6">
        <f>SUM(S118:S122)</f>
        <v>2297.1331012399824</v>
      </c>
    </row>
    <row r="124" spans="1:19" ht="19" thickBot="1" x14ac:dyDescent="0.25">
      <c r="A124" s="8" t="s">
        <v>1</v>
      </c>
      <c r="B124" s="8"/>
      <c r="E124" s="7">
        <f>AVERAGE(E118:E122)</f>
        <v>78.738128813406519</v>
      </c>
      <c r="L124" s="7">
        <f>AVERAGE(L118:L122)</f>
        <v>78.286598426541062</v>
      </c>
      <c r="O124" s="6"/>
      <c r="P124" s="6"/>
      <c r="Q124" s="6"/>
      <c r="R124" s="6"/>
      <c r="S124" s="6"/>
    </row>
    <row r="125" spans="1:19" ht="21" thickBot="1" x14ac:dyDescent="0.25">
      <c r="A125" s="5" t="s">
        <v>0</v>
      </c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2">
        <f>S123/(SQRT(P123)*SQRT(R123))</f>
        <v>0.94943597038719318</v>
      </c>
    </row>
  </sheetData>
  <mergeCells count="79">
    <mergeCell ref="J117:K117"/>
    <mergeCell ref="F118:G118"/>
    <mergeCell ref="H118:I118"/>
    <mergeCell ref="O1:P1"/>
    <mergeCell ref="Q1:R1"/>
    <mergeCell ref="O36:P36"/>
    <mergeCell ref="Q36:R36"/>
    <mergeCell ref="Q70:R70"/>
    <mergeCell ref="Q85:R85"/>
    <mergeCell ref="Q103:R103"/>
    <mergeCell ref="Q116:R116"/>
    <mergeCell ref="F122:G122"/>
    <mergeCell ref="H122:I122"/>
    <mergeCell ref="J122:K122"/>
    <mergeCell ref="F120:G120"/>
    <mergeCell ref="H120:I120"/>
    <mergeCell ref="J120:K120"/>
    <mergeCell ref="F121:G121"/>
    <mergeCell ref="H121:I121"/>
    <mergeCell ref="J121:K121"/>
    <mergeCell ref="A116:D116"/>
    <mergeCell ref="F116:L116"/>
    <mergeCell ref="O116:P116"/>
    <mergeCell ref="A103:D103"/>
    <mergeCell ref="O103:P103"/>
    <mergeCell ref="J118:K118"/>
    <mergeCell ref="F119:G119"/>
    <mergeCell ref="H119:I119"/>
    <mergeCell ref="J119:K119"/>
    <mergeCell ref="F92:G92"/>
    <mergeCell ref="H92:I92"/>
    <mergeCell ref="J92:K92"/>
    <mergeCell ref="F93:G93"/>
    <mergeCell ref="H93:I93"/>
    <mergeCell ref="J93:K93"/>
    <mergeCell ref="F94:G94"/>
    <mergeCell ref="H94:I94"/>
    <mergeCell ref="J94:K94"/>
    <mergeCell ref="F103:L103"/>
    <mergeCell ref="F117:G117"/>
    <mergeCell ref="H117:I117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90:G90"/>
    <mergeCell ref="H90:I90"/>
    <mergeCell ref="J90:K90"/>
    <mergeCell ref="F86:G86"/>
    <mergeCell ref="H86:I86"/>
    <mergeCell ref="J86:K86"/>
    <mergeCell ref="F87:G87"/>
    <mergeCell ref="H87:I87"/>
    <mergeCell ref="J87:K87"/>
    <mergeCell ref="A85:D85"/>
    <mergeCell ref="F85:L85"/>
    <mergeCell ref="O85:P85"/>
    <mergeCell ref="A70:D70"/>
    <mergeCell ref="F70:L70"/>
    <mergeCell ref="O70:P70"/>
    <mergeCell ref="AF1:AG1"/>
    <mergeCell ref="AK16:AL16"/>
    <mergeCell ref="AA32:AB32"/>
    <mergeCell ref="Y35:AB35"/>
    <mergeCell ref="G1:M1"/>
    <mergeCell ref="E1:F1"/>
    <mergeCell ref="X1:Y1"/>
    <mergeCell ref="A36:D36"/>
    <mergeCell ref="AA37:AB37"/>
    <mergeCell ref="A1:D1"/>
    <mergeCell ref="T1:W1"/>
    <mergeCell ref="AB1:AE1"/>
    <mergeCell ref="E36:F36"/>
    <mergeCell ref="G36:N36"/>
  </mergeCells>
  <conditionalFormatting sqref="E72:E79 L72:L79">
    <cfRule type="cellIs" dxfId="31" priority="27" stopIfTrue="1" operator="greaterThanOrEqual">
      <formula>100</formula>
    </cfRule>
    <cfRule type="cellIs" dxfId="30" priority="28" stopIfTrue="1" operator="between">
      <formula>85</formula>
      <formula>100</formula>
    </cfRule>
    <cfRule type="cellIs" dxfId="29" priority="29" stopIfTrue="1" operator="between">
      <formula>65</formula>
      <formula>85</formula>
    </cfRule>
  </conditionalFormatting>
  <conditionalFormatting sqref="E87:E93">
    <cfRule type="cellIs" dxfId="28" priority="23" stopIfTrue="1" operator="between">
      <formula>40</formula>
      <formula>85</formula>
    </cfRule>
  </conditionalFormatting>
  <conditionalFormatting sqref="E87:E94">
    <cfRule type="cellIs" dxfId="27" priority="20" stopIfTrue="1" operator="greaterThanOrEqual">
      <formula>100</formula>
    </cfRule>
    <cfRule type="cellIs" dxfId="26" priority="21" stopIfTrue="1" operator="between">
      <formula>85</formula>
      <formula>100</formula>
    </cfRule>
  </conditionalFormatting>
  <conditionalFormatting sqref="E94">
    <cfRule type="cellIs" dxfId="25" priority="22" stopIfTrue="1" operator="between">
      <formula>65</formula>
      <formula>85</formula>
    </cfRule>
  </conditionalFormatting>
  <conditionalFormatting sqref="E105:E109 L105:L109 E118:E122">
    <cfRule type="cellIs" dxfId="24" priority="13" stopIfTrue="1" operator="greaterThanOrEqual">
      <formula>100</formula>
    </cfRule>
    <cfRule type="cellIs" dxfId="23" priority="14" stopIfTrue="1" operator="between">
      <formula>85</formula>
      <formula>100</formula>
    </cfRule>
  </conditionalFormatting>
  <conditionalFormatting sqref="E105:E109 L105:L109 E122">
    <cfRule type="cellIs" dxfId="22" priority="15" stopIfTrue="1" operator="between">
      <formula>65</formula>
      <formula>85</formula>
    </cfRule>
  </conditionalFormatting>
  <conditionalFormatting sqref="E118:E121">
    <cfRule type="cellIs" dxfId="21" priority="16" stopIfTrue="1" operator="between">
      <formula>40</formula>
      <formula>85</formula>
    </cfRule>
  </conditionalFormatting>
  <conditionalFormatting sqref="E3:F29">
    <cfRule type="cellIs" dxfId="20" priority="9" stopIfTrue="1" operator="lessThan">
      <formula>65</formula>
    </cfRule>
    <cfRule type="cellIs" dxfId="19" priority="10" stopIfTrue="1" operator="between">
      <formula>65</formula>
      <formula>85</formula>
    </cfRule>
    <cfRule type="cellIs" dxfId="18" priority="11" stopIfTrue="1" operator="between">
      <formula>85</formula>
      <formula>100</formula>
    </cfRule>
    <cfRule type="cellIs" dxfId="17" priority="12" stopIfTrue="1" operator="greaterThanOrEqual">
      <formula>100</formula>
    </cfRule>
  </conditionalFormatting>
  <conditionalFormatting sqref="L87:L94">
    <cfRule type="cellIs" dxfId="16" priority="24" stopIfTrue="1" operator="greaterThanOrEqual">
      <formula>150</formula>
    </cfRule>
    <cfRule type="cellIs" dxfId="15" priority="25" stopIfTrue="1" operator="between">
      <formula>90</formula>
      <formula>150</formula>
    </cfRule>
    <cfRule type="cellIs" dxfId="14" priority="26" stopIfTrue="1" operator="between">
      <formula>40</formula>
      <formula>90</formula>
    </cfRule>
  </conditionalFormatting>
  <conditionalFormatting sqref="L118:L122">
    <cfRule type="cellIs" dxfId="13" priority="17" stopIfTrue="1" operator="greaterThanOrEqual">
      <formula>150</formula>
    </cfRule>
    <cfRule type="cellIs" dxfId="12" priority="18" stopIfTrue="1" operator="between">
      <formula>90</formula>
      <formula>150</formula>
    </cfRule>
    <cfRule type="cellIs" dxfId="11" priority="19" stopIfTrue="1" operator="between">
      <formula>40</formula>
      <formula>90</formula>
    </cfRule>
  </conditionalFormatting>
  <conditionalFormatting sqref="M3:M29 E38:F64">
    <cfRule type="cellIs" dxfId="10" priority="31" stopIfTrue="1" operator="lessThan">
      <formula>65</formula>
    </cfRule>
    <cfRule type="cellIs" dxfId="9" priority="32" stopIfTrue="1" operator="between">
      <formula>65</formula>
      <formula>85</formula>
    </cfRule>
    <cfRule type="cellIs" dxfId="8" priority="33" stopIfTrue="1" operator="between">
      <formula>85</formula>
      <formula>100</formula>
    </cfRule>
    <cfRule type="cellIs" dxfId="7" priority="35" stopIfTrue="1" operator="greaterThanOrEqual">
      <formula>100</formula>
    </cfRule>
  </conditionalFormatting>
  <conditionalFormatting sqref="M38:M64">
    <cfRule type="cellIs" dxfId="6" priority="34" stopIfTrue="1" operator="lessThan">
      <formula>65</formula>
    </cfRule>
    <cfRule type="cellIs" dxfId="5" priority="36" stopIfTrue="1" operator="between">
      <formula>85</formula>
      <formula>100</formula>
    </cfRule>
    <cfRule type="cellIs" dxfId="4" priority="37" stopIfTrue="1" operator="between">
      <formula>65</formula>
      <formula>85</formula>
    </cfRule>
  </conditionalFormatting>
  <conditionalFormatting sqref="M38:N64">
    <cfRule type="cellIs" dxfId="3" priority="4" stopIfTrue="1" operator="greaterThanOrEqual">
      <formula>100</formula>
    </cfRule>
  </conditionalFormatting>
  <conditionalFormatting sqref="N38:N64">
    <cfRule type="cellIs" dxfId="2" priority="1" stopIfTrue="1" operator="lessThan">
      <formula>65</formula>
    </cfRule>
    <cfRule type="cellIs" dxfId="1" priority="2" stopIfTrue="1" operator="between">
      <formula>65</formula>
      <formula>85</formula>
    </cfRule>
    <cfRule type="cellIs" dxfId="0" priority="3" stopIfTrue="1" operator="between">
      <formula>85</formula>
      <formula>100</formula>
    </cfRule>
  </conditionalFormatting>
  <printOptions horizontalCentered="1"/>
  <pageMargins left="0.75" right="0.6" top="0.89" bottom="0.57999999999999996" header="0.46" footer="0.28999999999999998"/>
  <pageSetup fitToHeight="2" orientation="landscape"/>
  <headerFooter alignWithMargins="0">
    <oddHeader>&amp;L&amp;D &amp;T&amp;C&amp;"Arial,Bold"&amp;18Comparison of WFA and IVAL</oddHeader>
    <oddFooter>&amp;L&amp;Z&amp;F</oddFooter>
  </headerFooter>
  <rowBreaks count="1" manualBreakCount="1">
    <brk id="35" max="11" man="1"/>
  </rowBreaks>
  <ignoredErrors>
    <ignoredError sqref="C6:C9 O32:P35 G73:I79 H4:M29 O67:P69 Q38:Q64 Q3:Q29 Q72:R122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Factorial 2</vt:lpstr>
      <vt:lpstr>'Factorial 2'!Print_Area</vt:lpstr>
      <vt:lpstr>'Factorial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 Simrin</dc:creator>
  <cp:lastModifiedBy>Bud Simrin</cp:lastModifiedBy>
  <dcterms:created xsi:type="dcterms:W3CDTF">2023-05-06T19:57:43Z</dcterms:created>
  <dcterms:modified xsi:type="dcterms:W3CDTF">2023-05-19T00:43:40Z</dcterms:modified>
</cp:coreProperties>
</file>