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Projecten\xxxxx - WarmAanbevolen\Paper Elderly\"/>
    </mc:Choice>
  </mc:AlternateContent>
  <xr:revisionPtr revIDLastSave="0" documentId="13_ncr:1_{F07EBCB4-9FA1-4D06-AAE0-1B73BA3366D1}" xr6:coauthVersionLast="47" xr6:coauthVersionMax="47" xr10:uidLastSave="{00000000-0000-0000-0000-000000000000}"/>
  <bookViews>
    <workbookView xWindow="1905" yWindow="1905" windowWidth="21600" windowHeight="11385" xr2:uid="{37463F18-1425-4E87-84F8-61527BF6FCE0}"/>
  </bookViews>
  <sheets>
    <sheet name="Summary" sheetId="3" r:id="rId1"/>
    <sheet name="Calculation" sheetId="1" r:id="rId2"/>
    <sheet name="physic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C11" i="3" l="1"/>
  <c r="G5" i="2"/>
  <c r="J5" i="1"/>
  <c r="K5" i="1"/>
  <c r="M5" i="1" s="1"/>
  <c r="W5" i="1"/>
  <c r="D11" i="3"/>
  <c r="X5" i="1"/>
  <c r="C4" i="2"/>
  <c r="L5" i="1" l="1"/>
  <c r="K5" i="2"/>
  <c r="L5" i="2" s="1"/>
  <c r="N5" i="2" s="1"/>
  <c r="H5" i="2"/>
  <c r="I5" i="2"/>
  <c r="C7" i="2"/>
  <c r="J5" i="2" l="1"/>
  <c r="M5" i="2" s="1"/>
  <c r="D5" i="1" l="1"/>
  <c r="N5" i="1" s="1"/>
  <c r="E5" i="1"/>
  <c r="O5" i="1" s="1"/>
  <c r="O5" i="2"/>
  <c r="AA5" i="1" s="1"/>
  <c r="B5" i="1" l="1"/>
  <c r="AB5" i="1"/>
  <c r="H5" i="3" s="1"/>
  <c r="D13" i="3" s="1"/>
  <c r="D14" i="3" s="1"/>
  <c r="Y5" i="1"/>
  <c r="K5" i="3" s="1"/>
  <c r="Q5" i="1"/>
  <c r="J5" i="3" s="1"/>
  <c r="D12" i="3" s="1"/>
  <c r="F5" i="3"/>
  <c r="E5" i="3"/>
  <c r="P5" i="1"/>
  <c r="C5" i="1" l="1"/>
  <c r="D5" i="3" s="1"/>
  <c r="Z5" i="1"/>
  <c r="L5" i="3" s="1"/>
  <c r="I5" i="3"/>
  <c r="C12" i="3" s="1"/>
  <c r="C5" i="3"/>
  <c r="G5" i="3"/>
  <c r="C13" i="3" l="1"/>
  <c r="C14" i="3" s="1"/>
</calcChain>
</file>

<file path=xl/sharedStrings.xml><?xml version="1.0" encoding="utf-8"?>
<sst xmlns="http://schemas.openxmlformats.org/spreadsheetml/2006/main" count="126" uniqueCount="72">
  <si>
    <t>Tair</t>
  </si>
  <si>
    <t>RH</t>
  </si>
  <si>
    <t>Vpair</t>
  </si>
  <si>
    <t>Tskin_males</t>
  </si>
  <si>
    <t>Tskin_females</t>
  </si>
  <si>
    <t>Vskin_males</t>
  </si>
  <si>
    <t>Vskin_females</t>
  </si>
  <si>
    <t>Emax_males</t>
  </si>
  <si>
    <t>Emax_females</t>
  </si>
  <si>
    <t>LR</t>
  </si>
  <si>
    <t>hc</t>
  </si>
  <si>
    <t>vair</t>
  </si>
  <si>
    <t>hr</t>
  </si>
  <si>
    <t>he</t>
  </si>
  <si>
    <t>Qdry_males</t>
  </si>
  <si>
    <t>Qdry_females</t>
  </si>
  <si>
    <t>W/m2K</t>
  </si>
  <si>
    <t>m/s</t>
  </si>
  <si>
    <t>A_males</t>
  </si>
  <si>
    <t>A_females</t>
  </si>
  <si>
    <t>M_males</t>
  </si>
  <si>
    <t>M_females</t>
  </si>
  <si>
    <t>Ereq_males</t>
  </si>
  <si>
    <t>Ereq_females</t>
  </si>
  <si>
    <t>Swreq_males</t>
  </si>
  <si>
    <t>Swreq_females</t>
  </si>
  <si>
    <t>[W/m2]</t>
  </si>
  <si>
    <t>[-]</t>
  </si>
  <si>
    <t>[C]</t>
  </si>
  <si>
    <t>[gr/m2/hr]</t>
  </si>
  <si>
    <t>J/g</t>
  </si>
  <si>
    <t>Lh2O</t>
  </si>
  <si>
    <t>omega_req_males</t>
  </si>
  <si>
    <t>omega_req_females</t>
  </si>
  <si>
    <t>Rtdyn</t>
  </si>
  <si>
    <t>[m2Pa/W]</t>
  </si>
  <si>
    <t>imst</t>
  </si>
  <si>
    <t>Icl</t>
  </si>
  <si>
    <t>[m2K/W]</t>
  </si>
  <si>
    <t>Iair</t>
  </si>
  <si>
    <t>It</t>
  </si>
  <si>
    <t>physics</t>
  </si>
  <si>
    <t>clothing</t>
  </si>
  <si>
    <t>fcl</t>
  </si>
  <si>
    <t>Corr_tot</t>
  </si>
  <si>
    <t>Itot_dyn</t>
  </si>
  <si>
    <t>Corr_e</t>
  </si>
  <si>
    <t>im_dyn</t>
  </si>
  <si>
    <t>Qh_males</t>
  </si>
  <si>
    <t>Qh_females</t>
  </si>
  <si>
    <t>metabolic rate</t>
  </si>
  <si>
    <t>heat production</t>
  </si>
  <si>
    <t>[W]</t>
  </si>
  <si>
    <t>[m2]</t>
  </si>
  <si>
    <t>Phase</t>
  </si>
  <si>
    <t>End (t=60)</t>
  </si>
  <si>
    <t>Compensable_males</t>
  </si>
  <si>
    <t>Compensable_females</t>
  </si>
  <si>
    <t>males</t>
  </si>
  <si>
    <t>females</t>
  </si>
  <si>
    <t>sweat economy</t>
  </si>
  <si>
    <t>sweat expended</t>
  </si>
  <si>
    <t>W/m2</t>
  </si>
  <si>
    <t>[expended / required] x 100%</t>
  </si>
  <si>
    <t>[kPa]</t>
  </si>
  <si>
    <t>physiological E_max</t>
  </si>
  <si>
    <t>omega calculated</t>
  </si>
  <si>
    <t>Candas</t>
  </si>
  <si>
    <t>THIS SUMMARY PAGE SHOWS WHETHER THE CONDITIONS WERE COMPENSABLE FROM THE PERSPECTIVE OF EVAPORATIVE HEAT LOSS</t>
  </si>
  <si>
    <t>expected efficiency</t>
  </si>
  <si>
    <t>W/m2kPa</t>
  </si>
  <si>
    <t>K/kPa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</si>
</sst>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0" fillId="0" borderId="0" xfId="0" applyNumberFormat="1" applyBorder="1"/>
    <xf numFmtId="165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0" borderId="7" xfId="0" applyNumberFormat="1" applyBorder="1"/>
    <xf numFmtId="165" fontId="0" fillId="0" borderId="9" xfId="0" applyNumberFormat="1" applyBorder="1"/>
    <xf numFmtId="164" fontId="0" fillId="0" borderId="6" xfId="0" applyNumberFormat="1" applyBorder="1"/>
    <xf numFmtId="0" fontId="0" fillId="0" borderId="1" xfId="0" applyBorder="1"/>
    <xf numFmtId="1" fontId="0" fillId="0" borderId="7" xfId="0" applyNumberFormat="1" applyFont="1" applyBorder="1" applyAlignment="1">
      <alignment horizontal="center"/>
    </xf>
    <xf numFmtId="1" fontId="0" fillId="0" borderId="9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3" xfId="0" applyBorder="1"/>
    <xf numFmtId="0" fontId="0" fillId="0" borderId="3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15" xfId="0" applyFill="1" applyBorder="1"/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94CF-CA51-4969-9327-C767928CF64C}">
  <sheetPr>
    <pageSetUpPr fitToPage="1"/>
  </sheetPr>
  <dimension ref="B1:L14"/>
  <sheetViews>
    <sheetView tabSelected="1" workbookViewId="0">
      <selection activeCell="K5" sqref="K5"/>
    </sheetView>
  </sheetViews>
  <sheetFormatPr defaultRowHeight="15" x14ac:dyDescent="0.25"/>
  <cols>
    <col min="2" max="2" width="19" bestFit="1" customWidth="1"/>
    <col min="3" max="3" width="19.7109375" bestFit="1" customWidth="1"/>
    <col min="4" max="4" width="13.28515625" customWidth="1"/>
    <col min="5" max="5" width="11.5703125" bestFit="1" customWidth="1"/>
    <col min="6" max="6" width="13.42578125" bestFit="1" customWidth="1"/>
    <col min="7" max="7" width="12" bestFit="1" customWidth="1"/>
    <col min="8" max="8" width="20.140625" bestFit="1" customWidth="1"/>
    <col min="9" max="9" width="15" bestFit="1" customWidth="1"/>
    <col min="10" max="10" width="16" bestFit="1" customWidth="1"/>
    <col min="11" max="11" width="27.85546875" bestFit="1" customWidth="1"/>
    <col min="12" max="12" width="19.42578125" bestFit="1" customWidth="1"/>
  </cols>
  <sheetData>
    <row r="1" spans="2:12" ht="15.75" thickBot="1" x14ac:dyDescent="0.3"/>
    <row r="2" spans="2:12" ht="15.75" thickBot="1" x14ac:dyDescent="0.3">
      <c r="B2" s="39" t="s">
        <v>68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25">
      <c r="B3" s="18"/>
      <c r="C3" s="3"/>
      <c r="D3" s="4"/>
      <c r="E3" s="30" t="s">
        <v>26</v>
      </c>
      <c r="F3" s="31" t="s">
        <v>26</v>
      </c>
      <c r="G3" s="30" t="s">
        <v>26</v>
      </c>
      <c r="H3" s="31" t="s">
        <v>26</v>
      </c>
      <c r="I3" s="32" t="s">
        <v>29</v>
      </c>
      <c r="J3" s="31" t="s">
        <v>29</v>
      </c>
      <c r="K3" s="30" t="s">
        <v>27</v>
      </c>
      <c r="L3" s="31" t="s">
        <v>27</v>
      </c>
    </row>
    <row r="4" spans="2:12" ht="15.75" thickBot="1" x14ac:dyDescent="0.3">
      <c r="B4" s="20" t="s">
        <v>54</v>
      </c>
      <c r="C4" s="8" t="s">
        <v>56</v>
      </c>
      <c r="D4" s="10" t="s">
        <v>57</v>
      </c>
      <c r="E4" s="8" t="s">
        <v>22</v>
      </c>
      <c r="F4" s="10" t="s">
        <v>23</v>
      </c>
      <c r="G4" s="8" t="s">
        <v>7</v>
      </c>
      <c r="H4" s="10" t="s">
        <v>8</v>
      </c>
      <c r="I4" s="9" t="s">
        <v>24</v>
      </c>
      <c r="J4" s="10" t="s">
        <v>25</v>
      </c>
      <c r="K4" s="8" t="s">
        <v>32</v>
      </c>
      <c r="L4" s="10" t="s">
        <v>33</v>
      </c>
    </row>
    <row r="5" spans="2:12" ht="15.75" thickBot="1" x14ac:dyDescent="0.3">
      <c r="B5" s="20" t="s">
        <v>55</v>
      </c>
      <c r="C5" s="21" t="b">
        <f>Calculation!B5</f>
        <v>1</v>
      </c>
      <c r="D5" s="22" t="b">
        <f>Calculation!C5</f>
        <v>1</v>
      </c>
      <c r="E5" s="25">
        <f>Calculation!N5</f>
        <v>89.923329674338618</v>
      </c>
      <c r="F5" s="26">
        <f>Calculation!O5</f>
        <v>97.507588115157688</v>
      </c>
      <c r="G5" s="25">
        <f>Calculation!AA5</f>
        <v>176.45148631962641</v>
      </c>
      <c r="H5" s="26">
        <f>Calculation!AB5</f>
        <v>179.86405427632124</v>
      </c>
      <c r="I5" s="27">
        <f>Calculation!P5</f>
        <v>133.21974766568684</v>
      </c>
      <c r="J5" s="27">
        <f>Calculation!Q5</f>
        <v>144.45568609652992</v>
      </c>
      <c r="K5" s="28">
        <f>Calculation!Y5</f>
        <v>0.50962069830032708</v>
      </c>
      <c r="L5" s="29">
        <f>Calculation!Z5</f>
        <v>0.542118259857297</v>
      </c>
    </row>
    <row r="6" spans="2:12" ht="15.75" thickBot="1" x14ac:dyDescent="0.3">
      <c r="B6" s="24"/>
      <c r="C6" s="14"/>
      <c r="D6" s="14"/>
      <c r="E6" s="14"/>
      <c r="F6" s="14"/>
      <c r="G6" s="14"/>
      <c r="H6" s="14"/>
      <c r="I6" s="14"/>
      <c r="J6" s="14"/>
      <c r="K6" s="14"/>
      <c r="L6" s="15"/>
    </row>
    <row r="8" spans="2:12" ht="15.75" thickBot="1" x14ac:dyDescent="0.3"/>
    <row r="9" spans="2:12" ht="15.75" thickBot="1" x14ac:dyDescent="0.3">
      <c r="B9" s="24"/>
      <c r="C9" s="13" t="s">
        <v>58</v>
      </c>
      <c r="D9" s="15" t="s">
        <v>59</v>
      </c>
      <c r="E9" s="15"/>
    </row>
    <row r="10" spans="2:12" x14ac:dyDescent="0.25">
      <c r="B10" s="19" t="s">
        <v>61</v>
      </c>
      <c r="C10" s="33">
        <v>272</v>
      </c>
      <c r="D10" s="34">
        <v>181</v>
      </c>
      <c r="E10" s="7" t="s">
        <v>29</v>
      </c>
    </row>
    <row r="11" spans="2:12" x14ac:dyDescent="0.25">
      <c r="B11" s="19" t="s">
        <v>65</v>
      </c>
      <c r="C11" s="33">
        <f>physics!$C$8*Summary!C10/3600</f>
        <v>183.6</v>
      </c>
      <c r="D11" s="34">
        <f>physics!$C$8*Summary!D10/3600</f>
        <v>122.175</v>
      </c>
      <c r="E11" s="7" t="s">
        <v>62</v>
      </c>
    </row>
    <row r="12" spans="2:12" ht="15.75" thickBot="1" x14ac:dyDescent="0.3">
      <c r="B12" s="20" t="s">
        <v>60</v>
      </c>
      <c r="C12" s="35">
        <f>C10/I5</f>
        <v>2.0417393424477903</v>
      </c>
      <c r="D12" s="36">
        <f>D10/J5</f>
        <v>1.2529794076714293</v>
      </c>
      <c r="E12" s="10" t="s">
        <v>63</v>
      </c>
    </row>
    <row r="13" spans="2:12" ht="15.75" thickBot="1" x14ac:dyDescent="0.3">
      <c r="B13" s="45" t="s">
        <v>66</v>
      </c>
      <c r="C13" s="47">
        <f>C11/G5</f>
        <v>1.0405126294454934</v>
      </c>
      <c r="D13" s="48">
        <f>D11/H5</f>
        <v>0.67926301612386208</v>
      </c>
      <c r="E13" s="15"/>
    </row>
    <row r="14" spans="2:12" ht="15.75" thickBot="1" x14ac:dyDescent="0.3">
      <c r="B14" s="46" t="s">
        <v>69</v>
      </c>
      <c r="C14" s="28">
        <f>IF(C13&lt;0.7,C13,0.67)</f>
        <v>0.67</v>
      </c>
      <c r="D14" s="29">
        <f>IF(D13&lt;0.7,1,0.67)</f>
        <v>1</v>
      </c>
      <c r="E14" s="10" t="s">
        <v>67</v>
      </c>
    </row>
  </sheetData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49D6-BDDE-4002-A33E-472106ED62AE}">
  <dimension ref="A2:AB12"/>
  <sheetViews>
    <sheetView workbookViewId="0">
      <selection activeCell="I5" sqref="I5"/>
    </sheetView>
  </sheetViews>
  <sheetFormatPr defaultRowHeight="15" x14ac:dyDescent="0.25"/>
  <cols>
    <col min="1" max="1" width="11.5703125" customWidth="1"/>
    <col min="2" max="2" width="19.7109375" bestFit="1" customWidth="1"/>
    <col min="3" max="3" width="21.7109375" bestFit="1" customWidth="1"/>
    <col min="4" max="4" width="11.5703125" bestFit="1" customWidth="1"/>
    <col min="5" max="5" width="13.5703125" bestFit="1" customWidth="1"/>
    <col min="6" max="6" width="8.7109375" bestFit="1" customWidth="1"/>
    <col min="7" max="7" width="10.5703125" bestFit="1" customWidth="1"/>
    <col min="8" max="11" width="10.5703125" customWidth="1"/>
    <col min="12" max="12" width="9.140625" bestFit="1" customWidth="1"/>
    <col min="13" max="13" width="11" bestFit="1" customWidth="1"/>
    <col min="14" max="14" width="11.42578125" bestFit="1" customWidth="1"/>
    <col min="15" max="15" width="13.42578125" bestFit="1" customWidth="1"/>
    <col min="16" max="16" width="13.28515625" customWidth="1"/>
    <col min="17" max="17" width="15" bestFit="1" customWidth="1"/>
    <col min="18" max="18" width="4.5703125" bestFit="1" customWidth="1"/>
    <col min="19" max="19" width="5.5703125" bestFit="1" customWidth="1"/>
    <col min="20" max="20" width="5.85546875" bestFit="1" customWidth="1"/>
    <col min="21" max="21" width="12" bestFit="1" customWidth="1"/>
    <col min="22" max="22" width="14" bestFit="1" customWidth="1"/>
    <col min="23" max="23" width="12.28515625" bestFit="1" customWidth="1"/>
    <col min="24" max="24" width="14.28515625" bestFit="1" customWidth="1"/>
    <col min="25" max="25" width="10" customWidth="1"/>
    <col min="26" max="26" width="8" customWidth="1"/>
    <col min="27" max="27" width="12.140625" bestFit="1" customWidth="1"/>
    <col min="28" max="28" width="14.140625" bestFit="1" customWidth="1"/>
  </cols>
  <sheetData>
    <row r="2" spans="1:28" x14ac:dyDescent="0.25">
      <c r="H2" t="s">
        <v>50</v>
      </c>
      <c r="I2" t="s">
        <v>50</v>
      </c>
      <c r="J2" t="s">
        <v>50</v>
      </c>
      <c r="K2" t="s">
        <v>50</v>
      </c>
      <c r="L2" t="s">
        <v>51</v>
      </c>
      <c r="M2" t="s">
        <v>51</v>
      </c>
    </row>
    <row r="3" spans="1:28" x14ac:dyDescent="0.25">
      <c r="D3" t="s">
        <v>26</v>
      </c>
      <c r="E3" t="s">
        <v>26</v>
      </c>
      <c r="F3" t="s">
        <v>53</v>
      </c>
      <c r="G3" t="s">
        <v>53</v>
      </c>
      <c r="H3" t="s">
        <v>52</v>
      </c>
      <c r="I3" t="s">
        <v>52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29</v>
      </c>
      <c r="Q3" t="s">
        <v>29</v>
      </c>
      <c r="R3" t="s">
        <v>27</v>
      </c>
      <c r="S3" t="s">
        <v>28</v>
      </c>
      <c r="T3" t="s">
        <v>64</v>
      </c>
      <c r="U3" t="s">
        <v>28</v>
      </c>
      <c r="V3" t="s">
        <v>28</v>
      </c>
      <c r="W3" t="s">
        <v>64</v>
      </c>
      <c r="X3" t="s">
        <v>64</v>
      </c>
      <c r="Y3" t="s">
        <v>27</v>
      </c>
      <c r="Z3" t="s">
        <v>27</v>
      </c>
      <c r="AA3" t="s">
        <v>26</v>
      </c>
      <c r="AB3" t="s">
        <v>26</v>
      </c>
    </row>
    <row r="4" spans="1:28" x14ac:dyDescent="0.25">
      <c r="A4" t="s">
        <v>54</v>
      </c>
      <c r="B4" t="s">
        <v>56</v>
      </c>
      <c r="C4" t="s">
        <v>57</v>
      </c>
      <c r="D4" t="s">
        <v>14</v>
      </c>
      <c r="E4" t="s">
        <v>15</v>
      </c>
      <c r="F4" t="s">
        <v>18</v>
      </c>
      <c r="G4" t="s">
        <v>19</v>
      </c>
      <c r="H4" t="s">
        <v>20</v>
      </c>
      <c r="I4" t="s">
        <v>21</v>
      </c>
      <c r="J4" t="s">
        <v>20</v>
      </c>
      <c r="K4" t="s">
        <v>21</v>
      </c>
      <c r="L4" t="s">
        <v>48</v>
      </c>
      <c r="M4" t="s">
        <v>49</v>
      </c>
      <c r="N4" t="s">
        <v>22</v>
      </c>
      <c r="O4" t="s">
        <v>23</v>
      </c>
      <c r="P4" t="s">
        <v>24</v>
      </c>
      <c r="Q4" t="s">
        <v>25</v>
      </c>
      <c r="R4" t="s">
        <v>1</v>
      </c>
      <c r="S4" t="s">
        <v>0</v>
      </c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32</v>
      </c>
      <c r="Z4" t="s">
        <v>33</v>
      </c>
      <c r="AA4" t="s">
        <v>7</v>
      </c>
      <c r="AB4" t="s">
        <v>8</v>
      </c>
    </row>
    <row r="5" spans="1:28" x14ac:dyDescent="0.25">
      <c r="A5" t="s">
        <v>55</v>
      </c>
      <c r="B5" s="2" t="b">
        <f>IF(N5&lt;=AA5,TRUE,FALSE)</f>
        <v>1</v>
      </c>
      <c r="C5" s="2" t="b">
        <f t="shared" ref="C5" si="0">IF(O5&lt;=AB5,TRUE,FALSE)</f>
        <v>1</v>
      </c>
      <c r="D5" s="38">
        <f>(U5-S5)/physics!M5</f>
        <v>-17.645778653930467</v>
      </c>
      <c r="E5" s="38">
        <f>(V5-S5)/physics!M5</f>
        <v>-16.385365892935461</v>
      </c>
      <c r="F5" s="1">
        <v>1.96</v>
      </c>
      <c r="G5" s="1">
        <v>1.71</v>
      </c>
      <c r="H5" s="38">
        <v>152</v>
      </c>
      <c r="I5" s="38">
        <v>149</v>
      </c>
      <c r="J5" s="38">
        <f t="shared" ref="J5" si="1">H5/F5</f>
        <v>77.551020408163268</v>
      </c>
      <c r="K5" s="38">
        <f t="shared" ref="K5" si="2">I5/G5</f>
        <v>87.134502923976612</v>
      </c>
      <c r="L5" s="38">
        <f>J5*(1-0.068)</f>
        <v>72.277551020408154</v>
      </c>
      <c r="M5" s="38">
        <f>K5*(1-0.069)</f>
        <v>81.122222222222234</v>
      </c>
      <c r="N5" s="38">
        <f>L5-D5</f>
        <v>89.923329674338618</v>
      </c>
      <c r="O5" s="38">
        <f t="shared" ref="O5" si="3">M5-E5</f>
        <v>97.507588115157688</v>
      </c>
      <c r="P5" s="38">
        <f>3600*N5/physics!$C$8</f>
        <v>133.21974766568684</v>
      </c>
      <c r="Q5" s="38">
        <f>3600*O5/physics!$C$8</f>
        <v>144.45568609652992</v>
      </c>
      <c r="R5" s="1">
        <v>0.37</v>
      </c>
      <c r="S5" s="1">
        <v>39</v>
      </c>
      <c r="T5" s="1">
        <f>0.1*R5*EXP((18.956)-(4030/(S5+235)))</f>
        <v>2.5886420587640875</v>
      </c>
      <c r="U5" s="1">
        <v>36.200000000000003</v>
      </c>
      <c r="V5" s="1">
        <v>36.4</v>
      </c>
      <c r="W5" s="1">
        <f t="shared" ref="W5:X5" si="4">0.1*EXP((18.956)-(4030/(U5+235)))</f>
        <v>6.0106500320310596</v>
      </c>
      <c r="X5" s="1">
        <f t="shared" si="4"/>
        <v>6.076831592757455</v>
      </c>
      <c r="Y5" s="1">
        <f t="shared" ref="Y5:Z5" si="5">N5/AA5</f>
        <v>0.50962069830032708</v>
      </c>
      <c r="Z5" s="1">
        <f t="shared" si="5"/>
        <v>0.542118259857297</v>
      </c>
      <c r="AA5" s="38">
        <f>(W5-T5)/physics!$O5</f>
        <v>176.45148631962641</v>
      </c>
      <c r="AB5" s="38">
        <f>(X5-T5)/physics!$O5</f>
        <v>179.86405427632124</v>
      </c>
    </row>
    <row r="6" spans="1:28" x14ac:dyDescent="0.25">
      <c r="J6" s="1"/>
      <c r="K6" s="1"/>
    </row>
    <row r="10" spans="1:28" x14ac:dyDescent="0.25">
      <c r="D10" s="2"/>
      <c r="E10" s="2"/>
    </row>
    <row r="11" spans="1:28" x14ac:dyDescent="0.25">
      <c r="D11" s="2"/>
      <c r="E11" s="2"/>
    </row>
    <row r="12" spans="1:28" x14ac:dyDescent="0.25">
      <c r="D12" s="2"/>
      <c r="E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A424-26E5-4933-A130-E56D54A928DE}">
  <dimension ref="B1:O8"/>
  <sheetViews>
    <sheetView workbookViewId="0">
      <selection activeCell="B8" sqref="B8"/>
    </sheetView>
  </sheetViews>
  <sheetFormatPr defaultRowHeight="15" x14ac:dyDescent="0.25"/>
  <cols>
    <col min="15" max="15" width="10" bestFit="1" customWidth="1"/>
  </cols>
  <sheetData>
    <row r="1" spans="2:15" ht="15.75" thickBot="1" x14ac:dyDescent="0.3"/>
    <row r="2" spans="2:15" ht="12" customHeight="1" thickBot="1" x14ac:dyDescent="0.3">
      <c r="B2" s="13" t="s">
        <v>41</v>
      </c>
      <c r="C2" s="14"/>
      <c r="D2" s="15"/>
      <c r="F2" s="13" t="s">
        <v>42</v>
      </c>
      <c r="G2" s="14"/>
      <c r="H2" s="14"/>
      <c r="I2" s="14"/>
      <c r="J2" s="14"/>
      <c r="K2" s="14"/>
      <c r="L2" s="14"/>
      <c r="M2" s="14"/>
      <c r="N2" s="14"/>
      <c r="O2" s="15"/>
    </row>
    <row r="3" spans="2:15" x14ac:dyDescent="0.25">
      <c r="B3" s="5" t="s">
        <v>9</v>
      </c>
      <c r="C3" s="16">
        <v>16.5</v>
      </c>
      <c r="D3" s="7" t="s">
        <v>71</v>
      </c>
      <c r="F3" s="3" t="s">
        <v>27</v>
      </c>
      <c r="G3" s="42" t="s">
        <v>38</v>
      </c>
      <c r="H3" s="42" t="s">
        <v>38</v>
      </c>
      <c r="I3" s="43" t="s">
        <v>27</v>
      </c>
      <c r="J3" s="42" t="s">
        <v>38</v>
      </c>
      <c r="K3" s="43" t="s">
        <v>27</v>
      </c>
      <c r="L3" s="43" t="s">
        <v>27</v>
      </c>
      <c r="M3" s="42" t="s">
        <v>38</v>
      </c>
      <c r="N3" s="43" t="s">
        <v>27</v>
      </c>
      <c r="O3" s="4" t="s">
        <v>35</v>
      </c>
    </row>
    <row r="4" spans="2:15" ht="15.75" thickBot="1" x14ac:dyDescent="0.3">
      <c r="B4" s="5" t="s">
        <v>10</v>
      </c>
      <c r="C4" s="16">
        <f>8.3*POWER(C5,0.6)</f>
        <v>3.1600655382683591</v>
      </c>
      <c r="D4" s="7" t="s">
        <v>16</v>
      </c>
      <c r="F4" s="8" t="s">
        <v>36</v>
      </c>
      <c r="G4" s="9" t="s">
        <v>37</v>
      </c>
      <c r="H4" s="9" t="s">
        <v>39</v>
      </c>
      <c r="I4" s="44" t="s">
        <v>43</v>
      </c>
      <c r="J4" s="9" t="s">
        <v>40</v>
      </c>
      <c r="K4" s="44" t="s">
        <v>44</v>
      </c>
      <c r="L4" s="44" t="s">
        <v>46</v>
      </c>
      <c r="M4" s="44" t="s">
        <v>45</v>
      </c>
      <c r="N4" s="44" t="s">
        <v>47</v>
      </c>
      <c r="O4" s="10" t="s">
        <v>34</v>
      </c>
    </row>
    <row r="5" spans="2:15" x14ac:dyDescent="0.25">
      <c r="B5" s="5" t="s">
        <v>11</v>
      </c>
      <c r="C5" s="16">
        <v>0.2</v>
      </c>
      <c r="D5" s="7" t="s">
        <v>17</v>
      </c>
      <c r="F5" s="11">
        <v>0.45</v>
      </c>
      <c r="G5" s="37">
        <f t="shared" ref="G5" si="0">0.36*0.155</f>
        <v>5.5799999999999995E-2</v>
      </c>
      <c r="H5" s="37">
        <f>1/(physics!$C$4+physics!$C$6)</f>
        <v>0.12722540227321166</v>
      </c>
      <c r="I5" s="37">
        <f>1+1.97*G5</f>
        <v>1.109926</v>
      </c>
      <c r="J5" s="37">
        <f>G5+H5/I5</f>
        <v>0.17042512120016259</v>
      </c>
      <c r="K5" s="12">
        <f>EXP(0.043-0.398*$C$5+0.066*POWER($C$5,2)-0.378*(0.0052*(Calculation!$J5-58))+0.094*POWER((0.0052*(Calculation!$J5-58)),2))</f>
        <v>0.93107269944344806</v>
      </c>
      <c r="L5" s="12">
        <f>2.6*POWER(K5,2)-6.5*K5+4.9</f>
        <v>1.1019580199047523</v>
      </c>
      <c r="M5" s="37">
        <f>K5*J5</f>
        <v>0.1586781776488122</v>
      </c>
      <c r="N5" s="12">
        <f>L5*F5</f>
        <v>0.49588110895713855</v>
      </c>
      <c r="O5" s="23">
        <f>M5/N5/$C$3</f>
        <v>1.9393477746445866E-2</v>
      </c>
    </row>
    <row r="6" spans="2:15" x14ac:dyDescent="0.25">
      <c r="B6" s="5" t="s">
        <v>12</v>
      </c>
      <c r="C6" s="16">
        <v>4.7</v>
      </c>
      <c r="D6" s="7" t="s">
        <v>16</v>
      </c>
      <c r="F6" s="11"/>
      <c r="G6" s="37"/>
      <c r="H6" s="37"/>
      <c r="I6" s="37"/>
      <c r="J6" s="37"/>
      <c r="K6" s="12"/>
      <c r="L6" s="12"/>
      <c r="M6" s="37"/>
      <c r="N6" s="12"/>
      <c r="O6" s="23"/>
    </row>
    <row r="7" spans="2:15" x14ac:dyDescent="0.25">
      <c r="B7" s="5" t="s">
        <v>13</v>
      </c>
      <c r="C7" s="16">
        <f>C3*C4</f>
        <v>52.141081381427924</v>
      </c>
      <c r="D7" s="7" t="s">
        <v>70</v>
      </c>
      <c r="F7" s="5"/>
      <c r="G7" s="6"/>
      <c r="H7" s="6"/>
      <c r="I7" s="6"/>
      <c r="J7" s="6"/>
      <c r="K7" s="6"/>
      <c r="L7" s="6"/>
      <c r="M7" s="6"/>
      <c r="N7" s="6"/>
      <c r="O7" s="7"/>
    </row>
    <row r="8" spans="2:15" ht="15.75" thickBot="1" x14ac:dyDescent="0.3">
      <c r="B8" s="8" t="s">
        <v>31</v>
      </c>
      <c r="C8" s="17">
        <v>2430</v>
      </c>
      <c r="D8" s="10" t="s">
        <v>30</v>
      </c>
      <c r="F8" s="8"/>
      <c r="G8" s="9"/>
      <c r="H8" s="9"/>
      <c r="I8" s="9"/>
      <c r="J8" s="9"/>
      <c r="K8" s="9"/>
      <c r="L8" s="9"/>
      <c r="M8" s="9"/>
      <c r="N8" s="9"/>
      <c r="O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C5ABC0992062CB408557E74D3A82896E" ma:contentTypeVersion="9" ma:contentTypeDescription=" " ma:contentTypeScope="" ma:versionID="efdb5bc9c92f71bab42e4978e9f01e30">
  <xsd:schema xmlns:xsd="http://www.w3.org/2001/XMLSchema" xmlns:xs="http://www.w3.org/2001/XMLSchema" xmlns:p="http://schemas.microsoft.com/office/2006/metadata/properties" xmlns:ns2="30e14e10-cd5b-4031-ae47-c107da4124ea" xmlns:ns3="2f6a910d-138e-42c1-8e8a-320c1b7cf3f7" xmlns:ns5="0d595bf5-972e-4c34-a5f4-03b4d0b06735" targetNamespace="http://schemas.microsoft.com/office/2006/metadata/properties" ma:root="true" ma:fieldsID="ee3a3bfb2f94595c2438c9ee5181e810" ns2:_="" ns3:_="" ns5:_="">
    <xsd:import namespace="30e14e10-cd5b-4031-ae47-c107da4124ea"/>
    <xsd:import namespace="2f6a910d-138e-42c1-8e8a-320c1b7cf3f7"/>
    <xsd:import namespace="0d595bf5-972e-4c34-a5f4-03b4d0b067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lcf76f155ced4ddcb4097134ff3c332f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e14e10-cd5b-4031-ae47-c107da4124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f0c7066e-45a7-4447-b039-06bb176d9606}" ma:internalName="TaxCatchAll" ma:showField="CatchAllData" ma:web="30e14e10-cd5b-4031-ae47-c107da4124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f0c7066e-45a7-4447-b039-06bb176d9606}" ma:internalName="TaxCatchAllLabel" ma:readOnly="true" ma:showField="CatchAllDataLabel" ma:web="30e14e10-cd5b-4031-ae47-c107da4124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ZonMw - Warmaanbevolen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5064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95bf5-972e-4c34-a5f4-03b4d0b067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7378aa68-586f-4892-bb77-0985b40f41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3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a20d149a844688b6abf34073d5c21d xmlns="30e14e10-cd5b-4031-ae47-c107da4124ea">
      <Terms xmlns="http://schemas.microsoft.com/office/infopath/2007/PartnerControls"/>
    </lca20d149a844688b6abf34073d5c21d>
    <bac4ab11065f4f6c809c820c57e320e5 xmlns="30e14e10-cd5b-4031-ae47-c107da4124ea">
      <Terms xmlns="http://schemas.microsoft.com/office/infopath/2007/PartnerControls"/>
    </bac4ab11065f4f6c809c820c57e320e5>
    <cf581d8792c646118aad2c2c4ecdfa8c xmlns="30e14e10-cd5b-4031-ae47-c107da4124ea">
      <Terms xmlns="http://schemas.microsoft.com/office/infopath/2007/PartnerControls"/>
    </cf581d8792c646118aad2c2c4ecdfa8c>
    <_dlc_DocId xmlns="30e14e10-cd5b-4031-ae47-c107da4124ea">4FNQCQKHNMJM-896162580-85</_dlc_DocId>
    <n2a7a23bcc2241cb9261f9a914c7c1bb xmlns="30e14e10-cd5b-4031-ae47-c107da4124e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TNOC_ClusterName xmlns="2f6a910d-138e-42c1-8e8a-320c1b7cf3f7">ZonMw - Warmaanbevolen</TNOC_ClusterName>
    <_dlc_DocIdUrl xmlns="30e14e10-cd5b-4031-ae47-c107da4124ea">
      <Url>https://365tno.sharepoint.com/teams/P060.50644/_layouts/15/DocIdRedir.aspx?ID=4FNQCQKHNMJM-896162580-85</Url>
      <Description>4FNQCQKHNMJM-896162580-85</Description>
    </_dlc_DocIdUrl>
    <TNOC_ClusterId xmlns="2f6a910d-138e-42c1-8e8a-320c1b7cf3f7">060.50644</TNOC_ClusterId>
    <h15fbb78f4cb41d290e72f301ea2865f xmlns="30e14e10-cd5b-4031-ae47-c107da4124ea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lcf76f155ced4ddcb4097134ff3c332f xmlns="0d595bf5-972e-4c34-a5f4-03b4d0b06735">
      <Terms xmlns="http://schemas.microsoft.com/office/infopath/2007/PartnerControls"/>
    </lcf76f155ced4ddcb4097134ff3c332f>
    <TaxCatchAll xmlns="30e14e10-cd5b-4031-ae47-c107da4124ea">
      <Value>5</Value>
      <Value>1</Value>
    </TaxCatchAll>
  </documentManagement>
</p:properties>
</file>

<file path=customXml/itemProps1.xml><?xml version="1.0" encoding="utf-8"?>
<ds:datastoreItem xmlns:ds="http://schemas.openxmlformats.org/officeDocument/2006/customXml" ds:itemID="{71774B23-B153-4415-85DA-C87FA69BB8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e14e10-cd5b-4031-ae47-c107da4124ea"/>
    <ds:schemaRef ds:uri="2f6a910d-138e-42c1-8e8a-320c1b7cf3f7"/>
    <ds:schemaRef ds:uri="0d595bf5-972e-4c34-a5f4-03b4d0b06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BC3235-1D48-43F4-82D2-AEF37BA56AD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CCCB238-F075-46CB-ACBD-4E71C460AD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90C0AF5-EA15-47E9-B69F-5929CBD9FC44}">
  <ds:schemaRefs>
    <ds:schemaRef ds:uri="http://schemas.microsoft.com/office/2006/metadata/properties"/>
    <ds:schemaRef ds:uri="http://schemas.microsoft.com/office/infopath/2007/PartnerControls"/>
    <ds:schemaRef ds:uri="30e14e10-cd5b-4031-ae47-c107da4124ea"/>
    <ds:schemaRef ds:uri="2f6a910d-138e-42c1-8e8a-320c1b7cf3f7"/>
    <ds:schemaRef ds:uri="0d595bf5-972e-4c34-a5f4-03b4d0b067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</vt:lpstr>
      <vt:lpstr>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B.R.M. Kingma PhD</dc:creator>
  <cp:lastModifiedBy>Daanen, H.A.M.</cp:lastModifiedBy>
  <cp:lastPrinted>2023-08-26T09:13:09Z</cp:lastPrinted>
  <dcterms:created xsi:type="dcterms:W3CDTF">2023-08-13T06:27:46Z</dcterms:created>
  <dcterms:modified xsi:type="dcterms:W3CDTF">2023-08-26T11:54:11Z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0x010100A35317DCC28344A7B82488658A034A5C0100C5ABC0992062CB408557E74D3A82896E</vt:lpwstr>
  </property>
  <property fmtid="{D5CDD505-2E9C-101B-9397-08002B2CF9AE}" pid="4" name="TNOC_DocumentType">
    <vt:lpwstr/>
  </property>
  <property fmtid="{D5CDD505-2E9C-101B-9397-08002B2CF9AE}" pid="5" name="TNOC_DocumentCategory">
    <vt:lpwstr/>
  </property>
  <property fmtid="{D5CDD505-2E9C-101B-9397-08002B2CF9AE}" pid="6" name="_dlc_DocIdItemGuid">
    <vt:lpwstr>724f9357-6363-44df-86a5-79c6862131b2</vt:lpwstr>
  </property>
  <property fmtid="{D5CDD505-2E9C-101B-9397-08002B2CF9AE}" pid="7" name="TNOC_ClusterType">
    <vt:lpwstr>1;#Project|fa11c4c9-105f-402c-bb40-9a56b4989397</vt:lpwstr>
  </property>
  <property fmtid="{D5CDD505-2E9C-101B-9397-08002B2CF9AE}" pid="8" name="TNOC_DocumentSetType">
    <vt:lpwstr/>
  </property>
  <property fmtid="{D5CDD505-2E9C-101B-9397-08002B2CF9AE}" pid="9" name="TNOC_DocumentClassification">
    <vt:lpwstr>5;#TNO Internal|1a23c89f-ef54-4907-86fd-8242403ff722</vt:lpwstr>
  </property>
</Properties>
</file>