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udium Geo\M.Sc\OSLO\MA_PFC\GC-MS\Part_Exp_B\"/>
    </mc:Choice>
  </mc:AlternateContent>
  <xr:revisionPtr revIDLastSave="0" documentId="13_ncr:1_{0EB997CE-D136-42D4-BA14-99B4D262C22C}" xr6:coauthVersionLast="46" xr6:coauthVersionMax="46" xr10:uidLastSave="{00000000-0000-0000-0000-000000000000}"/>
  <bookViews>
    <workbookView xWindow="-120" yWindow="-120" windowWidth="20730" windowHeight="11160" activeTab="1" xr2:uid="{D723A511-8441-47E5-8C00-AE3D4E083BB6}"/>
  </bookViews>
  <sheets>
    <sheet name="Raw_data" sheetId="1" r:id="rId1"/>
    <sheet name="Processing_final" sheetId="8" r:id="rId2"/>
    <sheet name="Lin.Corr.Cs-Caq" sheetId="9" r:id="rId3"/>
    <sheet name="1st processing" sheetId="2" r:id="rId4"/>
    <sheet name="2nd processing" sheetId="3" r:id="rId5"/>
    <sheet name="Tabelle2" sheetId="4" r:id="rId6"/>
    <sheet name="Sorption Competition PCE-PFOA" sheetId="5" r:id="rId7"/>
    <sheet name="Printable" sheetId="6" r:id="rId8"/>
    <sheet name="Calc w. Int. Std.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3" i="8" l="1"/>
  <c r="Y4" i="9" l="1"/>
  <c r="Y13" i="9"/>
  <c r="X13" i="9"/>
  <c r="W13" i="9"/>
  <c r="Y10" i="9"/>
  <c r="X10" i="9"/>
  <c r="W10" i="9"/>
  <c r="Y7" i="9"/>
  <c r="X7" i="9"/>
  <c r="W7" i="9"/>
  <c r="X4" i="9"/>
  <c r="W4" i="9"/>
  <c r="Y3" i="9"/>
  <c r="Y5" i="9"/>
  <c r="Y6" i="9"/>
  <c r="Y8" i="9"/>
  <c r="Y9" i="9"/>
  <c r="Y11" i="9"/>
  <c r="Y12" i="9"/>
  <c r="Y2" i="9"/>
  <c r="W9" i="9"/>
  <c r="W8" i="9"/>
  <c r="M12" i="9"/>
  <c r="K36" i="9"/>
  <c r="J36" i="9"/>
  <c r="I36" i="9"/>
  <c r="H36" i="9"/>
  <c r="K32" i="9"/>
  <c r="J32" i="9"/>
  <c r="I32" i="9"/>
  <c r="H32" i="9"/>
  <c r="K28" i="9"/>
  <c r="J28" i="9"/>
  <c r="I28" i="9"/>
  <c r="H28" i="9"/>
  <c r="K16" i="9"/>
  <c r="J16" i="9"/>
  <c r="I16" i="9"/>
  <c r="H16" i="9"/>
  <c r="K12" i="9"/>
  <c r="J12" i="9"/>
  <c r="I12" i="9"/>
  <c r="H12" i="9"/>
  <c r="N12" i="9"/>
  <c r="O12" i="9"/>
  <c r="P12" i="9"/>
  <c r="T12" i="9" s="1"/>
  <c r="M13" i="9"/>
  <c r="N13" i="9"/>
  <c r="O13" i="9"/>
  <c r="P13" i="9"/>
  <c r="M14" i="9"/>
  <c r="N14" i="9"/>
  <c r="O14" i="9"/>
  <c r="P14" i="9"/>
  <c r="M15" i="9"/>
  <c r="N15" i="9"/>
  <c r="O15" i="9"/>
  <c r="P15" i="9"/>
  <c r="M16" i="9"/>
  <c r="N16" i="9"/>
  <c r="O16" i="9"/>
  <c r="P16" i="9"/>
  <c r="T16" i="9" s="1"/>
  <c r="M17" i="9"/>
  <c r="N17" i="9"/>
  <c r="O17" i="9"/>
  <c r="P17" i="9"/>
  <c r="M18" i="9"/>
  <c r="N18" i="9"/>
  <c r="O18" i="9"/>
  <c r="P18" i="9"/>
  <c r="M19" i="9"/>
  <c r="N19" i="9"/>
  <c r="O19" i="9"/>
  <c r="P19" i="9"/>
  <c r="M28" i="9"/>
  <c r="N28" i="9"/>
  <c r="O28" i="9"/>
  <c r="P28" i="9"/>
  <c r="T28" i="9" s="1"/>
  <c r="M29" i="9"/>
  <c r="N29" i="9"/>
  <c r="O29" i="9"/>
  <c r="P29" i="9"/>
  <c r="M30" i="9"/>
  <c r="N30" i="9"/>
  <c r="O30" i="9"/>
  <c r="P30" i="9"/>
  <c r="M31" i="9"/>
  <c r="N31" i="9"/>
  <c r="O31" i="9"/>
  <c r="P31" i="9"/>
  <c r="M32" i="9"/>
  <c r="N32" i="9"/>
  <c r="O32" i="9"/>
  <c r="P32" i="9"/>
  <c r="M33" i="9"/>
  <c r="N33" i="9"/>
  <c r="O33" i="9"/>
  <c r="P33" i="9"/>
  <c r="M34" i="9"/>
  <c r="N34" i="9"/>
  <c r="O34" i="9"/>
  <c r="P34" i="9"/>
  <c r="M35" i="9"/>
  <c r="N35" i="9"/>
  <c r="O35" i="9"/>
  <c r="P35" i="9"/>
  <c r="M36" i="9"/>
  <c r="N36" i="9"/>
  <c r="O36" i="9"/>
  <c r="P36" i="9"/>
  <c r="T36" i="9" s="1"/>
  <c r="M37" i="9"/>
  <c r="N37" i="9"/>
  <c r="O37" i="9"/>
  <c r="P37" i="9"/>
  <c r="M38" i="9"/>
  <c r="N38" i="9"/>
  <c r="O38" i="9"/>
  <c r="P38" i="9"/>
  <c r="M39" i="9"/>
  <c r="N39" i="9"/>
  <c r="O39" i="9"/>
  <c r="P39" i="9"/>
  <c r="AU15" i="8"/>
  <c r="AT17" i="8"/>
  <c r="AS11" i="8"/>
  <c r="AN5" i="8"/>
  <c r="AL10" i="8"/>
  <c r="AJ10" i="8"/>
  <c r="T32" i="9" l="1"/>
  <c r="Q36" i="9"/>
  <c r="R36" i="9"/>
  <c r="R32" i="9"/>
  <c r="R28" i="9"/>
  <c r="R16" i="9"/>
  <c r="R12" i="9"/>
  <c r="Q32" i="9"/>
  <c r="Q28" i="9"/>
  <c r="Q16" i="9"/>
  <c r="S36" i="9"/>
  <c r="S32" i="9"/>
  <c r="S28" i="9"/>
  <c r="S16" i="9"/>
  <c r="S12" i="9"/>
  <c r="Q12" i="9"/>
  <c r="AI33" i="2"/>
  <c r="AK33" i="2"/>
  <c r="BD12" i="8"/>
  <c r="BD13" i="8"/>
  <c r="BD14" i="8"/>
  <c r="BD15" i="8"/>
  <c r="BD11" i="8"/>
  <c r="BC15" i="8"/>
  <c r="BC14" i="8"/>
  <c r="BC13" i="8"/>
  <c r="BC12" i="8"/>
  <c r="BC11" i="8"/>
  <c r="BB15" i="8"/>
  <c r="BB14" i="8"/>
  <c r="BB13" i="8"/>
  <c r="BB12" i="8"/>
  <c r="BB11" i="8"/>
  <c r="BB7" i="8"/>
  <c r="BB6" i="8"/>
  <c r="BD6" i="8" s="1"/>
  <c r="BB5" i="8"/>
  <c r="BD5" i="8" s="1"/>
  <c r="BB4" i="8"/>
  <c r="BD4" i="8" s="1"/>
  <c r="BD7" i="8"/>
  <c r="AY17" i="8"/>
  <c r="AX17" i="8"/>
  <c r="BC3" i="8"/>
  <c r="BB18" i="8"/>
  <c r="BA18" i="8"/>
  <c r="BC7" i="8"/>
  <c r="BC6" i="8"/>
  <c r="BC5" i="8"/>
  <c r="BC4" i="8"/>
  <c r="AJ31" i="8"/>
  <c r="AK31" i="8"/>
  <c r="AJ32" i="8"/>
  <c r="AK32" i="8"/>
  <c r="AJ33" i="8"/>
  <c r="AK33" i="8"/>
  <c r="AJ34" i="8"/>
  <c r="AK34" i="8"/>
  <c r="AJ35" i="8"/>
  <c r="AK35" i="8"/>
  <c r="AJ36" i="8"/>
  <c r="AK36" i="8"/>
  <c r="AJ37" i="8"/>
  <c r="AK37" i="8"/>
  <c r="AJ38" i="8"/>
  <c r="AK38" i="8"/>
  <c r="AJ39" i="8"/>
  <c r="AK39" i="8"/>
  <c r="AJ40" i="8"/>
  <c r="AK40" i="8"/>
  <c r="AJ41" i="8"/>
  <c r="AK41" i="8"/>
  <c r="AJ42" i="8"/>
  <c r="AK42" i="8"/>
  <c r="AJ43" i="8"/>
  <c r="AK43" i="8"/>
  <c r="AJ44" i="8"/>
  <c r="AK44" i="8"/>
  <c r="AJ45" i="8"/>
  <c r="AK45" i="8"/>
  <c r="AK30" i="8"/>
  <c r="AJ30" i="8"/>
  <c r="AJ11" i="8"/>
  <c r="AK11" i="8"/>
  <c r="AJ12" i="8"/>
  <c r="AK12" i="8"/>
  <c r="AJ13" i="8"/>
  <c r="AK13" i="8"/>
  <c r="AJ14" i="8"/>
  <c r="AK14" i="8"/>
  <c r="AJ15" i="8"/>
  <c r="AK15" i="8"/>
  <c r="AJ16" i="8"/>
  <c r="AK16" i="8"/>
  <c r="AJ17" i="8"/>
  <c r="AK17" i="8"/>
  <c r="AJ18" i="8"/>
  <c r="AK18" i="8"/>
  <c r="AJ19" i="8"/>
  <c r="AK19" i="8"/>
  <c r="AJ20" i="8"/>
  <c r="AK20" i="8"/>
  <c r="AJ21" i="8"/>
  <c r="AK21" i="8"/>
  <c r="AJ22" i="8"/>
  <c r="AK22" i="8"/>
  <c r="AJ23" i="8"/>
  <c r="AK23" i="8"/>
  <c r="AJ24" i="8"/>
  <c r="AK24" i="8"/>
  <c r="AJ25" i="8"/>
  <c r="AK25" i="8"/>
  <c r="AK10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10" i="8"/>
  <c r="AN4" i="8"/>
  <c r="BS10" i="8"/>
  <c r="AF30" i="8"/>
  <c r="AG33" i="8" s="1"/>
  <c r="AF31" i="8"/>
  <c r="AG45" i="8" s="1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G40" i="8" s="1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10" i="8"/>
  <c r="AG13" i="8" s="1"/>
  <c r="O8" i="8"/>
  <c r="I9" i="8"/>
  <c r="I10" i="8"/>
  <c r="I11" i="8"/>
  <c r="I12" i="8"/>
  <c r="I13" i="8"/>
  <c r="I14" i="8"/>
  <c r="I15" i="8"/>
  <c r="I16" i="8"/>
  <c r="I17" i="8"/>
  <c r="I20" i="8"/>
  <c r="I21" i="8"/>
  <c r="I22" i="8"/>
  <c r="I23" i="8"/>
  <c r="I24" i="8"/>
  <c r="I25" i="8"/>
  <c r="I26" i="8"/>
  <c r="I27" i="8"/>
  <c r="I2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7" i="8"/>
  <c r="S9" i="8"/>
  <c r="S10" i="8"/>
  <c r="S11" i="8"/>
  <c r="S12" i="8"/>
  <c r="S13" i="8"/>
  <c r="S14" i="8"/>
  <c r="S15" i="8"/>
  <c r="S16" i="8"/>
  <c r="S17" i="8"/>
  <c r="R9" i="8"/>
  <c r="R10" i="8"/>
  <c r="R11" i="8"/>
  <c r="R12" i="8"/>
  <c r="R13" i="8"/>
  <c r="R14" i="8"/>
  <c r="R15" i="8"/>
  <c r="R16" i="8"/>
  <c r="R17" i="8"/>
  <c r="R24" i="8"/>
  <c r="S24" i="8" s="1"/>
  <c r="R25" i="8"/>
  <c r="S25" i="8" s="1"/>
  <c r="R26" i="8"/>
  <c r="S26" i="8" s="1"/>
  <c r="R27" i="8"/>
  <c r="S27" i="8" s="1"/>
  <c r="R28" i="8"/>
  <c r="S28" i="8" s="1"/>
  <c r="R29" i="8"/>
  <c r="S29" i="8" s="1"/>
  <c r="R30" i="8"/>
  <c r="S30" i="8" s="1"/>
  <c r="R31" i="8"/>
  <c r="S31" i="8" s="1"/>
  <c r="R32" i="8"/>
  <c r="S32" i="8" s="1"/>
  <c r="O24" i="8"/>
  <c r="O25" i="8"/>
  <c r="O26" i="8"/>
  <c r="O27" i="8"/>
  <c r="O28" i="8"/>
  <c r="O29" i="8"/>
  <c r="O30" i="8"/>
  <c r="O31" i="8"/>
  <c r="O32" i="8"/>
  <c r="O23" i="8"/>
  <c r="O9" i="8"/>
  <c r="O10" i="8"/>
  <c r="O11" i="8"/>
  <c r="O12" i="8"/>
  <c r="O13" i="8"/>
  <c r="O14" i="8"/>
  <c r="O15" i="8"/>
  <c r="O16" i="8"/>
  <c r="O17" i="8"/>
  <c r="BD3" i="8" l="1"/>
  <c r="AH33" i="8"/>
  <c r="AI33" i="8"/>
  <c r="AH13" i="8"/>
  <c r="AI13" i="8"/>
  <c r="AI40" i="8"/>
  <c r="AH40" i="8"/>
  <c r="AH45" i="8"/>
  <c r="AI45" i="8"/>
  <c r="AG20" i="8"/>
  <c r="AG44" i="8"/>
  <c r="AG32" i="8"/>
  <c r="AG10" i="8"/>
  <c r="AG23" i="8"/>
  <c r="AG19" i="8"/>
  <c r="AG15" i="8"/>
  <c r="AG11" i="8"/>
  <c r="AG43" i="8"/>
  <c r="AG39" i="8"/>
  <c r="AG35" i="8"/>
  <c r="AG31" i="8"/>
  <c r="AG24" i="8"/>
  <c r="AG12" i="8"/>
  <c r="AG36" i="8"/>
  <c r="AG22" i="8"/>
  <c r="AG18" i="8"/>
  <c r="AG14" i="8"/>
  <c r="AG30" i="8"/>
  <c r="AG42" i="8"/>
  <c r="AG38" i="8"/>
  <c r="AG34" i="8"/>
  <c r="AG16" i="8"/>
  <c r="AG25" i="8"/>
  <c r="AG21" i="8"/>
  <c r="AG17" i="8"/>
  <c r="AG41" i="8"/>
  <c r="AG37" i="8"/>
  <c r="P11" i="8"/>
  <c r="P10" i="8"/>
  <c r="P24" i="8"/>
  <c r="P14" i="8"/>
  <c r="P26" i="8"/>
  <c r="P17" i="8"/>
  <c r="P13" i="8"/>
  <c r="P23" i="8"/>
  <c r="P29" i="8"/>
  <c r="P25" i="8"/>
  <c r="P30" i="8"/>
  <c r="P16" i="8"/>
  <c r="P12" i="8"/>
  <c r="P32" i="8"/>
  <c r="P28" i="8"/>
  <c r="P9" i="8"/>
  <c r="P8" i="8"/>
  <c r="P15" i="8"/>
  <c r="P31" i="8"/>
  <c r="P27" i="8"/>
  <c r="AH37" i="8" l="1"/>
  <c r="AI37" i="8"/>
  <c r="AI42" i="8"/>
  <c r="AH42" i="8"/>
  <c r="AH31" i="8"/>
  <c r="AI31" i="8"/>
  <c r="AH11" i="8"/>
  <c r="AI11" i="8"/>
  <c r="AI16" i="8"/>
  <c r="AH16" i="8"/>
  <c r="AH35" i="8"/>
  <c r="AI35" i="8"/>
  <c r="AH15" i="8"/>
  <c r="AI15" i="8"/>
  <c r="AH17" i="8"/>
  <c r="AI17" i="8"/>
  <c r="AI34" i="8"/>
  <c r="AH34" i="8"/>
  <c r="AI14" i="8"/>
  <c r="AH14" i="8"/>
  <c r="AI12" i="8"/>
  <c r="AH12" i="8"/>
  <c r="AH39" i="8"/>
  <c r="AI39" i="8"/>
  <c r="AH19" i="8"/>
  <c r="AI19" i="8"/>
  <c r="AI44" i="8"/>
  <c r="AH44" i="8"/>
  <c r="AH25" i="8"/>
  <c r="AI25" i="8"/>
  <c r="AI22" i="8"/>
  <c r="AH22" i="8"/>
  <c r="AH10" i="8"/>
  <c r="AI10" i="8"/>
  <c r="AH41" i="8"/>
  <c r="AI41" i="8"/>
  <c r="AI30" i="8"/>
  <c r="AH30" i="8"/>
  <c r="AI36" i="8"/>
  <c r="AH36" i="8"/>
  <c r="AI32" i="8"/>
  <c r="AH32" i="8"/>
  <c r="AH21" i="8"/>
  <c r="AI21" i="8"/>
  <c r="AH38" i="8"/>
  <c r="AI38" i="8"/>
  <c r="AH18" i="8"/>
  <c r="AI18" i="8"/>
  <c r="AH24" i="8"/>
  <c r="AI24" i="8"/>
  <c r="AH43" i="8"/>
  <c r="AI43" i="8"/>
  <c r="AH23" i="8"/>
  <c r="AI23" i="8"/>
  <c r="AI20" i="8"/>
  <c r="AH20" i="8"/>
  <c r="AL13" i="8" l="1"/>
  <c r="AN13" i="8" s="1"/>
  <c r="AP13" i="8" s="1"/>
  <c r="AT13" i="8" s="1"/>
  <c r="AU13" i="8" s="1"/>
  <c r="AL17" i="8"/>
  <c r="AN17" i="8" s="1"/>
  <c r="AP17" i="8" s="1"/>
  <c r="AU17" i="8" s="1"/>
  <c r="AL21" i="8"/>
  <c r="AN21" i="8" s="1"/>
  <c r="AP21" i="8" s="1"/>
  <c r="AT21" i="8" s="1"/>
  <c r="AU21" i="8" s="1"/>
  <c r="AX21" i="8" s="1"/>
  <c r="AL31" i="8"/>
  <c r="AN31" i="8" s="1"/>
  <c r="AP31" i="8" s="1"/>
  <c r="AT31" i="8" s="1"/>
  <c r="AU31" i="8" s="1"/>
  <c r="AL35" i="8"/>
  <c r="AN35" i="8" s="1"/>
  <c r="AP35" i="8" s="1"/>
  <c r="AT35" i="8" s="1"/>
  <c r="AU35" i="8" s="1"/>
  <c r="AX35" i="8" s="1"/>
  <c r="AL41" i="8"/>
  <c r="AN41" i="8" s="1"/>
  <c r="AP41" i="8" s="1"/>
  <c r="AT41" i="8" s="1"/>
  <c r="AU41" i="8" s="1"/>
  <c r="AX41" i="8" s="1"/>
  <c r="AL45" i="8"/>
  <c r="AN45" i="8" s="1"/>
  <c r="AP45" i="8" s="1"/>
  <c r="AT45" i="8" s="1"/>
  <c r="AU45" i="8" s="1"/>
  <c r="AL12" i="8"/>
  <c r="AN12" i="8" s="1"/>
  <c r="AP12" i="8" s="1"/>
  <c r="AT12" i="8" s="1"/>
  <c r="AU12" i="8" s="1"/>
  <c r="AL14" i="8"/>
  <c r="AN14" i="8" s="1"/>
  <c r="AP14" i="8" s="1"/>
  <c r="AT14" i="8" s="1"/>
  <c r="AU14" i="8" s="1"/>
  <c r="AL16" i="8"/>
  <c r="AN16" i="8" s="1"/>
  <c r="AP16" i="8" s="1"/>
  <c r="AT16" i="8" s="1"/>
  <c r="AU16" i="8" s="1"/>
  <c r="AL18" i="8"/>
  <c r="AN18" i="8" s="1"/>
  <c r="AP18" i="8" s="1"/>
  <c r="AT18" i="8" s="1"/>
  <c r="AU18" i="8" s="1"/>
  <c r="AX18" i="8" s="1"/>
  <c r="AL20" i="8"/>
  <c r="AN20" i="8" s="1"/>
  <c r="AP20" i="8" s="1"/>
  <c r="AT20" i="8" s="1"/>
  <c r="AU20" i="8" s="1"/>
  <c r="AX20" i="8" s="1"/>
  <c r="AL22" i="8"/>
  <c r="AN22" i="8" s="1"/>
  <c r="AP22" i="8" s="1"/>
  <c r="AT22" i="8" s="1"/>
  <c r="AU22" i="8" s="1"/>
  <c r="AX22" i="8" s="1"/>
  <c r="AL24" i="8"/>
  <c r="AN24" i="8" s="1"/>
  <c r="AP24" i="8" s="1"/>
  <c r="AT24" i="8" s="1"/>
  <c r="AU24" i="8" s="1"/>
  <c r="AX24" i="8" s="1"/>
  <c r="AL30" i="8"/>
  <c r="AN30" i="8" s="1"/>
  <c r="AP30" i="8" s="1"/>
  <c r="AT30" i="8" s="1"/>
  <c r="AU30" i="8" s="1"/>
  <c r="AL32" i="8"/>
  <c r="AN32" i="8" s="1"/>
  <c r="AP32" i="8" s="1"/>
  <c r="AT32" i="8" s="1"/>
  <c r="AU32" i="8" s="1"/>
  <c r="AL34" i="8"/>
  <c r="AN34" i="8" s="1"/>
  <c r="AP34" i="8" s="1"/>
  <c r="AT34" i="8" s="1"/>
  <c r="AU34" i="8" s="1"/>
  <c r="AX34" i="8" s="1"/>
  <c r="AL36" i="8"/>
  <c r="AN36" i="8" s="1"/>
  <c r="AP36" i="8" s="1"/>
  <c r="AT36" i="8" s="1"/>
  <c r="AU36" i="8" s="1"/>
  <c r="AX36" i="8" s="1"/>
  <c r="AL38" i="8"/>
  <c r="AN38" i="8" s="1"/>
  <c r="AP38" i="8" s="1"/>
  <c r="AT38" i="8" s="1"/>
  <c r="AU38" i="8" s="1"/>
  <c r="AX38" i="8" s="1"/>
  <c r="AL40" i="8"/>
  <c r="AN40" i="8" s="1"/>
  <c r="AP40" i="8" s="1"/>
  <c r="AT40" i="8" s="1"/>
  <c r="AU40" i="8" s="1"/>
  <c r="AX40" i="8" s="1"/>
  <c r="AL42" i="8"/>
  <c r="AN42" i="8" s="1"/>
  <c r="AP42" i="8" s="1"/>
  <c r="AT42" i="8" s="1"/>
  <c r="AU42" i="8" s="1"/>
  <c r="AX42" i="8" s="1"/>
  <c r="AL44" i="8"/>
  <c r="AN44" i="8" s="1"/>
  <c r="AP44" i="8" s="1"/>
  <c r="AT44" i="8" s="1"/>
  <c r="AU44" i="8" s="1"/>
  <c r="AX44" i="8" s="1"/>
  <c r="AL15" i="8"/>
  <c r="AN15" i="8" s="1"/>
  <c r="AP15" i="8" s="1"/>
  <c r="AT15" i="8" s="1"/>
  <c r="AL25" i="8"/>
  <c r="AN25" i="8" s="1"/>
  <c r="AP25" i="8" s="1"/>
  <c r="AT25" i="8" s="1"/>
  <c r="AU25" i="8" s="1"/>
  <c r="AX25" i="8" s="1"/>
  <c r="AL39" i="8"/>
  <c r="AN39" i="8" s="1"/>
  <c r="AP39" i="8" s="1"/>
  <c r="AT39" i="8" s="1"/>
  <c r="AU39" i="8" s="1"/>
  <c r="AX39" i="8" s="1"/>
  <c r="AN10" i="8"/>
  <c r="AP10" i="8" s="1"/>
  <c r="AT10" i="8" s="1"/>
  <c r="AU10" i="8" s="1"/>
  <c r="AL11" i="8"/>
  <c r="AN11" i="8" s="1"/>
  <c r="AP11" i="8" s="1"/>
  <c r="AT11" i="8" s="1"/>
  <c r="AU11" i="8" s="1"/>
  <c r="AL19" i="8"/>
  <c r="AN19" i="8" s="1"/>
  <c r="AP19" i="8" s="1"/>
  <c r="AT19" i="8" s="1"/>
  <c r="AU19" i="8" s="1"/>
  <c r="AX19" i="8" s="1"/>
  <c r="AL23" i="8"/>
  <c r="AN23" i="8" s="1"/>
  <c r="AP23" i="8" s="1"/>
  <c r="AT23" i="8" s="1"/>
  <c r="AU23" i="8" s="1"/>
  <c r="AX23" i="8" s="1"/>
  <c r="AL33" i="8"/>
  <c r="AN33" i="8" s="1"/>
  <c r="AP33" i="8" s="1"/>
  <c r="AT33" i="8" s="1"/>
  <c r="AU33" i="8" s="1"/>
  <c r="AX33" i="8" s="1"/>
  <c r="AL37" i="8"/>
  <c r="AN37" i="8" s="1"/>
  <c r="AP37" i="8" s="1"/>
  <c r="AT37" i="8" s="1"/>
  <c r="AU37" i="8" s="1"/>
  <c r="AX37" i="8" s="1"/>
  <c r="AL43" i="8"/>
  <c r="AN43" i="8" s="1"/>
  <c r="AP43" i="8" s="1"/>
  <c r="AT43" i="8" s="1"/>
  <c r="AU43" i="8" s="1"/>
  <c r="AX43" i="8" s="1"/>
  <c r="AM11" i="8"/>
  <c r="AO11" i="8" s="1"/>
  <c r="AQ11" i="8" s="1"/>
  <c r="AV11" i="8" s="1"/>
  <c r="AW11" i="8" s="1"/>
  <c r="AM13" i="8"/>
  <c r="AO13" i="8" s="1"/>
  <c r="AQ13" i="8" s="1"/>
  <c r="AV13" i="8" s="1"/>
  <c r="AW13" i="8" s="1"/>
  <c r="AM15" i="8"/>
  <c r="AO15" i="8" s="1"/>
  <c r="AQ15" i="8" s="1"/>
  <c r="AV15" i="8" s="1"/>
  <c r="AW15" i="8" s="1"/>
  <c r="AM17" i="8"/>
  <c r="AO17" i="8" s="1"/>
  <c r="AQ17" i="8" s="1"/>
  <c r="AV17" i="8" s="1"/>
  <c r="AW17" i="8" s="1"/>
  <c r="AM19" i="8"/>
  <c r="AO19" i="8" s="1"/>
  <c r="AQ19" i="8" s="1"/>
  <c r="AV19" i="8" s="1"/>
  <c r="AW19" i="8" s="1"/>
  <c r="AY19" i="8" s="1"/>
  <c r="AM21" i="8"/>
  <c r="AO21" i="8" s="1"/>
  <c r="AQ21" i="8" s="1"/>
  <c r="AV21" i="8" s="1"/>
  <c r="AW21" i="8" s="1"/>
  <c r="AY21" i="8" s="1"/>
  <c r="AM23" i="8"/>
  <c r="AO23" i="8" s="1"/>
  <c r="AQ23" i="8" s="1"/>
  <c r="AV23" i="8" s="1"/>
  <c r="AW23" i="8" s="1"/>
  <c r="AY23" i="8" s="1"/>
  <c r="AM25" i="8"/>
  <c r="AO25" i="8" s="1"/>
  <c r="AQ25" i="8" s="1"/>
  <c r="AV25" i="8" s="1"/>
  <c r="AW25" i="8" s="1"/>
  <c r="AY25" i="8" s="1"/>
  <c r="AM31" i="8"/>
  <c r="AO31" i="8" s="1"/>
  <c r="AQ31" i="8" s="1"/>
  <c r="AV31" i="8" s="1"/>
  <c r="AW31" i="8" s="1"/>
  <c r="AM33" i="8"/>
  <c r="AO33" i="8" s="1"/>
  <c r="AQ33" i="8" s="1"/>
  <c r="AV33" i="8" s="1"/>
  <c r="AW33" i="8" s="1"/>
  <c r="AY33" i="8" s="1"/>
  <c r="AM35" i="8"/>
  <c r="AO35" i="8" s="1"/>
  <c r="AQ35" i="8" s="1"/>
  <c r="AV35" i="8" s="1"/>
  <c r="AW35" i="8" s="1"/>
  <c r="AY35" i="8" s="1"/>
  <c r="AM37" i="8"/>
  <c r="AO37" i="8" s="1"/>
  <c r="AQ37" i="8" s="1"/>
  <c r="AV37" i="8" s="1"/>
  <c r="AW37" i="8" s="1"/>
  <c r="AY37" i="8" s="1"/>
  <c r="AM39" i="8"/>
  <c r="AO39" i="8" s="1"/>
  <c r="AQ39" i="8" s="1"/>
  <c r="AV39" i="8" s="1"/>
  <c r="AW39" i="8" s="1"/>
  <c r="AY39" i="8" s="1"/>
  <c r="AM41" i="8"/>
  <c r="AO41" i="8" s="1"/>
  <c r="AQ41" i="8" s="1"/>
  <c r="AV41" i="8" s="1"/>
  <c r="AW41" i="8" s="1"/>
  <c r="AY41" i="8" s="1"/>
  <c r="AM43" i="8"/>
  <c r="AO43" i="8" s="1"/>
  <c r="AQ43" i="8" s="1"/>
  <c r="AV43" i="8" s="1"/>
  <c r="AW43" i="8" s="1"/>
  <c r="AY43" i="8" s="1"/>
  <c r="AM45" i="8"/>
  <c r="AO45" i="8" s="1"/>
  <c r="AQ45" i="8" s="1"/>
  <c r="AV45" i="8" s="1"/>
  <c r="AW45" i="8" s="1"/>
  <c r="AM10" i="8"/>
  <c r="AO10" i="8" s="1"/>
  <c r="AQ10" i="8" s="1"/>
  <c r="AV10" i="8" s="1"/>
  <c r="AW10" i="8" s="1"/>
  <c r="AM12" i="8"/>
  <c r="AO12" i="8" s="1"/>
  <c r="AQ12" i="8" s="1"/>
  <c r="AV12" i="8" s="1"/>
  <c r="AW12" i="8" s="1"/>
  <c r="AM14" i="8"/>
  <c r="AO14" i="8" s="1"/>
  <c r="AQ14" i="8" s="1"/>
  <c r="AV14" i="8" s="1"/>
  <c r="AW14" i="8" s="1"/>
  <c r="AM16" i="8"/>
  <c r="AO16" i="8" s="1"/>
  <c r="AQ16" i="8" s="1"/>
  <c r="AV16" i="8" s="1"/>
  <c r="AW16" i="8" s="1"/>
  <c r="AM18" i="8"/>
  <c r="AO18" i="8" s="1"/>
  <c r="AQ18" i="8" s="1"/>
  <c r="AV18" i="8" s="1"/>
  <c r="AW18" i="8" s="1"/>
  <c r="AY18" i="8" s="1"/>
  <c r="AM20" i="8"/>
  <c r="AO20" i="8" s="1"/>
  <c r="AQ20" i="8" s="1"/>
  <c r="AV20" i="8" s="1"/>
  <c r="AW20" i="8" s="1"/>
  <c r="AY20" i="8" s="1"/>
  <c r="AM22" i="8"/>
  <c r="AO22" i="8" s="1"/>
  <c r="AQ22" i="8" s="1"/>
  <c r="AV22" i="8" s="1"/>
  <c r="AW22" i="8" s="1"/>
  <c r="AY22" i="8" s="1"/>
  <c r="AM24" i="8"/>
  <c r="AO24" i="8" s="1"/>
  <c r="AQ24" i="8" s="1"/>
  <c r="AV24" i="8" s="1"/>
  <c r="AW24" i="8" s="1"/>
  <c r="AY24" i="8" s="1"/>
  <c r="AM30" i="8"/>
  <c r="AO30" i="8" s="1"/>
  <c r="AQ30" i="8" s="1"/>
  <c r="AV30" i="8" s="1"/>
  <c r="AW30" i="8" s="1"/>
  <c r="AM32" i="8"/>
  <c r="AO32" i="8" s="1"/>
  <c r="AQ32" i="8" s="1"/>
  <c r="AV32" i="8" s="1"/>
  <c r="AW32" i="8" s="1"/>
  <c r="AM34" i="8"/>
  <c r="AO34" i="8" s="1"/>
  <c r="AQ34" i="8" s="1"/>
  <c r="AV34" i="8" s="1"/>
  <c r="AW34" i="8" s="1"/>
  <c r="AY34" i="8" s="1"/>
  <c r="AM36" i="8"/>
  <c r="AO36" i="8" s="1"/>
  <c r="AQ36" i="8" s="1"/>
  <c r="AV36" i="8" s="1"/>
  <c r="AW36" i="8" s="1"/>
  <c r="AY36" i="8" s="1"/>
  <c r="AM38" i="8"/>
  <c r="AO38" i="8" s="1"/>
  <c r="AQ38" i="8" s="1"/>
  <c r="AV38" i="8" s="1"/>
  <c r="AW38" i="8" s="1"/>
  <c r="AY38" i="8" s="1"/>
  <c r="AM40" i="8"/>
  <c r="AO40" i="8" s="1"/>
  <c r="AQ40" i="8" s="1"/>
  <c r="AV40" i="8" s="1"/>
  <c r="AW40" i="8" s="1"/>
  <c r="AY40" i="8" s="1"/>
  <c r="AM42" i="8"/>
  <c r="AO42" i="8" s="1"/>
  <c r="AQ42" i="8" s="1"/>
  <c r="AV42" i="8" s="1"/>
  <c r="AW42" i="8" s="1"/>
  <c r="AY42" i="8" s="1"/>
  <c r="AM44" i="8"/>
  <c r="AO44" i="8" s="1"/>
  <c r="AQ44" i="8" s="1"/>
  <c r="AV44" i="8" s="1"/>
  <c r="AW44" i="8" s="1"/>
  <c r="AY44" i="8" s="1"/>
  <c r="BB35" i="8" l="1"/>
  <c r="BA19" i="8"/>
  <c r="BB38" i="8"/>
  <c r="BB39" i="8"/>
  <c r="BB40" i="8" s="1"/>
  <c r="BB19" i="8"/>
  <c r="BB20" i="8" s="1"/>
  <c r="BA39" i="8"/>
  <c r="BA22" i="8"/>
  <c r="BA23" i="8"/>
  <c r="BB43" i="8"/>
  <c r="BB23" i="8"/>
  <c r="BB24" i="8" s="1"/>
  <c r="BA34" i="8"/>
  <c r="BA35" i="8"/>
  <c r="BA43" i="8"/>
  <c r="BA38" i="8"/>
  <c r="BB42" i="8"/>
  <c r="BB34" i="8"/>
  <c r="BB36" i="8" s="1"/>
  <c r="BB22" i="8"/>
  <c r="BA42" i="8"/>
  <c r="BA40" i="8" l="1"/>
  <c r="BB44" i="8"/>
  <c r="BA20" i="8"/>
  <c r="BA44" i="8"/>
  <c r="BA36" i="8"/>
  <c r="BA24" i="8"/>
  <c r="BS65" i="8" l="1"/>
  <c r="BT65" i="8" s="1"/>
  <c r="BU65" i="8" s="1"/>
  <c r="BP65" i="8"/>
  <c r="BS64" i="8"/>
  <c r="BT64" i="8" s="1"/>
  <c r="BU64" i="8" s="1"/>
  <c r="BP64" i="8"/>
  <c r="BS63" i="8"/>
  <c r="BT63" i="8" s="1"/>
  <c r="BU63" i="8" s="1"/>
  <c r="BP63" i="8"/>
  <c r="BS62" i="8"/>
  <c r="BT62" i="8" s="1"/>
  <c r="BU62" i="8" s="1"/>
  <c r="BP62" i="8"/>
  <c r="BS61" i="8"/>
  <c r="BT61" i="8" s="1"/>
  <c r="BU61" i="8" s="1"/>
  <c r="BP61" i="8"/>
  <c r="BS60" i="8"/>
  <c r="BT60" i="8" s="1"/>
  <c r="BU60" i="8" s="1"/>
  <c r="BP60" i="8"/>
  <c r="BS59" i="8"/>
  <c r="BT59" i="8" s="1"/>
  <c r="BU59" i="8" s="1"/>
  <c r="BP59" i="8"/>
  <c r="BS58" i="8"/>
  <c r="BT58" i="8" s="1"/>
  <c r="BU58" i="8" s="1"/>
  <c r="BP58" i="8"/>
  <c r="BS57" i="8"/>
  <c r="BT57" i="8" s="1"/>
  <c r="BU57" i="8" s="1"/>
  <c r="BP57" i="8"/>
  <c r="BS56" i="8"/>
  <c r="BT56" i="8" s="1"/>
  <c r="BU56" i="8" s="1"/>
  <c r="BP56" i="8"/>
  <c r="BS55" i="8"/>
  <c r="BT55" i="8" s="1"/>
  <c r="BU55" i="8" s="1"/>
  <c r="BP55" i="8"/>
  <c r="BS54" i="8"/>
  <c r="BT54" i="8" s="1"/>
  <c r="BU54" i="8" s="1"/>
  <c r="BP54" i="8"/>
  <c r="BS53" i="8"/>
  <c r="BT53" i="8" s="1"/>
  <c r="BU53" i="8" s="1"/>
  <c r="BP53" i="8"/>
  <c r="BS52" i="8"/>
  <c r="BT52" i="8" s="1"/>
  <c r="BU52" i="8" s="1"/>
  <c r="BP52" i="8"/>
  <c r="BS51" i="8"/>
  <c r="BT51" i="8" s="1"/>
  <c r="BU51" i="8" s="1"/>
  <c r="BP51" i="8"/>
  <c r="BS50" i="8"/>
  <c r="BT50" i="8" s="1"/>
  <c r="BU50" i="8" s="1"/>
  <c r="BP50" i="8"/>
  <c r="BS49" i="8"/>
  <c r="BT49" i="8" s="1"/>
  <c r="BU49" i="8" s="1"/>
  <c r="BP49" i="8"/>
  <c r="BS48" i="8"/>
  <c r="BT48" i="8" s="1"/>
  <c r="BU48" i="8" s="1"/>
  <c r="BP48" i="8"/>
  <c r="BS47" i="8"/>
  <c r="BT47" i="8" s="1"/>
  <c r="BU47" i="8" s="1"/>
  <c r="BP47" i="8"/>
  <c r="BS46" i="8"/>
  <c r="BT46" i="8" s="1"/>
  <c r="BU46" i="8" s="1"/>
  <c r="BP46" i="8"/>
  <c r="BS45" i="8"/>
  <c r="BT45" i="8" s="1"/>
  <c r="BU45" i="8" s="1"/>
  <c r="BP45" i="8"/>
  <c r="BS44" i="8"/>
  <c r="BT44" i="8" s="1"/>
  <c r="BU44" i="8" s="1"/>
  <c r="BP44" i="8"/>
  <c r="BS43" i="8"/>
  <c r="BT43" i="8" s="1"/>
  <c r="BU43" i="8" s="1"/>
  <c r="BP43" i="8"/>
  <c r="BS42" i="8"/>
  <c r="BT42" i="8" s="1"/>
  <c r="BU42" i="8" s="1"/>
  <c r="BP42" i="8"/>
  <c r="BS34" i="8"/>
  <c r="BT34" i="8" s="1"/>
  <c r="BU34" i="8" s="1"/>
  <c r="BP34" i="8"/>
  <c r="BS33" i="8"/>
  <c r="BT33" i="8" s="1"/>
  <c r="BU33" i="8" s="1"/>
  <c r="BP33" i="8"/>
  <c r="BS32" i="8"/>
  <c r="BT32" i="8" s="1"/>
  <c r="BU32" i="8" s="1"/>
  <c r="BP32" i="8"/>
  <c r="BS31" i="8"/>
  <c r="BT31" i="8" s="1"/>
  <c r="BP31" i="8"/>
  <c r="CD51" i="8"/>
  <c r="CB51" i="8"/>
  <c r="BS30" i="8"/>
  <c r="BT30" i="8" s="1"/>
  <c r="BU30" i="8" s="1"/>
  <c r="BP30" i="8"/>
  <c r="CD50" i="8"/>
  <c r="CB50" i="8"/>
  <c r="BS29" i="8"/>
  <c r="BT29" i="8" s="1"/>
  <c r="BU29" i="8" s="1"/>
  <c r="BP29" i="8"/>
  <c r="CD49" i="8"/>
  <c r="CB49" i="8"/>
  <c r="BS28" i="8"/>
  <c r="BT28" i="8" s="1"/>
  <c r="BU28" i="8" s="1"/>
  <c r="BP28" i="8"/>
  <c r="CD48" i="8"/>
  <c r="CB48" i="8"/>
  <c r="BS27" i="8"/>
  <c r="BT27" i="8" s="1"/>
  <c r="BP27" i="8"/>
  <c r="CD47" i="8"/>
  <c r="CB47" i="8"/>
  <c r="BS26" i="8"/>
  <c r="BT26" i="8" s="1"/>
  <c r="BU26" i="8" s="1"/>
  <c r="BP26" i="8"/>
  <c r="CD46" i="8"/>
  <c r="CB46" i="8"/>
  <c r="BS25" i="8"/>
  <c r="BT25" i="8" s="1"/>
  <c r="BU25" i="8" s="1"/>
  <c r="BP25" i="8"/>
  <c r="CD45" i="8"/>
  <c r="CB45" i="8"/>
  <c r="BS24" i="8"/>
  <c r="BT24" i="8" s="1"/>
  <c r="BU24" i="8" s="1"/>
  <c r="BP24" i="8"/>
  <c r="CD44" i="8"/>
  <c r="CB44" i="8"/>
  <c r="BS23" i="8"/>
  <c r="BT23" i="8" s="1"/>
  <c r="BP23" i="8"/>
  <c r="CD43" i="8"/>
  <c r="CB43" i="8"/>
  <c r="CD42" i="8"/>
  <c r="CB42" i="8"/>
  <c r="CD41" i="8"/>
  <c r="CB41" i="8"/>
  <c r="CD40" i="8"/>
  <c r="CB40" i="8"/>
  <c r="CD39" i="8"/>
  <c r="CB39" i="8"/>
  <c r="CD38" i="8"/>
  <c r="CB38" i="8"/>
  <c r="CD37" i="8"/>
  <c r="CB37" i="8"/>
  <c r="CD36" i="8"/>
  <c r="CB36" i="8"/>
  <c r="CD35" i="8"/>
  <c r="CB35" i="8"/>
  <c r="CD34" i="8"/>
  <c r="CB34" i="8"/>
  <c r="CD33" i="8"/>
  <c r="CB33" i="8"/>
  <c r="CD32" i="8"/>
  <c r="CB32" i="8"/>
  <c r="CD31" i="8"/>
  <c r="CB31" i="8"/>
  <c r="CC64" i="8"/>
  <c r="R23" i="8"/>
  <c r="S23" i="8" s="1"/>
  <c r="CD30" i="8"/>
  <c r="CB30" i="8"/>
  <c r="CC63" i="8"/>
  <c r="CD29" i="8"/>
  <c r="CB29" i="8"/>
  <c r="CC62" i="8"/>
  <c r="CD28" i="8"/>
  <c r="CB28" i="8"/>
  <c r="CD27" i="8"/>
  <c r="CB27" i="8"/>
  <c r="CD26" i="8"/>
  <c r="CB26" i="8"/>
  <c r="BS17" i="8"/>
  <c r="BT17" i="8" s="1"/>
  <c r="BU17" i="8" s="1"/>
  <c r="BP17" i="8"/>
  <c r="BS16" i="8"/>
  <c r="BT16" i="8" s="1"/>
  <c r="BU16" i="8" s="1"/>
  <c r="BP16" i="8"/>
  <c r="BS15" i="8"/>
  <c r="BP15" i="8"/>
  <c r="BS14" i="8"/>
  <c r="BT14" i="8" s="1"/>
  <c r="BP14" i="8"/>
  <c r="BS13" i="8"/>
  <c r="BT13" i="8" s="1"/>
  <c r="BU13" i="8" s="1"/>
  <c r="BP13" i="8"/>
  <c r="BS12" i="8"/>
  <c r="BT12" i="8" s="1"/>
  <c r="BU12" i="8" s="1"/>
  <c r="BP12" i="8"/>
  <c r="BS11" i="8"/>
  <c r="BT11" i="8" s="1"/>
  <c r="BU11" i="8" s="1"/>
  <c r="BP11" i="8"/>
  <c r="BT10" i="8"/>
  <c r="BP10" i="8"/>
  <c r="BS9" i="8"/>
  <c r="BT9" i="8" s="1"/>
  <c r="BU9" i="8" s="1"/>
  <c r="BP9" i="8"/>
  <c r="BS8" i="8"/>
  <c r="BT8" i="8" s="1"/>
  <c r="BU8" i="8" s="1"/>
  <c r="BP8" i="8"/>
  <c r="BS7" i="8"/>
  <c r="BT7" i="8" s="1"/>
  <c r="BU7" i="8" s="1"/>
  <c r="BP7" i="8"/>
  <c r="BS6" i="8"/>
  <c r="BT6" i="8" s="1"/>
  <c r="BP6" i="8"/>
  <c r="S8" i="8"/>
  <c r="R8" i="8"/>
  <c r="O6" i="4"/>
  <c r="N9" i="2"/>
  <c r="M9" i="2"/>
  <c r="N35" i="3"/>
  <c r="N36" i="3" s="1"/>
  <c r="N34" i="3"/>
  <c r="BV17" i="8" l="1"/>
  <c r="BW17" i="8" s="1"/>
  <c r="BX17" i="8" s="1"/>
  <c r="BT15" i="8"/>
  <c r="BU15" i="8" s="1"/>
  <c r="BV15" i="8" s="1"/>
  <c r="BW15" i="8" s="1"/>
  <c r="BX15" i="8" s="1"/>
  <c r="BV42" i="8"/>
  <c r="BW42" i="8" s="1"/>
  <c r="BV44" i="8"/>
  <c r="BW44" i="8" s="1"/>
  <c r="BV46" i="8"/>
  <c r="BW46" i="8" s="1"/>
  <c r="BX46" i="8" s="1"/>
  <c r="BV50" i="8"/>
  <c r="BW50" i="8" s="1"/>
  <c r="BX50" i="8" s="1"/>
  <c r="BV54" i="8"/>
  <c r="BW54" i="8" s="1"/>
  <c r="BX54" i="8" s="1"/>
  <c r="BV62" i="8"/>
  <c r="BW62" i="8" s="1"/>
  <c r="BX62" i="8" s="1"/>
  <c r="BV28" i="8"/>
  <c r="BW28" i="8" s="1"/>
  <c r="BX28" i="8" s="1"/>
  <c r="BV13" i="8"/>
  <c r="BW13" i="8" s="1"/>
  <c r="BX13" i="8" s="1"/>
  <c r="BV8" i="8"/>
  <c r="BW8" i="8" s="1"/>
  <c r="BV56" i="8"/>
  <c r="BW56" i="8" s="1"/>
  <c r="BX56" i="8" s="1"/>
  <c r="BV49" i="8"/>
  <c r="BW49" i="8" s="1"/>
  <c r="BX49" i="8" s="1"/>
  <c r="BV63" i="8"/>
  <c r="BW63" i="8" s="1"/>
  <c r="BX63" i="8" s="1"/>
  <c r="BV53" i="8"/>
  <c r="BW53" i="8" s="1"/>
  <c r="BX53" i="8" s="1"/>
  <c r="BV65" i="8"/>
  <c r="BW65" i="8" s="1"/>
  <c r="BX65" i="8" s="1"/>
  <c r="BV57" i="8"/>
  <c r="BW57" i="8" s="1"/>
  <c r="BX57" i="8" s="1"/>
  <c r="BV58" i="8"/>
  <c r="BW58" i="8" s="1"/>
  <c r="BX58" i="8" s="1"/>
  <c r="BV64" i="8"/>
  <c r="BW64" i="8" s="1"/>
  <c r="BX64" i="8" s="1"/>
  <c r="BV34" i="8"/>
  <c r="BW34" i="8" s="1"/>
  <c r="BX34" i="8" s="1"/>
  <c r="BV30" i="8"/>
  <c r="BW30" i="8" s="1"/>
  <c r="BX30" i="8" s="1"/>
  <c r="BV32" i="8"/>
  <c r="BW32" i="8" s="1"/>
  <c r="BX32" i="8" s="1"/>
  <c r="BV33" i="8"/>
  <c r="BW33" i="8" s="1"/>
  <c r="BX33" i="8" s="1"/>
  <c r="BV24" i="8"/>
  <c r="BW24" i="8" s="1"/>
  <c r="BX24" i="8" s="1"/>
  <c r="BV25" i="8"/>
  <c r="BW25" i="8" s="1"/>
  <c r="BX25" i="8" s="1"/>
  <c r="BV29" i="8"/>
  <c r="BW29" i="8" s="1"/>
  <c r="BX29" i="8" s="1"/>
  <c r="BV9" i="8"/>
  <c r="BW9" i="8" s="1"/>
  <c r="BV16" i="8"/>
  <c r="BW16" i="8" s="1"/>
  <c r="BX16" i="8" s="1"/>
  <c r="BV7" i="8"/>
  <c r="BW7" i="8" s="1"/>
  <c r="BV12" i="8"/>
  <c r="BW12" i="8" s="1"/>
  <c r="BX12" i="8" s="1"/>
  <c r="CD60" i="8"/>
  <c r="BU10" i="8"/>
  <c r="BU14" i="8"/>
  <c r="BV14" i="8" s="1"/>
  <c r="BW14" i="8" s="1"/>
  <c r="CD61" i="8"/>
  <c r="BU27" i="8"/>
  <c r="BV27" i="8" s="1"/>
  <c r="BW27" i="8" s="1"/>
  <c r="CD63" i="8"/>
  <c r="CD59" i="8"/>
  <c r="BU6" i="8"/>
  <c r="BV6" i="8" s="1"/>
  <c r="BW6" i="8" s="1"/>
  <c r="BU31" i="8"/>
  <c r="CD64" i="8"/>
  <c r="BV55" i="8"/>
  <c r="BW55" i="8" s="1"/>
  <c r="BX55" i="8" s="1"/>
  <c r="BV43" i="8"/>
  <c r="BW43" i="8" s="1"/>
  <c r="BV45" i="8"/>
  <c r="BW45" i="8" s="1"/>
  <c r="BV47" i="8"/>
  <c r="BW47" i="8" s="1"/>
  <c r="BX47" i="8" s="1"/>
  <c r="BV52" i="8"/>
  <c r="BW52" i="8" s="1"/>
  <c r="BX52" i="8" s="1"/>
  <c r="BV60" i="8"/>
  <c r="BW60" i="8" s="1"/>
  <c r="BX60" i="8" s="1"/>
  <c r="BV61" i="8"/>
  <c r="BW61" i="8" s="1"/>
  <c r="BX61" i="8" s="1"/>
  <c r="BV10" i="8"/>
  <c r="BW10" i="8" s="1"/>
  <c r="BV11" i="8"/>
  <c r="BW11" i="8" s="1"/>
  <c r="BX11" i="8" s="1"/>
  <c r="BV26" i="8"/>
  <c r="BW26" i="8" s="1"/>
  <c r="BX26" i="8" s="1"/>
  <c r="BV51" i="8"/>
  <c r="BW51" i="8" s="1"/>
  <c r="BX51" i="8" s="1"/>
  <c r="BU23" i="8"/>
  <c r="BV23" i="8" s="1"/>
  <c r="BW23" i="8" s="1"/>
  <c r="CD62" i="8"/>
  <c r="BV31" i="8"/>
  <c r="BW31" i="8" s="1"/>
  <c r="BV48" i="8"/>
  <c r="BW48" i="8" s="1"/>
  <c r="BX48" i="8" s="1"/>
  <c r="BV59" i="8"/>
  <c r="BW59" i="8" s="1"/>
  <c r="BX59" i="8" s="1"/>
  <c r="AA91" i="7"/>
  <c r="M90" i="7"/>
  <c r="N90" i="7"/>
  <c r="R90" i="7"/>
  <c r="S90" i="7"/>
  <c r="AA90" i="7"/>
  <c r="AB90" i="7"/>
  <c r="M91" i="7"/>
  <c r="N91" i="7"/>
  <c r="R91" i="7"/>
  <c r="S91" i="7"/>
  <c r="AB91" i="7"/>
  <c r="M92" i="7"/>
  <c r="N92" i="7"/>
  <c r="R92" i="7"/>
  <c r="S92" i="7"/>
  <c r="AA92" i="7"/>
  <c r="AB92" i="7"/>
  <c r="M93" i="7"/>
  <c r="N93" i="7"/>
  <c r="R93" i="7"/>
  <c r="S93" i="7"/>
  <c r="AA93" i="7"/>
  <c r="AB93" i="7"/>
  <c r="M94" i="7"/>
  <c r="N94" i="7"/>
  <c r="R94" i="7"/>
  <c r="S94" i="7"/>
  <c r="AA94" i="7"/>
  <c r="AB94" i="7"/>
  <c r="M95" i="7"/>
  <c r="N95" i="7"/>
  <c r="R95" i="7"/>
  <c r="S95" i="7"/>
  <c r="AA95" i="7"/>
  <c r="AB95" i="7"/>
  <c r="L95" i="7"/>
  <c r="L94" i="7"/>
  <c r="L93" i="7"/>
  <c r="L92" i="7"/>
  <c r="L91" i="7"/>
  <c r="L90" i="7"/>
  <c r="Y75" i="7"/>
  <c r="Z75" i="7" s="1"/>
  <c r="AC75" i="7" s="1"/>
  <c r="AD75" i="7" s="1"/>
  <c r="AE75" i="7" s="1"/>
  <c r="AF75" i="7" s="1"/>
  <c r="Y76" i="7"/>
  <c r="Z76" i="7" s="1"/>
  <c r="Y77" i="7"/>
  <c r="Z77" i="7" s="1"/>
  <c r="AC77" i="7" s="1"/>
  <c r="Y78" i="7"/>
  <c r="Y79" i="7"/>
  <c r="Z79" i="7" s="1"/>
  <c r="AC79" i="7" s="1"/>
  <c r="AD79" i="7" s="1"/>
  <c r="AE79" i="7" s="1"/>
  <c r="AF79" i="7" s="1"/>
  <c r="Y80" i="7"/>
  <c r="Z80" i="7" s="1"/>
  <c r="Y81" i="7"/>
  <c r="Z81" i="7" s="1"/>
  <c r="AC81" i="7" s="1"/>
  <c r="Y82" i="7"/>
  <c r="Y83" i="7"/>
  <c r="Z83" i="7" s="1"/>
  <c r="AC83" i="7" s="1"/>
  <c r="AD83" i="7" s="1"/>
  <c r="AE83" i="7" s="1"/>
  <c r="AF83" i="7" s="1"/>
  <c r="Y84" i="7"/>
  <c r="Z84" i="7" s="1"/>
  <c r="AC84" i="7" s="1"/>
  <c r="AD84" i="7" s="1"/>
  <c r="AE84" i="7" s="1"/>
  <c r="AF84" i="7" s="1"/>
  <c r="Y85" i="7"/>
  <c r="Z85" i="7" s="1"/>
  <c r="AC85" i="7" s="1"/>
  <c r="AB85" i="7"/>
  <c r="AB84" i="7"/>
  <c r="AB83" i="7"/>
  <c r="AB82" i="7"/>
  <c r="AB81" i="7"/>
  <c r="AB80" i="7"/>
  <c r="AB79" i="7"/>
  <c r="AB78" i="7"/>
  <c r="AB77" i="7"/>
  <c r="AB76" i="7"/>
  <c r="AB75" i="7"/>
  <c r="AB74" i="7"/>
  <c r="Y74" i="7"/>
  <c r="P75" i="7"/>
  <c r="Q75" i="7" s="1"/>
  <c r="T75" i="7" s="1"/>
  <c r="U75" i="7" s="1"/>
  <c r="V75" i="7" s="1"/>
  <c r="W75" i="7" s="1"/>
  <c r="P76" i="7"/>
  <c r="P77" i="7"/>
  <c r="Q77" i="7" s="1"/>
  <c r="T77" i="7" s="1"/>
  <c r="U77" i="7" s="1"/>
  <c r="V77" i="7" s="1"/>
  <c r="W77" i="7" s="1"/>
  <c r="P78" i="7"/>
  <c r="Q78" i="7" s="1"/>
  <c r="T78" i="7" s="1"/>
  <c r="U78" i="7" s="1"/>
  <c r="V78" i="7" s="1"/>
  <c r="W78" i="7" s="1"/>
  <c r="P79" i="7"/>
  <c r="Q79" i="7" s="1"/>
  <c r="T79" i="7" s="1"/>
  <c r="U79" i="7" s="1"/>
  <c r="V79" i="7" s="1"/>
  <c r="W79" i="7" s="1"/>
  <c r="P80" i="7"/>
  <c r="Q80" i="7" s="1"/>
  <c r="T80" i="7" s="1"/>
  <c r="U80" i="7" s="1"/>
  <c r="V80" i="7" s="1"/>
  <c r="W80" i="7" s="1"/>
  <c r="P81" i="7"/>
  <c r="Q81" i="7" s="1"/>
  <c r="T81" i="7" s="1"/>
  <c r="U81" i="7" s="1"/>
  <c r="V81" i="7" s="1"/>
  <c r="W81" i="7" s="1"/>
  <c r="P82" i="7"/>
  <c r="Q82" i="7" s="1"/>
  <c r="T82" i="7" s="1"/>
  <c r="U82" i="7" s="1"/>
  <c r="V82" i="7" s="1"/>
  <c r="W82" i="7" s="1"/>
  <c r="P83" i="7"/>
  <c r="Q83" i="7" s="1"/>
  <c r="T83" i="7" s="1"/>
  <c r="U83" i="7" s="1"/>
  <c r="V83" i="7" s="1"/>
  <c r="W83" i="7" s="1"/>
  <c r="P84" i="7"/>
  <c r="P85" i="7"/>
  <c r="P74" i="7"/>
  <c r="Q74" i="7" s="1"/>
  <c r="T74" i="7" s="1"/>
  <c r="U74" i="7" s="1"/>
  <c r="V74" i="7" s="1"/>
  <c r="W74" i="7" s="1"/>
  <c r="N78" i="7"/>
  <c r="U38" i="7"/>
  <c r="S75" i="7"/>
  <c r="S76" i="7"/>
  <c r="S77" i="7"/>
  <c r="S78" i="7"/>
  <c r="S79" i="7"/>
  <c r="S80" i="7"/>
  <c r="S81" i="7"/>
  <c r="S82" i="7"/>
  <c r="S83" i="7"/>
  <c r="S84" i="7"/>
  <c r="S85" i="7"/>
  <c r="S74" i="7"/>
  <c r="N74" i="7"/>
  <c r="Q84" i="7"/>
  <c r="T84" i="7" s="1"/>
  <c r="U84" i="7" s="1"/>
  <c r="V84" i="7" s="1"/>
  <c r="W84" i="7" s="1"/>
  <c r="Z31" i="7"/>
  <c r="Z32" i="7"/>
  <c r="Z33" i="7"/>
  <c r="Z34" i="7"/>
  <c r="AC34" i="7" s="1"/>
  <c r="AD34" i="7" s="1"/>
  <c r="AE34" i="7" s="1"/>
  <c r="Z36" i="7"/>
  <c r="Z37" i="7"/>
  <c r="Z38" i="7"/>
  <c r="Z39" i="7"/>
  <c r="Z40" i="7"/>
  <c r="Z41" i="7"/>
  <c r="Z42" i="7"/>
  <c r="Z35" i="7"/>
  <c r="Q36" i="7"/>
  <c r="Q37" i="7"/>
  <c r="Q38" i="7"/>
  <c r="Q39" i="7"/>
  <c r="Q40" i="7"/>
  <c r="Q41" i="7"/>
  <c r="Q42" i="7"/>
  <c r="Q35" i="7"/>
  <c r="Q31" i="7"/>
  <c r="Q32" i="7"/>
  <c r="Q33" i="7"/>
  <c r="Q34" i="7"/>
  <c r="T34" i="7" s="1"/>
  <c r="U34" i="7" s="1"/>
  <c r="V34" i="7" s="1"/>
  <c r="N76" i="7"/>
  <c r="N85" i="7"/>
  <c r="N84" i="7"/>
  <c r="N83" i="7"/>
  <c r="N82" i="7"/>
  <c r="N81" i="7"/>
  <c r="N80" i="7"/>
  <c r="N79" i="7"/>
  <c r="N77" i="7"/>
  <c r="N75" i="7"/>
  <c r="M65" i="7"/>
  <c r="N65" i="7"/>
  <c r="O65" i="7"/>
  <c r="P65" i="7"/>
  <c r="Q65" i="7"/>
  <c r="R65" i="7"/>
  <c r="M66" i="7"/>
  <c r="N66" i="7"/>
  <c r="O66" i="7"/>
  <c r="P66" i="7"/>
  <c r="Q66" i="7"/>
  <c r="R66" i="7"/>
  <c r="M67" i="7"/>
  <c r="N67" i="7"/>
  <c r="O67" i="7"/>
  <c r="P67" i="7"/>
  <c r="Q67" i="7"/>
  <c r="R67" i="7"/>
  <c r="L67" i="7"/>
  <c r="L66" i="7"/>
  <c r="L65" i="7"/>
  <c r="L64" i="7"/>
  <c r="M64" i="7"/>
  <c r="N64" i="7"/>
  <c r="O64" i="7"/>
  <c r="P64" i="7"/>
  <c r="Q64" i="7"/>
  <c r="R64" i="7"/>
  <c r="Q53" i="7"/>
  <c r="R53" i="7"/>
  <c r="Q54" i="7"/>
  <c r="R54" i="7"/>
  <c r="Q55" i="7"/>
  <c r="R55" i="7"/>
  <c r="Q56" i="7"/>
  <c r="R56" i="7"/>
  <c r="Q57" i="7"/>
  <c r="R57" i="7"/>
  <c r="Q58" i="7"/>
  <c r="R58" i="7"/>
  <c r="Q59" i="7"/>
  <c r="R59" i="7"/>
  <c r="Q60" i="7"/>
  <c r="R60" i="7"/>
  <c r="Q61" i="7"/>
  <c r="R61" i="7"/>
  <c r="R52" i="7"/>
  <c r="Q52" i="7"/>
  <c r="AC32" i="7"/>
  <c r="AC33" i="7"/>
  <c r="AD33" i="7" s="1"/>
  <c r="AE33" i="7" s="1"/>
  <c r="AD32" i="7"/>
  <c r="AE32" i="7" s="1"/>
  <c r="AC31" i="7"/>
  <c r="AD31" i="7" s="1"/>
  <c r="AE31" i="7" s="1"/>
  <c r="T31" i="7"/>
  <c r="U31" i="7" s="1"/>
  <c r="V31" i="7" s="1"/>
  <c r="AB42" i="7"/>
  <c r="AB41" i="7"/>
  <c r="AB40" i="7"/>
  <c r="AB39" i="7"/>
  <c r="AB38" i="7"/>
  <c r="AB37" i="7"/>
  <c r="AB36" i="7"/>
  <c r="AB35" i="7"/>
  <c r="AA34" i="7"/>
  <c r="AB34" i="7" s="1"/>
  <c r="AA33" i="7"/>
  <c r="AB33" i="7" s="1"/>
  <c r="AB32" i="7"/>
  <c r="AA32" i="7"/>
  <c r="AA31" i="7"/>
  <c r="AB31" i="7" s="1"/>
  <c r="Y32" i="7"/>
  <c r="Y33" i="7"/>
  <c r="Y34" i="7"/>
  <c r="Y35" i="7"/>
  <c r="Y36" i="7"/>
  <c r="Y37" i="7"/>
  <c r="Y38" i="7"/>
  <c r="AC38" i="7" s="1"/>
  <c r="AD38" i="7" s="1"/>
  <c r="AE38" i="7" s="1"/>
  <c r="AF38" i="7" s="1"/>
  <c r="Y39" i="7"/>
  <c r="Y40" i="7"/>
  <c r="AC40" i="7" s="1"/>
  <c r="AD40" i="7" s="1"/>
  <c r="AE40" i="7" s="1"/>
  <c r="AF40" i="7" s="1"/>
  <c r="Y41" i="7"/>
  <c r="AC41" i="7" s="1"/>
  <c r="AD41" i="7" s="1"/>
  <c r="AE41" i="7" s="1"/>
  <c r="AF41" i="7" s="1"/>
  <c r="Y42" i="7"/>
  <c r="AC42" i="7" s="1"/>
  <c r="AD42" i="7" s="1"/>
  <c r="AE42" i="7" s="1"/>
  <c r="AF42" i="7" s="1"/>
  <c r="Y31" i="7"/>
  <c r="T32" i="7"/>
  <c r="U32" i="7" s="1"/>
  <c r="V32" i="7" s="1"/>
  <c r="T33" i="7"/>
  <c r="U33" i="7" s="1"/>
  <c r="V33" i="7" s="1"/>
  <c r="S32" i="7"/>
  <c r="S33" i="7"/>
  <c r="S34" i="7"/>
  <c r="S35" i="7"/>
  <c r="S36" i="7"/>
  <c r="S37" i="7"/>
  <c r="S38" i="7"/>
  <c r="S39" i="7"/>
  <c r="S40" i="7"/>
  <c r="S41" i="7"/>
  <c r="S42" i="7"/>
  <c r="S31" i="7"/>
  <c r="R34" i="7"/>
  <c r="R33" i="7"/>
  <c r="R32" i="7"/>
  <c r="R31" i="7"/>
  <c r="N32" i="7"/>
  <c r="P32" i="7" s="1"/>
  <c r="N33" i="7"/>
  <c r="P33" i="7" s="1"/>
  <c r="N34" i="7"/>
  <c r="P34" i="7" s="1"/>
  <c r="N35" i="7"/>
  <c r="P35" i="7" s="1"/>
  <c r="N36" i="7"/>
  <c r="P36" i="7" s="1"/>
  <c r="N37" i="7"/>
  <c r="P37" i="7" s="1"/>
  <c r="N38" i="7"/>
  <c r="P38" i="7" s="1"/>
  <c r="N39" i="7"/>
  <c r="P39" i="7" s="1"/>
  <c r="N40" i="7"/>
  <c r="P40" i="7" s="1"/>
  <c r="N41" i="7"/>
  <c r="P41" i="7" s="1"/>
  <c r="N42" i="7"/>
  <c r="P42" i="7" s="1"/>
  <c r="N31" i="7"/>
  <c r="P31" i="7" s="1"/>
  <c r="Q19" i="7"/>
  <c r="M18" i="7"/>
  <c r="O18" i="7"/>
  <c r="P18" i="7"/>
  <c r="M19" i="7"/>
  <c r="O19" i="7"/>
  <c r="P19" i="7"/>
  <c r="M20" i="7"/>
  <c r="O20" i="7"/>
  <c r="P20" i="7"/>
  <c r="M21" i="7"/>
  <c r="O21" i="7"/>
  <c r="P21" i="7"/>
  <c r="L21" i="7"/>
  <c r="Q21" i="7" s="1"/>
  <c r="L20" i="7"/>
  <c r="Q20" i="7" s="1"/>
  <c r="L19" i="7"/>
  <c r="L18" i="7"/>
  <c r="Q18" i="7" s="1"/>
  <c r="R12" i="7"/>
  <c r="R13" i="7"/>
  <c r="Q9" i="7"/>
  <c r="Q10" i="7"/>
  <c r="Q11" i="7"/>
  <c r="Q12" i="7"/>
  <c r="Q13" i="7"/>
  <c r="Q14" i="7"/>
  <c r="Q15" i="7"/>
  <c r="Q8" i="7"/>
  <c r="N15" i="7"/>
  <c r="R15" i="7" s="1"/>
  <c r="N14" i="7"/>
  <c r="N21" i="7" s="1"/>
  <c r="R21" i="7" s="1"/>
  <c r="N13" i="7"/>
  <c r="N12" i="7"/>
  <c r="N20" i="7" s="1"/>
  <c r="R20" i="7" s="1"/>
  <c r="N11" i="7"/>
  <c r="R11" i="7" s="1"/>
  <c r="N10" i="7"/>
  <c r="N19" i="7" s="1"/>
  <c r="R19" i="7" s="1"/>
  <c r="N9" i="7"/>
  <c r="R9" i="7" s="1"/>
  <c r="N8" i="7"/>
  <c r="N18" i="7" s="1"/>
  <c r="R18" i="7" s="1"/>
  <c r="V132" i="6"/>
  <c r="W132" i="6"/>
  <c r="X132" i="6"/>
  <c r="V133" i="6"/>
  <c r="W133" i="6"/>
  <c r="X133" i="6"/>
  <c r="V134" i="6"/>
  <c r="W134" i="6"/>
  <c r="X134" i="6"/>
  <c r="V135" i="6"/>
  <c r="W135" i="6"/>
  <c r="X135" i="6"/>
  <c r="V136" i="6"/>
  <c r="W136" i="6"/>
  <c r="X136" i="6"/>
  <c r="V137" i="6"/>
  <c r="W137" i="6"/>
  <c r="X137" i="6"/>
  <c r="V138" i="6"/>
  <c r="W138" i="6"/>
  <c r="X138" i="6"/>
  <c r="V139" i="6"/>
  <c r="W139" i="6"/>
  <c r="X139" i="6"/>
  <c r="V140" i="6"/>
  <c r="W140" i="6"/>
  <c r="X140" i="6"/>
  <c r="V141" i="6"/>
  <c r="W141" i="6"/>
  <c r="X141" i="6"/>
  <c r="V142" i="6"/>
  <c r="W142" i="6"/>
  <c r="X142" i="6"/>
  <c r="V143" i="6"/>
  <c r="W143" i="6"/>
  <c r="X143" i="6"/>
  <c r="V144" i="6"/>
  <c r="W144" i="6"/>
  <c r="X144" i="6"/>
  <c r="V145" i="6"/>
  <c r="W145" i="6"/>
  <c r="X145" i="6"/>
  <c r="V146" i="6"/>
  <c r="W146" i="6"/>
  <c r="X146" i="6"/>
  <c r="V147" i="6"/>
  <c r="W147" i="6"/>
  <c r="X147" i="6"/>
  <c r="V148" i="6"/>
  <c r="W148" i="6"/>
  <c r="X148" i="6"/>
  <c r="V149" i="6"/>
  <c r="W149" i="6"/>
  <c r="X149" i="6"/>
  <c r="V150" i="6"/>
  <c r="W150" i="6"/>
  <c r="X150" i="6"/>
  <c r="V151" i="6"/>
  <c r="W151" i="6"/>
  <c r="X151" i="6"/>
  <c r="V152" i="6"/>
  <c r="W152" i="6"/>
  <c r="X152" i="6"/>
  <c r="V153" i="6"/>
  <c r="W153" i="6"/>
  <c r="X153" i="6"/>
  <c r="V154" i="6"/>
  <c r="W154" i="6"/>
  <c r="X154" i="6"/>
  <c r="X131" i="6"/>
  <c r="W131" i="6"/>
  <c r="V131" i="6"/>
  <c r="X129" i="6"/>
  <c r="W129" i="6"/>
  <c r="V129" i="6"/>
  <c r="P33" i="3"/>
  <c r="P34" i="3"/>
  <c r="P67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43" i="3"/>
  <c r="Q172" i="6"/>
  <c r="Q171" i="6"/>
  <c r="M159" i="6"/>
  <c r="N159" i="6"/>
  <c r="O159" i="6"/>
  <c r="P159" i="6"/>
  <c r="M160" i="6"/>
  <c r="N160" i="6"/>
  <c r="O160" i="6"/>
  <c r="P160" i="6"/>
  <c r="M161" i="6"/>
  <c r="N161" i="6"/>
  <c r="O161" i="6"/>
  <c r="P161" i="6"/>
  <c r="Q161" i="6"/>
  <c r="M162" i="6"/>
  <c r="N162" i="6"/>
  <c r="O162" i="6"/>
  <c r="P162" i="6"/>
  <c r="Q162" i="6"/>
  <c r="M163" i="6"/>
  <c r="N163" i="6"/>
  <c r="O163" i="6"/>
  <c r="P163" i="6"/>
  <c r="Q163" i="6"/>
  <c r="M164" i="6"/>
  <c r="N164" i="6"/>
  <c r="O164" i="6"/>
  <c r="P164" i="6"/>
  <c r="Q164" i="6"/>
  <c r="M165" i="6"/>
  <c r="N165" i="6"/>
  <c r="O165" i="6"/>
  <c r="P165" i="6"/>
  <c r="Q165" i="6"/>
  <c r="M166" i="6"/>
  <c r="N166" i="6"/>
  <c r="O166" i="6"/>
  <c r="P166" i="6"/>
  <c r="Q166" i="6"/>
  <c r="M167" i="6"/>
  <c r="N167" i="6"/>
  <c r="O167" i="6"/>
  <c r="P167" i="6"/>
  <c r="Q167" i="6"/>
  <c r="M168" i="6"/>
  <c r="N168" i="6"/>
  <c r="O168" i="6"/>
  <c r="P168" i="6"/>
  <c r="Q168" i="6"/>
  <c r="M169" i="6"/>
  <c r="N169" i="6"/>
  <c r="O169" i="6"/>
  <c r="P169" i="6"/>
  <c r="Q169" i="6"/>
  <c r="M170" i="6"/>
  <c r="N170" i="6"/>
  <c r="O170" i="6"/>
  <c r="P170" i="6"/>
  <c r="Q170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P35" i="3"/>
  <c r="P36" i="3" s="1"/>
  <c r="L35" i="3"/>
  <c r="L36" i="3" s="1"/>
  <c r="L34" i="3"/>
  <c r="CE59" i="8" l="1"/>
  <c r="BX66" i="8"/>
  <c r="BX14" i="8"/>
  <c r="CF61" i="8" s="1"/>
  <c r="CE61" i="8"/>
  <c r="CE62" i="8"/>
  <c r="BX23" i="8"/>
  <c r="CE60" i="8"/>
  <c r="BX10" i="8"/>
  <c r="CF60" i="8" s="1"/>
  <c r="BX31" i="8"/>
  <c r="CF64" i="8" s="1"/>
  <c r="CE64" i="8"/>
  <c r="CE63" i="8"/>
  <c r="BX27" i="8"/>
  <c r="CF63" i="8" s="1"/>
  <c r="Y90" i="7"/>
  <c r="W92" i="7"/>
  <c r="P95" i="7"/>
  <c r="Y94" i="7"/>
  <c r="Y92" i="7"/>
  <c r="W94" i="7"/>
  <c r="W93" i="7"/>
  <c r="P91" i="7"/>
  <c r="Q85" i="7"/>
  <c r="T85" i="7" s="1"/>
  <c r="U85" i="7" s="1"/>
  <c r="V85" i="7" s="1"/>
  <c r="W85" i="7" s="1"/>
  <c r="W95" i="7" s="1"/>
  <c r="AC95" i="7"/>
  <c r="Z82" i="7"/>
  <c r="W90" i="7"/>
  <c r="Z74" i="7"/>
  <c r="AC74" i="7" s="1"/>
  <c r="AC90" i="7" s="1"/>
  <c r="AC80" i="7"/>
  <c r="Z93" i="7"/>
  <c r="Z91" i="7"/>
  <c r="AC76" i="7"/>
  <c r="Y95" i="7"/>
  <c r="P93" i="7"/>
  <c r="V92" i="7"/>
  <c r="U90" i="7"/>
  <c r="U94" i="7"/>
  <c r="Q94" i="7"/>
  <c r="U92" i="7"/>
  <c r="Q92" i="7"/>
  <c r="T90" i="7"/>
  <c r="P90" i="7"/>
  <c r="V94" i="7"/>
  <c r="Y93" i="7"/>
  <c r="T93" i="7"/>
  <c r="Q90" i="7"/>
  <c r="Q76" i="7"/>
  <c r="Z78" i="7"/>
  <c r="T94" i="7"/>
  <c r="P94" i="7"/>
  <c r="V93" i="7"/>
  <c r="T92" i="7"/>
  <c r="P92" i="7"/>
  <c r="Z95" i="7"/>
  <c r="U93" i="7"/>
  <c r="Q93" i="7"/>
  <c r="Y91" i="7"/>
  <c r="V90" i="7"/>
  <c r="AD81" i="7"/>
  <c r="AE81" i="7" s="1"/>
  <c r="AF81" i="7" s="1"/>
  <c r="AD77" i="7"/>
  <c r="AE77" i="7" s="1"/>
  <c r="AF77" i="7" s="1"/>
  <c r="AD85" i="7"/>
  <c r="T42" i="7"/>
  <c r="U42" i="7" s="1"/>
  <c r="V42" i="7" s="1"/>
  <c r="W42" i="7" s="1"/>
  <c r="T41" i="7"/>
  <c r="U41" i="7" s="1"/>
  <c r="V41" i="7" s="1"/>
  <c r="W41" i="7" s="1"/>
  <c r="T37" i="7"/>
  <c r="U37" i="7" s="1"/>
  <c r="V37" i="7" s="1"/>
  <c r="W37" i="7" s="1"/>
  <c r="T40" i="7"/>
  <c r="U40" i="7" s="1"/>
  <c r="V40" i="7" s="1"/>
  <c r="W40" i="7" s="1"/>
  <c r="T36" i="7"/>
  <c r="U36" i="7" s="1"/>
  <c r="V36" i="7" s="1"/>
  <c r="W36" i="7" s="1"/>
  <c r="AC37" i="7"/>
  <c r="AD37" i="7" s="1"/>
  <c r="AE37" i="7" s="1"/>
  <c r="AF37" i="7" s="1"/>
  <c r="T39" i="7"/>
  <c r="U39" i="7" s="1"/>
  <c r="V39" i="7" s="1"/>
  <c r="W39" i="7" s="1"/>
  <c r="T35" i="7"/>
  <c r="U35" i="7" s="1"/>
  <c r="V35" i="7" s="1"/>
  <c r="W35" i="7" s="1"/>
  <c r="AC36" i="7"/>
  <c r="AD36" i="7" s="1"/>
  <c r="AE36" i="7" s="1"/>
  <c r="AF36" i="7" s="1"/>
  <c r="T38" i="7"/>
  <c r="V38" i="7" s="1"/>
  <c r="W38" i="7" s="1"/>
  <c r="AC39" i="7"/>
  <c r="AD39" i="7" s="1"/>
  <c r="AE39" i="7" s="1"/>
  <c r="AF39" i="7" s="1"/>
  <c r="AC35" i="7"/>
  <c r="AD35" i="7" s="1"/>
  <c r="AE35" i="7" s="1"/>
  <c r="AF35" i="7" s="1"/>
  <c r="R8" i="7"/>
  <c r="R14" i="7"/>
  <c r="R10" i="7"/>
  <c r="Q74" i="2"/>
  <c r="R74" i="2" s="1"/>
  <c r="Q75" i="2"/>
  <c r="Q79" i="2"/>
  <c r="Q83" i="2"/>
  <c r="Q87" i="2"/>
  <c r="Q70" i="2"/>
  <c r="R70" i="2" s="1"/>
  <c r="P93" i="2"/>
  <c r="M93" i="2"/>
  <c r="P92" i="2"/>
  <c r="Q92" i="2" s="1"/>
  <c r="R92" i="2" s="1"/>
  <c r="M92" i="2"/>
  <c r="P91" i="2"/>
  <c r="M91" i="2"/>
  <c r="P90" i="2"/>
  <c r="Q90" i="2" s="1"/>
  <c r="R90" i="2" s="1"/>
  <c r="M90" i="2"/>
  <c r="P89" i="2"/>
  <c r="Q89" i="2" s="1"/>
  <c r="M89" i="2"/>
  <c r="P88" i="2"/>
  <c r="Q88" i="2" s="1"/>
  <c r="R88" i="2" s="1"/>
  <c r="M88" i="2"/>
  <c r="P87" i="2"/>
  <c r="M87" i="2"/>
  <c r="P86" i="2"/>
  <c r="Q86" i="2" s="1"/>
  <c r="R86" i="2" s="1"/>
  <c r="M86" i="2"/>
  <c r="P85" i="2"/>
  <c r="M85" i="2"/>
  <c r="P84" i="2"/>
  <c r="Q84" i="2" s="1"/>
  <c r="R84" i="2" s="1"/>
  <c r="M84" i="2"/>
  <c r="P83" i="2"/>
  <c r="M83" i="2"/>
  <c r="P82" i="2"/>
  <c r="Q82" i="2" s="1"/>
  <c r="M82" i="2"/>
  <c r="P81" i="2"/>
  <c r="M81" i="2"/>
  <c r="P80" i="2"/>
  <c r="M80" i="2"/>
  <c r="P79" i="2"/>
  <c r="M79" i="2"/>
  <c r="P78" i="2"/>
  <c r="M78" i="2"/>
  <c r="P77" i="2"/>
  <c r="Q77" i="2" s="1"/>
  <c r="R77" i="2" s="1"/>
  <c r="M77" i="2"/>
  <c r="P76" i="2"/>
  <c r="M76" i="2"/>
  <c r="P75" i="2"/>
  <c r="M75" i="2"/>
  <c r="P74" i="2"/>
  <c r="M74" i="2"/>
  <c r="P73" i="2"/>
  <c r="Q73" i="2" s="1"/>
  <c r="M73" i="2"/>
  <c r="P72" i="2"/>
  <c r="Q72" i="2" s="1"/>
  <c r="R72" i="2" s="1"/>
  <c r="M72" i="2"/>
  <c r="P71" i="2"/>
  <c r="M71" i="2"/>
  <c r="P70" i="2"/>
  <c r="M70" i="2"/>
  <c r="N81" i="6"/>
  <c r="M90" i="6"/>
  <c r="O90" i="6"/>
  <c r="P90" i="6"/>
  <c r="Q90" i="6"/>
  <c r="R90" i="6"/>
  <c r="S90" i="6"/>
  <c r="T90" i="6"/>
  <c r="M91" i="6"/>
  <c r="O91" i="6"/>
  <c r="P91" i="6"/>
  <c r="Q91" i="6"/>
  <c r="R91" i="6"/>
  <c r="S91" i="6"/>
  <c r="T91" i="6"/>
  <c r="M92" i="6"/>
  <c r="O92" i="6"/>
  <c r="P92" i="6"/>
  <c r="Q92" i="6"/>
  <c r="R92" i="6"/>
  <c r="S92" i="6"/>
  <c r="T92" i="6"/>
  <c r="M93" i="6"/>
  <c r="O93" i="6"/>
  <c r="P93" i="6"/>
  <c r="Q93" i="6"/>
  <c r="R93" i="6"/>
  <c r="S93" i="6"/>
  <c r="T93" i="6"/>
  <c r="M94" i="6"/>
  <c r="O94" i="6"/>
  <c r="P94" i="6"/>
  <c r="Q94" i="6"/>
  <c r="R94" i="6"/>
  <c r="S94" i="6"/>
  <c r="T94" i="6"/>
  <c r="M95" i="6"/>
  <c r="O95" i="6"/>
  <c r="P95" i="6"/>
  <c r="Q95" i="6"/>
  <c r="R95" i="6"/>
  <c r="S95" i="6"/>
  <c r="T95" i="6"/>
  <c r="L95" i="6"/>
  <c r="L94" i="6"/>
  <c r="L93" i="6"/>
  <c r="L92" i="6"/>
  <c r="L91" i="6"/>
  <c r="L90" i="6"/>
  <c r="M43" i="6"/>
  <c r="O43" i="6"/>
  <c r="P43" i="6"/>
  <c r="Q43" i="6"/>
  <c r="R43" i="6"/>
  <c r="S43" i="6"/>
  <c r="M44" i="6"/>
  <c r="O44" i="6"/>
  <c r="P44" i="6"/>
  <c r="Q44" i="6"/>
  <c r="R44" i="6"/>
  <c r="S44" i="6"/>
  <c r="M45" i="6"/>
  <c r="O45" i="6"/>
  <c r="P45" i="6"/>
  <c r="Q45" i="6"/>
  <c r="R45" i="6"/>
  <c r="S45" i="6"/>
  <c r="T45" i="6"/>
  <c r="M46" i="6"/>
  <c r="O46" i="6"/>
  <c r="P46" i="6"/>
  <c r="Q46" i="6"/>
  <c r="R46" i="6"/>
  <c r="S46" i="6"/>
  <c r="T46" i="6"/>
  <c r="M47" i="6"/>
  <c r="O47" i="6"/>
  <c r="P47" i="6"/>
  <c r="Q47" i="6"/>
  <c r="R47" i="6"/>
  <c r="S47" i="6"/>
  <c r="T47" i="6"/>
  <c r="M48" i="6"/>
  <c r="O48" i="6"/>
  <c r="P48" i="6"/>
  <c r="Q48" i="6"/>
  <c r="R48" i="6"/>
  <c r="S48" i="6"/>
  <c r="T48" i="6"/>
  <c r="L48" i="6"/>
  <c r="L47" i="6"/>
  <c r="L46" i="6"/>
  <c r="L45" i="6"/>
  <c r="L44" i="6"/>
  <c r="L43" i="6"/>
  <c r="H105" i="6"/>
  <c r="G105" i="6"/>
  <c r="S55" i="6"/>
  <c r="T55" i="6"/>
  <c r="U55" i="6"/>
  <c r="S56" i="6"/>
  <c r="T56" i="6"/>
  <c r="U56" i="6"/>
  <c r="S57" i="6"/>
  <c r="T57" i="6"/>
  <c r="U57" i="6"/>
  <c r="S58" i="6"/>
  <c r="T58" i="6"/>
  <c r="U58" i="6"/>
  <c r="R58" i="6"/>
  <c r="R57" i="6"/>
  <c r="R56" i="6"/>
  <c r="R55" i="6"/>
  <c r="T13" i="6"/>
  <c r="U13" i="6"/>
  <c r="V13" i="6"/>
  <c r="T14" i="6"/>
  <c r="U14" i="6"/>
  <c r="V14" i="6"/>
  <c r="T15" i="6"/>
  <c r="U15" i="6"/>
  <c r="V15" i="6"/>
  <c r="T16" i="6"/>
  <c r="U16" i="6"/>
  <c r="V16" i="6"/>
  <c r="S16" i="6"/>
  <c r="S15" i="6"/>
  <c r="S14" i="6"/>
  <c r="S13" i="6"/>
  <c r="G104" i="6"/>
  <c r="G106" i="6"/>
  <c r="H106" i="6"/>
  <c r="G107" i="6"/>
  <c r="H107" i="6"/>
  <c r="G108" i="6"/>
  <c r="H108" i="6"/>
  <c r="G109" i="6"/>
  <c r="H109" i="6"/>
  <c r="G110" i="6"/>
  <c r="H110" i="6"/>
  <c r="G111" i="6"/>
  <c r="H111" i="6"/>
  <c r="G112" i="6"/>
  <c r="H112" i="6"/>
  <c r="G113" i="6"/>
  <c r="H113" i="6"/>
  <c r="G114" i="6"/>
  <c r="H114" i="6"/>
  <c r="G115" i="6"/>
  <c r="H115" i="6"/>
  <c r="G116" i="6"/>
  <c r="H116" i="6"/>
  <c r="G117" i="6"/>
  <c r="H117" i="6"/>
  <c r="G118" i="6"/>
  <c r="H118" i="6"/>
  <c r="G119" i="6"/>
  <c r="H119" i="6"/>
  <c r="G120" i="6"/>
  <c r="H120" i="6"/>
  <c r="G121" i="6"/>
  <c r="H121" i="6"/>
  <c r="G122" i="6"/>
  <c r="H122" i="6"/>
  <c r="G123" i="6"/>
  <c r="H123" i="6"/>
  <c r="G124" i="6"/>
  <c r="H124" i="6"/>
  <c r="G125" i="6"/>
  <c r="H125" i="6"/>
  <c r="G126" i="6"/>
  <c r="H126" i="6"/>
  <c r="G127" i="6"/>
  <c r="H127" i="6"/>
  <c r="H104" i="6"/>
  <c r="I102" i="6"/>
  <c r="I108" i="6" s="1"/>
  <c r="B84" i="6"/>
  <c r="C103" i="6" s="1"/>
  <c r="B85" i="6"/>
  <c r="D104" i="6" s="1"/>
  <c r="B83" i="6"/>
  <c r="B103" i="6" s="1"/>
  <c r="T85" i="6"/>
  <c r="T84" i="6"/>
  <c r="T83" i="6"/>
  <c r="T82" i="6"/>
  <c r="T38" i="6"/>
  <c r="T37" i="6"/>
  <c r="N80" i="6"/>
  <c r="N95" i="6" s="1"/>
  <c r="N79" i="6"/>
  <c r="N78" i="6"/>
  <c r="N94" i="6" s="1"/>
  <c r="N77" i="6"/>
  <c r="N76" i="6"/>
  <c r="N75" i="6"/>
  <c r="N74" i="6"/>
  <c r="N92" i="6" s="1"/>
  <c r="N73" i="6"/>
  <c r="N72" i="6"/>
  <c r="N71" i="6"/>
  <c r="N70" i="6"/>
  <c r="N90" i="6" s="1"/>
  <c r="N36" i="6"/>
  <c r="N35" i="6"/>
  <c r="N34" i="6"/>
  <c r="N33" i="6"/>
  <c r="N47" i="6" s="1"/>
  <c r="N32" i="6"/>
  <c r="N31" i="6"/>
  <c r="N30" i="6"/>
  <c r="N29" i="6"/>
  <c r="N45" i="6" s="1"/>
  <c r="N28" i="6"/>
  <c r="N27" i="6"/>
  <c r="N26" i="6"/>
  <c r="N25" i="6"/>
  <c r="N43" i="6" s="1"/>
  <c r="B11" i="3"/>
  <c r="B10" i="3"/>
  <c r="B9" i="3"/>
  <c r="F15" i="3" s="1"/>
  <c r="BX35" i="8" l="1"/>
  <c r="CF62" i="8"/>
  <c r="R80" i="2"/>
  <c r="R93" i="2"/>
  <c r="S93" i="2" s="1"/>
  <c r="Q71" i="2"/>
  <c r="R71" i="2" s="1"/>
  <c r="S71" i="2" s="1"/>
  <c r="T71" i="2" s="1"/>
  <c r="Q78" i="2"/>
  <c r="R78" i="2" s="1"/>
  <c r="S78" i="2" s="1"/>
  <c r="T78" i="2" s="1"/>
  <c r="U78" i="2" s="1"/>
  <c r="R79" i="2"/>
  <c r="S79" i="2" s="1"/>
  <c r="T79" i="2" s="1"/>
  <c r="U79" i="2" s="1"/>
  <c r="R83" i="2"/>
  <c r="R87" i="2"/>
  <c r="S87" i="2" s="1"/>
  <c r="T87" i="2" s="1"/>
  <c r="U87" i="2" s="1"/>
  <c r="Q93" i="2"/>
  <c r="Q85" i="2"/>
  <c r="R85" i="2" s="1"/>
  <c r="S85" i="2" s="1"/>
  <c r="T85" i="2" s="1"/>
  <c r="U85" i="2" s="1"/>
  <c r="Q81" i="2"/>
  <c r="R81" i="2" s="1"/>
  <c r="S81" i="2" s="1"/>
  <c r="T81" i="2" s="1"/>
  <c r="U81" i="2" s="1"/>
  <c r="R82" i="2"/>
  <c r="Q91" i="2"/>
  <c r="R91" i="2" s="1"/>
  <c r="S91" i="2" s="1"/>
  <c r="T91" i="2" s="1"/>
  <c r="U91" i="2" s="1"/>
  <c r="R73" i="2"/>
  <c r="S73" i="2" s="1"/>
  <c r="T73" i="2" s="1"/>
  <c r="R76" i="2"/>
  <c r="S76" i="2" s="1"/>
  <c r="T76" i="2" s="1"/>
  <c r="U76" i="2" s="1"/>
  <c r="R89" i="2"/>
  <c r="S89" i="2" s="1"/>
  <c r="T89" i="2" s="1"/>
  <c r="U89" i="2" s="1"/>
  <c r="Q80" i="2"/>
  <c r="Q76" i="2"/>
  <c r="Q95" i="7"/>
  <c r="V95" i="7"/>
  <c r="U95" i="7"/>
  <c r="AD74" i="7"/>
  <c r="AE74" i="7" s="1"/>
  <c r="T95" i="7"/>
  <c r="Z94" i="7"/>
  <c r="AC82" i="7"/>
  <c r="Z90" i="7"/>
  <c r="T76" i="7"/>
  <c r="Q91" i="7"/>
  <c r="AE85" i="7"/>
  <c r="AD95" i="7"/>
  <c r="AC78" i="7"/>
  <c r="Z92" i="7"/>
  <c r="AD76" i="7"/>
  <c r="AC91" i="7"/>
  <c r="AD80" i="7"/>
  <c r="AC93" i="7"/>
  <c r="W43" i="7"/>
  <c r="AF43" i="7"/>
  <c r="N44" i="6"/>
  <c r="N46" i="6"/>
  <c r="N48" i="6"/>
  <c r="N91" i="6"/>
  <c r="N93" i="6"/>
  <c r="S86" i="2"/>
  <c r="T86" i="2" s="1"/>
  <c r="U86" i="2" s="1"/>
  <c r="R75" i="2"/>
  <c r="S83" i="2"/>
  <c r="T83" i="2" s="1"/>
  <c r="U83" i="2" s="1"/>
  <c r="S88" i="2"/>
  <c r="T88" i="2" s="1"/>
  <c r="U88" i="2" s="1"/>
  <c r="S90" i="2"/>
  <c r="T90" i="2" s="1"/>
  <c r="U90" i="2" s="1"/>
  <c r="S82" i="2"/>
  <c r="T82" i="2" s="1"/>
  <c r="U82" i="2" s="1"/>
  <c r="S84" i="2"/>
  <c r="T84" i="2" s="1"/>
  <c r="U84" i="2" s="1"/>
  <c r="S92" i="2"/>
  <c r="T92" i="2" s="1"/>
  <c r="U92" i="2" s="1"/>
  <c r="S72" i="2"/>
  <c r="T72" i="2" s="1"/>
  <c r="S70" i="2"/>
  <c r="T70" i="2" s="1"/>
  <c r="S74" i="2"/>
  <c r="T74" i="2" s="1"/>
  <c r="U74" i="2" s="1"/>
  <c r="S75" i="2"/>
  <c r="T75" i="2" s="1"/>
  <c r="U75" i="2" s="1"/>
  <c r="S77" i="2"/>
  <c r="T77" i="2" s="1"/>
  <c r="U77" i="2" s="1"/>
  <c r="S80" i="2"/>
  <c r="T80" i="2" s="1"/>
  <c r="U80" i="2" s="1"/>
  <c r="B116" i="6"/>
  <c r="B115" i="6"/>
  <c r="B123" i="6"/>
  <c r="B111" i="6"/>
  <c r="B120" i="6"/>
  <c r="I104" i="6"/>
  <c r="I113" i="6"/>
  <c r="I121" i="6"/>
  <c r="I122" i="6"/>
  <c r="I106" i="6"/>
  <c r="I114" i="6"/>
  <c r="I105" i="6"/>
  <c r="D123" i="6"/>
  <c r="D117" i="6"/>
  <c r="D113" i="6"/>
  <c r="D107" i="6"/>
  <c r="D106" i="6"/>
  <c r="D103" i="6"/>
  <c r="D126" i="6"/>
  <c r="D110" i="6"/>
  <c r="I125" i="6"/>
  <c r="I117" i="6"/>
  <c r="I109" i="6"/>
  <c r="B124" i="6"/>
  <c r="D119" i="6"/>
  <c r="D114" i="6"/>
  <c r="B108" i="6"/>
  <c r="I126" i="6"/>
  <c r="I118" i="6"/>
  <c r="I110" i="6"/>
  <c r="D125" i="6"/>
  <c r="D122" i="6"/>
  <c r="B119" i="6"/>
  <c r="D115" i="6"/>
  <c r="B112" i="6"/>
  <c r="D109" i="6"/>
  <c r="D105" i="6"/>
  <c r="I127" i="6"/>
  <c r="I123" i="6"/>
  <c r="I119" i="6"/>
  <c r="I115" i="6"/>
  <c r="I111" i="6"/>
  <c r="I107" i="6"/>
  <c r="D121" i="6"/>
  <c r="D118" i="6"/>
  <c r="D111" i="6"/>
  <c r="I124" i="6"/>
  <c r="I120" i="6"/>
  <c r="I116" i="6"/>
  <c r="I112" i="6"/>
  <c r="C121" i="6"/>
  <c r="C126" i="6"/>
  <c r="B125" i="6"/>
  <c r="C122" i="6"/>
  <c r="B121" i="6"/>
  <c r="C118" i="6"/>
  <c r="B117" i="6"/>
  <c r="C114" i="6"/>
  <c r="B113" i="6"/>
  <c r="C110" i="6"/>
  <c r="B109" i="6"/>
  <c r="C106" i="6"/>
  <c r="B105" i="6"/>
  <c r="B126" i="6"/>
  <c r="D124" i="6"/>
  <c r="C123" i="6"/>
  <c r="B122" i="6"/>
  <c r="D120" i="6"/>
  <c r="C119" i="6"/>
  <c r="B118" i="6"/>
  <c r="D116" i="6"/>
  <c r="C115" i="6"/>
  <c r="B114" i="6"/>
  <c r="D112" i="6"/>
  <c r="C111" i="6"/>
  <c r="B110" i="6"/>
  <c r="D108" i="6"/>
  <c r="C107" i="6"/>
  <c r="B106" i="6"/>
  <c r="C124" i="6"/>
  <c r="C120" i="6"/>
  <c r="C116" i="6"/>
  <c r="C112" i="6"/>
  <c r="C108" i="6"/>
  <c r="B107" i="6"/>
  <c r="C104" i="6"/>
  <c r="C125" i="6"/>
  <c r="C117" i="6"/>
  <c r="C113" i="6"/>
  <c r="C109" i="6"/>
  <c r="C105" i="6"/>
  <c r="B104" i="6"/>
  <c r="M35" i="3"/>
  <c r="M36" i="3" s="1"/>
  <c r="M34" i="3"/>
  <c r="U49" i="5"/>
  <c r="U50" i="5"/>
  <c r="U51" i="5"/>
  <c r="U52" i="5"/>
  <c r="U53" i="5"/>
  <c r="U54" i="5"/>
  <c r="U55" i="5"/>
  <c r="U56" i="5"/>
  <c r="U57" i="5"/>
  <c r="U48" i="5"/>
  <c r="T47" i="5"/>
  <c r="T48" i="5"/>
  <c r="T49" i="5"/>
  <c r="T50" i="5"/>
  <c r="T51" i="5"/>
  <c r="T52" i="5"/>
  <c r="T53" i="5"/>
  <c r="T54" i="5"/>
  <c r="T55" i="5"/>
  <c r="T56" i="5"/>
  <c r="T57" i="5"/>
  <c r="T46" i="5"/>
  <c r="S49" i="5"/>
  <c r="S50" i="5"/>
  <c r="S51" i="5"/>
  <c r="S52" i="5"/>
  <c r="S53" i="5"/>
  <c r="S54" i="5"/>
  <c r="S55" i="5"/>
  <c r="S56" i="5"/>
  <c r="S57" i="5"/>
  <c r="R47" i="5"/>
  <c r="R48" i="5"/>
  <c r="R49" i="5"/>
  <c r="R50" i="5"/>
  <c r="R51" i="5"/>
  <c r="R52" i="5"/>
  <c r="R53" i="5"/>
  <c r="R54" i="5"/>
  <c r="R55" i="5"/>
  <c r="R56" i="5"/>
  <c r="R57" i="5"/>
  <c r="S48" i="5"/>
  <c r="R46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7" i="5"/>
  <c r="F21" i="5"/>
  <c r="E21" i="5"/>
  <c r="E22" i="5"/>
  <c r="F22" i="5"/>
  <c r="P47" i="5"/>
  <c r="Q47" i="5"/>
  <c r="P48" i="5"/>
  <c r="Q48" i="5"/>
  <c r="P49" i="5"/>
  <c r="Q49" i="5"/>
  <c r="P50" i="5"/>
  <c r="Q50" i="5"/>
  <c r="P51" i="5"/>
  <c r="Q51" i="5"/>
  <c r="P52" i="5"/>
  <c r="Q52" i="5"/>
  <c r="P53" i="5"/>
  <c r="Q53" i="5"/>
  <c r="P54" i="5"/>
  <c r="Q54" i="5"/>
  <c r="P55" i="5"/>
  <c r="Q55" i="5"/>
  <c r="P56" i="5"/>
  <c r="Q56" i="5"/>
  <c r="P57" i="5"/>
  <c r="Q57" i="5"/>
  <c r="Q46" i="5"/>
  <c r="P46" i="5"/>
  <c r="F12" i="5"/>
  <c r="F13" i="5"/>
  <c r="F14" i="5"/>
  <c r="F15" i="5"/>
  <c r="F16" i="5"/>
  <c r="F17" i="5"/>
  <c r="F18" i="5"/>
  <c r="F19" i="5"/>
  <c r="F20" i="5"/>
  <c r="F11" i="5"/>
  <c r="E12" i="5"/>
  <c r="E13" i="5"/>
  <c r="E14" i="5"/>
  <c r="E15" i="5"/>
  <c r="E16" i="5"/>
  <c r="E17" i="5"/>
  <c r="E18" i="5"/>
  <c r="E19" i="5"/>
  <c r="E20" i="5"/>
  <c r="E11" i="5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11" i="5"/>
  <c r="C11" i="5" s="1"/>
  <c r="M48" i="5"/>
  <c r="M49" i="5"/>
  <c r="M50" i="5"/>
  <c r="M59" i="5" s="1"/>
  <c r="M51" i="5"/>
  <c r="M52" i="5"/>
  <c r="M53" i="5"/>
  <c r="M54" i="5"/>
  <c r="M55" i="5"/>
  <c r="M56" i="5"/>
  <c r="M57" i="5"/>
  <c r="L60" i="5"/>
  <c r="L59" i="5"/>
  <c r="L49" i="5"/>
  <c r="L50" i="5"/>
  <c r="L51" i="5"/>
  <c r="L52" i="5"/>
  <c r="L53" i="5"/>
  <c r="L54" i="5"/>
  <c r="L55" i="5"/>
  <c r="L56" i="5"/>
  <c r="L57" i="5"/>
  <c r="L48" i="5"/>
  <c r="C10" i="4"/>
  <c r="P11" i="4" s="1"/>
  <c r="C11" i="4"/>
  <c r="C9" i="4"/>
  <c r="O8" i="4" s="1"/>
  <c r="P7" i="4"/>
  <c r="Q7" i="4"/>
  <c r="Q10" i="4"/>
  <c r="Q12" i="4"/>
  <c r="P14" i="4"/>
  <c r="Q14" i="4"/>
  <c r="P15" i="4"/>
  <c r="Q16" i="4"/>
  <c r="P18" i="4"/>
  <c r="Q18" i="4"/>
  <c r="P19" i="4"/>
  <c r="Q20" i="4"/>
  <c r="P22" i="4"/>
  <c r="Q22" i="4"/>
  <c r="P23" i="4"/>
  <c r="Q24" i="4"/>
  <c r="P26" i="4"/>
  <c r="Q26" i="4"/>
  <c r="P27" i="4"/>
  <c r="Q28" i="4"/>
  <c r="Q6" i="4"/>
  <c r="O7" i="4"/>
  <c r="O11" i="4"/>
  <c r="O15" i="4"/>
  <c r="O23" i="4"/>
  <c r="O27" i="4"/>
  <c r="F5" i="4"/>
  <c r="F6" i="4"/>
  <c r="F4" i="4"/>
  <c r="C20" i="4"/>
  <c r="C19" i="4"/>
  <c r="B2" i="4" s="1"/>
  <c r="H5" i="3"/>
  <c r="G4" i="3"/>
  <c r="F7" i="3"/>
  <c r="G67" i="3"/>
  <c r="G62" i="3"/>
  <c r="G63" i="3"/>
  <c r="G64" i="3"/>
  <c r="G65" i="3"/>
  <c r="G66" i="3"/>
  <c r="G68" i="3"/>
  <c r="G69" i="3"/>
  <c r="G70" i="3"/>
  <c r="G71" i="3"/>
  <c r="G72" i="3"/>
  <c r="G73" i="3"/>
  <c r="F73" i="3"/>
  <c r="F72" i="3"/>
  <c r="F71" i="3"/>
  <c r="F70" i="3"/>
  <c r="F69" i="3"/>
  <c r="F68" i="3"/>
  <c r="F67" i="3"/>
  <c r="F66" i="3"/>
  <c r="F65" i="3"/>
  <c r="F64" i="3"/>
  <c r="F63" i="3"/>
  <c r="F62" i="3"/>
  <c r="C20" i="3"/>
  <c r="C19" i="3"/>
  <c r="T93" i="2" l="1"/>
  <c r="U93" i="2" s="1"/>
  <c r="U94" i="2" s="1"/>
  <c r="AD90" i="7"/>
  <c r="AC94" i="7"/>
  <c r="AD82" i="7"/>
  <c r="U76" i="7"/>
  <c r="T91" i="7"/>
  <c r="AE76" i="7"/>
  <c r="AD91" i="7"/>
  <c r="AC92" i="7"/>
  <c r="AD78" i="7"/>
  <c r="AE80" i="7"/>
  <c r="AD93" i="7"/>
  <c r="AF74" i="7"/>
  <c r="AE90" i="7"/>
  <c r="AF85" i="7"/>
  <c r="AF95" i="7" s="1"/>
  <c r="AE95" i="7"/>
  <c r="C21" i="5"/>
  <c r="C22" i="5"/>
  <c r="M60" i="5"/>
  <c r="O19" i="4"/>
  <c r="P10" i="4"/>
  <c r="O22" i="4"/>
  <c r="O14" i="4"/>
  <c r="P6" i="4"/>
  <c r="P28" i="4"/>
  <c r="P25" i="4"/>
  <c r="P20" i="4"/>
  <c r="P17" i="4"/>
  <c r="P12" i="4"/>
  <c r="P9" i="4"/>
  <c r="O26" i="4"/>
  <c r="O18" i="4"/>
  <c r="O10" i="4"/>
  <c r="P29" i="4"/>
  <c r="P24" i="4"/>
  <c r="P21" i="4"/>
  <c r="P16" i="4"/>
  <c r="P13" i="4"/>
  <c r="Q8" i="4"/>
  <c r="P8" i="4"/>
  <c r="O29" i="4"/>
  <c r="O25" i="4"/>
  <c r="O21" i="4"/>
  <c r="O17" i="4"/>
  <c r="O13" i="4"/>
  <c r="O9" i="4"/>
  <c r="O28" i="4"/>
  <c r="O24" i="4"/>
  <c r="O20" i="4"/>
  <c r="O16" i="4"/>
  <c r="O12" i="4"/>
  <c r="Q29" i="4"/>
  <c r="Q27" i="4"/>
  <c r="Q25" i="4"/>
  <c r="Q23" i="4"/>
  <c r="Q21" i="4"/>
  <c r="Q19" i="4"/>
  <c r="Q17" i="4"/>
  <c r="Q15" i="4"/>
  <c r="Q13" i="4"/>
  <c r="Q11" i="4"/>
  <c r="Q9" i="4"/>
  <c r="B9" i="4"/>
  <c r="B10" i="4"/>
  <c r="B11" i="4"/>
  <c r="G26" i="3"/>
  <c r="F20" i="3"/>
  <c r="F12" i="3"/>
  <c r="F4" i="3"/>
  <c r="G25" i="3"/>
  <c r="G17" i="3"/>
  <c r="G9" i="3"/>
  <c r="F24" i="3"/>
  <c r="F16" i="3"/>
  <c r="F8" i="3"/>
  <c r="G3" i="3"/>
  <c r="G21" i="3"/>
  <c r="G13" i="3"/>
  <c r="G5" i="3"/>
  <c r="H14" i="3"/>
  <c r="H10" i="3"/>
  <c r="H6" i="3"/>
  <c r="F25" i="3"/>
  <c r="H23" i="3"/>
  <c r="G22" i="3"/>
  <c r="F21" i="3"/>
  <c r="H19" i="3"/>
  <c r="G18" i="3"/>
  <c r="F17" i="3"/>
  <c r="H15" i="3"/>
  <c r="G14" i="3"/>
  <c r="F13" i="3"/>
  <c r="H11" i="3"/>
  <c r="G10" i="3"/>
  <c r="F9" i="3"/>
  <c r="H7" i="3"/>
  <c r="G6" i="3"/>
  <c r="F5" i="3"/>
  <c r="F3" i="3"/>
  <c r="F26" i="3"/>
  <c r="H24" i="3"/>
  <c r="G23" i="3"/>
  <c r="F22" i="3"/>
  <c r="H20" i="3"/>
  <c r="G19" i="3"/>
  <c r="F18" i="3"/>
  <c r="H16" i="3"/>
  <c r="G15" i="3"/>
  <c r="F14" i="3"/>
  <c r="H12" i="3"/>
  <c r="G11" i="3"/>
  <c r="F10" i="3"/>
  <c r="H8" i="3"/>
  <c r="G7" i="3"/>
  <c r="F6" i="3"/>
  <c r="H4" i="3"/>
  <c r="H26" i="3"/>
  <c r="H22" i="3"/>
  <c r="H18" i="3"/>
  <c r="H3" i="3"/>
  <c r="H25" i="3"/>
  <c r="G24" i="3"/>
  <c r="F23" i="3"/>
  <c r="H21" i="3"/>
  <c r="G20" i="3"/>
  <c r="F19" i="3"/>
  <c r="H17" i="3"/>
  <c r="G16" i="3"/>
  <c r="H13" i="3"/>
  <c r="G12" i="3"/>
  <c r="F11" i="3"/>
  <c r="H9" i="3"/>
  <c r="G8" i="3"/>
  <c r="AD94" i="7" l="1"/>
  <c r="AE82" i="7"/>
  <c r="AF76" i="7"/>
  <c r="AF91" i="7" s="1"/>
  <c r="AE91" i="7"/>
  <c r="AE78" i="7"/>
  <c r="AD92" i="7"/>
  <c r="AF80" i="7"/>
  <c r="AF93" i="7" s="1"/>
  <c r="AE93" i="7"/>
  <c r="AF90" i="7"/>
  <c r="V76" i="7"/>
  <c r="U91" i="7"/>
  <c r="L8" i="4"/>
  <c r="L12" i="4"/>
  <c r="L16" i="4"/>
  <c r="L20" i="4"/>
  <c r="L24" i="4"/>
  <c r="L7" i="4"/>
  <c r="L11" i="4"/>
  <c r="L15" i="4"/>
  <c r="L19" i="4"/>
  <c r="L23" i="4"/>
  <c r="L27" i="4"/>
  <c r="L6" i="4"/>
  <c r="L10" i="4"/>
  <c r="L14" i="4"/>
  <c r="L18" i="4"/>
  <c r="L22" i="4"/>
  <c r="L26" i="4"/>
  <c r="L4" i="4"/>
  <c r="L5" i="4"/>
  <c r="L9" i="4"/>
  <c r="L13" i="4"/>
  <c r="L17" i="4"/>
  <c r="L21" i="4"/>
  <c r="L25" i="4"/>
  <c r="K7" i="4"/>
  <c r="K11" i="4"/>
  <c r="K15" i="4"/>
  <c r="K19" i="4"/>
  <c r="K23" i="4"/>
  <c r="K27" i="4"/>
  <c r="K6" i="4"/>
  <c r="K10" i="4"/>
  <c r="K14" i="4"/>
  <c r="K18" i="4"/>
  <c r="K22" i="4"/>
  <c r="K26" i="4"/>
  <c r="K5" i="4"/>
  <c r="K9" i="4"/>
  <c r="K13" i="4"/>
  <c r="K17" i="4"/>
  <c r="K21" i="4"/>
  <c r="K25" i="4"/>
  <c r="K8" i="4"/>
  <c r="K12" i="4"/>
  <c r="K16" i="4"/>
  <c r="K20" i="4"/>
  <c r="K24" i="4"/>
  <c r="K4" i="4"/>
  <c r="J6" i="4"/>
  <c r="J10" i="4"/>
  <c r="J14" i="4"/>
  <c r="J18" i="4"/>
  <c r="J22" i="4"/>
  <c r="J26" i="4"/>
  <c r="J4" i="4"/>
  <c r="J5" i="4"/>
  <c r="J9" i="4"/>
  <c r="J13" i="4"/>
  <c r="J17" i="4"/>
  <c r="J21" i="4"/>
  <c r="J25" i="4"/>
  <c r="J8" i="4"/>
  <c r="J12" i="4"/>
  <c r="J16" i="4"/>
  <c r="J20" i="4"/>
  <c r="J24" i="4"/>
  <c r="J7" i="4"/>
  <c r="J11" i="4"/>
  <c r="J15" i="4"/>
  <c r="J19" i="4"/>
  <c r="J23" i="4"/>
  <c r="J27" i="4"/>
  <c r="AE94" i="7" l="1"/>
  <c r="AF82" i="7"/>
  <c r="AF94" i="7" s="1"/>
  <c r="AF78" i="7"/>
  <c r="AE92" i="7"/>
  <c r="W76" i="7"/>
  <c r="V91" i="7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34" i="2"/>
  <c r="X38" i="2"/>
  <c r="X37" i="2"/>
  <c r="X36" i="2"/>
  <c r="P52" i="2"/>
  <c r="P53" i="2"/>
  <c r="Q53" i="2" s="1"/>
  <c r="R53" i="2" s="1"/>
  <c r="P54" i="2"/>
  <c r="Q54" i="2" s="1"/>
  <c r="R54" i="2" s="1"/>
  <c r="P55" i="2"/>
  <c r="Q55" i="2" s="1"/>
  <c r="P56" i="2"/>
  <c r="Q56" i="2" s="1"/>
  <c r="R56" i="2" s="1"/>
  <c r="P57" i="2"/>
  <c r="Q57" i="2" s="1"/>
  <c r="R57" i="2" s="1"/>
  <c r="P58" i="2"/>
  <c r="Q58" i="2" s="1"/>
  <c r="R58" i="2" s="1"/>
  <c r="P59" i="2"/>
  <c r="Q59" i="2" s="1"/>
  <c r="P60" i="2"/>
  <c r="Q60" i="2" s="1"/>
  <c r="R60" i="2" s="1"/>
  <c r="P61" i="2"/>
  <c r="Q61" i="2" s="1"/>
  <c r="R61" i="2" s="1"/>
  <c r="P62" i="2"/>
  <c r="Q62" i="2" s="1"/>
  <c r="R62" i="2" s="1"/>
  <c r="P51" i="2"/>
  <c r="Q51" i="2" s="1"/>
  <c r="R51" i="2" s="1"/>
  <c r="N70" i="1"/>
  <c r="O70" i="1"/>
  <c r="N71" i="1"/>
  <c r="O71" i="1"/>
  <c r="M52" i="2"/>
  <c r="M53" i="2"/>
  <c r="M54" i="2"/>
  <c r="S54" i="2" s="1"/>
  <c r="T54" i="2" s="1"/>
  <c r="U54" i="2" s="1"/>
  <c r="M55" i="2"/>
  <c r="M56" i="2"/>
  <c r="S56" i="2" s="1"/>
  <c r="T56" i="2" s="1"/>
  <c r="U56" i="2" s="1"/>
  <c r="M57" i="2"/>
  <c r="M58" i="2"/>
  <c r="S58" i="2" s="1"/>
  <c r="T58" i="2" s="1"/>
  <c r="U58" i="2" s="1"/>
  <c r="M59" i="2"/>
  <c r="M60" i="2"/>
  <c r="M61" i="2"/>
  <c r="M62" i="2"/>
  <c r="S62" i="2" s="1"/>
  <c r="T62" i="2" s="1"/>
  <c r="U62" i="2" s="1"/>
  <c r="M51" i="2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38" i="2"/>
  <c r="N38" i="2" s="1"/>
  <c r="N69" i="1"/>
  <c r="O69" i="1"/>
  <c r="O68" i="1"/>
  <c r="N68" i="1"/>
  <c r="N64" i="1"/>
  <c r="O64" i="1"/>
  <c r="N65" i="1"/>
  <c r="O65" i="1"/>
  <c r="N66" i="1"/>
  <c r="O72" i="1"/>
  <c r="N72" i="1"/>
  <c r="N63" i="1"/>
  <c r="O63" i="1"/>
  <c r="O62" i="1"/>
  <c r="O67" i="1" s="1"/>
  <c r="N62" i="1"/>
  <c r="O60" i="1"/>
  <c r="O61" i="1"/>
  <c r="N61" i="1"/>
  <c r="N60" i="1"/>
  <c r="N58" i="1"/>
  <c r="O58" i="1"/>
  <c r="N59" i="1"/>
  <c r="O59" i="1"/>
  <c r="O57" i="1"/>
  <c r="O56" i="1"/>
  <c r="N57" i="1"/>
  <c r="N56" i="1"/>
  <c r="P19" i="2"/>
  <c r="Q19" i="2" s="1"/>
  <c r="R19" i="2" s="1"/>
  <c r="P20" i="2"/>
  <c r="Q20" i="2" s="1"/>
  <c r="R20" i="2" s="1"/>
  <c r="P21" i="2"/>
  <c r="Q21" i="2" s="1"/>
  <c r="R21" i="2" s="1"/>
  <c r="P22" i="2"/>
  <c r="Q22" i="2" s="1"/>
  <c r="R22" i="2" s="1"/>
  <c r="P23" i="2"/>
  <c r="Q23" i="2" s="1"/>
  <c r="R23" i="2" s="1"/>
  <c r="P24" i="2"/>
  <c r="Q24" i="2" s="1"/>
  <c r="R24" i="2" s="1"/>
  <c r="P25" i="2"/>
  <c r="Q25" i="2" s="1"/>
  <c r="R25" i="2" s="1"/>
  <c r="P26" i="2"/>
  <c r="Q26" i="2" s="1"/>
  <c r="P27" i="2"/>
  <c r="Q27" i="2" s="1"/>
  <c r="R27" i="2" s="1"/>
  <c r="P28" i="2"/>
  <c r="Q28" i="2" s="1"/>
  <c r="R28" i="2" s="1"/>
  <c r="P29" i="2"/>
  <c r="Q29" i="2" s="1"/>
  <c r="R29" i="2" s="1"/>
  <c r="P18" i="2"/>
  <c r="Q18" i="2" s="1"/>
  <c r="N8" i="2"/>
  <c r="N10" i="2"/>
  <c r="N11" i="2"/>
  <c r="N12" i="2"/>
  <c r="N13" i="2"/>
  <c r="N14" i="2"/>
  <c r="N7" i="2"/>
  <c r="M19" i="2"/>
  <c r="S19" i="2" s="1"/>
  <c r="T19" i="2" s="1"/>
  <c r="M20" i="2"/>
  <c r="S20" i="2" s="1"/>
  <c r="T20" i="2" s="1"/>
  <c r="M21" i="2"/>
  <c r="S21" i="2" s="1"/>
  <c r="T21" i="2" s="1"/>
  <c r="M22" i="2"/>
  <c r="M23" i="2"/>
  <c r="S23" i="2" s="1"/>
  <c r="T23" i="2" s="1"/>
  <c r="M24" i="2"/>
  <c r="S24" i="2" s="1"/>
  <c r="T24" i="2" s="1"/>
  <c r="U24" i="2" s="1"/>
  <c r="M25" i="2"/>
  <c r="S25" i="2" s="1"/>
  <c r="T25" i="2" s="1"/>
  <c r="U25" i="2" s="1"/>
  <c r="M26" i="2"/>
  <c r="M27" i="2"/>
  <c r="S27" i="2" s="1"/>
  <c r="T27" i="2" s="1"/>
  <c r="U27" i="2" s="1"/>
  <c r="M28" i="2"/>
  <c r="S28" i="2" s="1"/>
  <c r="T28" i="2" s="1"/>
  <c r="U28" i="2" s="1"/>
  <c r="M29" i="2"/>
  <c r="S29" i="2" s="1"/>
  <c r="T29" i="2" s="1"/>
  <c r="U29" i="2" s="1"/>
  <c r="M18" i="2"/>
  <c r="M8" i="2"/>
  <c r="M10" i="2"/>
  <c r="M11" i="2"/>
  <c r="M12" i="2"/>
  <c r="M13" i="2"/>
  <c r="M14" i="2"/>
  <c r="M7" i="2"/>
  <c r="O20" i="1"/>
  <c r="N20" i="1"/>
  <c r="M12" i="1"/>
  <c r="M13" i="1"/>
  <c r="M14" i="1"/>
  <c r="M15" i="1"/>
  <c r="M16" i="1"/>
  <c r="M11" i="1"/>
  <c r="P10" i="1"/>
  <c r="P17" i="1"/>
  <c r="P18" i="1"/>
  <c r="Q18" i="1"/>
  <c r="Q23" i="1"/>
  <c r="Q25" i="1"/>
  <c r="P9" i="1"/>
  <c r="N30" i="1"/>
  <c r="P30" i="1" s="1"/>
  <c r="O30" i="1"/>
  <c r="Q30" i="1" s="1"/>
  <c r="N31" i="1"/>
  <c r="P31" i="1" s="1"/>
  <c r="O31" i="1"/>
  <c r="Q31" i="1" s="1"/>
  <c r="N32" i="1"/>
  <c r="P32" i="1" s="1"/>
  <c r="O32" i="1"/>
  <c r="Q32" i="1" s="1"/>
  <c r="N25" i="1"/>
  <c r="P25" i="1" s="1"/>
  <c r="O25" i="1"/>
  <c r="N26" i="1"/>
  <c r="P26" i="1" s="1"/>
  <c r="O26" i="1"/>
  <c r="Q26" i="1" s="1"/>
  <c r="N29" i="1"/>
  <c r="P29" i="1" s="1"/>
  <c r="O29" i="1"/>
  <c r="O24" i="1"/>
  <c r="Q24" i="1" s="1"/>
  <c r="N24" i="1"/>
  <c r="N27" i="1" s="1"/>
  <c r="P27" i="1" s="1"/>
  <c r="O23" i="1"/>
  <c r="N23" i="1"/>
  <c r="P23" i="1" s="1"/>
  <c r="O17" i="1"/>
  <c r="Q17" i="1" s="1"/>
  <c r="O10" i="1"/>
  <c r="Q10" i="1" s="1"/>
  <c r="O9" i="1"/>
  <c r="Q9" i="1" s="1"/>
  <c r="N19" i="1"/>
  <c r="P19" i="1" s="1"/>
  <c r="W91" i="7" l="1"/>
  <c r="W86" i="7"/>
  <c r="AF92" i="7"/>
  <c r="AF86" i="7"/>
  <c r="S60" i="2"/>
  <c r="T60" i="2" s="1"/>
  <c r="U60" i="2" s="1"/>
  <c r="Y38" i="2"/>
  <c r="Q52" i="2"/>
  <c r="R52" i="2" s="1"/>
  <c r="S52" i="2" s="1"/>
  <c r="T52" i="2" s="1"/>
  <c r="U52" i="2" s="1"/>
  <c r="Y36" i="2"/>
  <c r="S51" i="2"/>
  <c r="T51" i="2" s="1"/>
  <c r="R59" i="2"/>
  <c r="S59" i="2" s="1"/>
  <c r="T59" i="2" s="1"/>
  <c r="Y37" i="2"/>
  <c r="R55" i="2"/>
  <c r="S55" i="2" s="1"/>
  <c r="T55" i="2" s="1"/>
  <c r="S61" i="2"/>
  <c r="T61" i="2" s="1"/>
  <c r="U61" i="2" s="1"/>
  <c r="S57" i="2"/>
  <c r="T57" i="2" s="1"/>
  <c r="U57" i="2" s="1"/>
  <c r="S53" i="2"/>
  <c r="T53" i="2" s="1"/>
  <c r="U53" i="2" s="1"/>
  <c r="U23" i="2"/>
  <c r="O73" i="1"/>
  <c r="O28" i="1"/>
  <c r="N34" i="1"/>
  <c r="O33" i="1"/>
  <c r="Q33" i="1" s="1"/>
  <c r="O34" i="1"/>
  <c r="N28" i="1"/>
  <c r="Y33" i="2"/>
  <c r="R18" i="2"/>
  <c r="S18" i="2" s="1"/>
  <c r="T18" i="2" s="1"/>
  <c r="Z33" i="2" s="1"/>
  <c r="Y35" i="2"/>
  <c r="R26" i="2"/>
  <c r="S26" i="2" s="1"/>
  <c r="T26" i="2" s="1"/>
  <c r="Y34" i="2"/>
  <c r="S22" i="2"/>
  <c r="T22" i="2" s="1"/>
  <c r="N73" i="1"/>
  <c r="O66" i="1"/>
  <c r="N67" i="1"/>
  <c r="N33" i="1"/>
  <c r="P33" i="1" s="1"/>
  <c r="Q29" i="1"/>
  <c r="O27" i="1"/>
  <c r="Q27" i="1" s="1"/>
  <c r="P24" i="1"/>
  <c r="O19" i="1"/>
  <c r="Q19" i="1" s="1"/>
  <c r="Z38" i="2" l="1"/>
  <c r="U59" i="2"/>
  <c r="AA38" i="2" s="1"/>
  <c r="U22" i="2"/>
  <c r="AA34" i="2" s="1"/>
  <c r="Z34" i="2"/>
  <c r="U51" i="2"/>
  <c r="Z36" i="2"/>
  <c r="Z37" i="2"/>
  <c r="U55" i="2"/>
  <c r="AA37" i="2" s="1"/>
  <c r="Z35" i="2"/>
  <c r="U26" i="2"/>
  <c r="AA35" i="2" s="1"/>
  <c r="AA36" i="2" l="1"/>
  <c r="U63" i="2"/>
</calcChain>
</file>

<file path=xl/sharedStrings.xml><?xml version="1.0" encoding="utf-8"?>
<sst xmlns="http://schemas.openxmlformats.org/spreadsheetml/2006/main" count="2046" uniqueCount="427">
  <si>
    <t xml:space="preserve">Integration by </t>
  </si>
  <si>
    <t>ChemStation</t>
  </si>
  <si>
    <t>Run no.</t>
  </si>
  <si>
    <t>Sample ID</t>
  </si>
  <si>
    <t>RT</t>
  </si>
  <si>
    <t>05.07.21 GC-MS Measurement</t>
  </si>
  <si>
    <t>PE_B from 22.06.21, Derivatization of PE_B_1 to PE_B_6, C_Std_1/2/3 and PostBlk 04.07.21</t>
  </si>
  <si>
    <t>Method: PFAS_Li-Sun.m</t>
  </si>
  <si>
    <t>Injection vol. 1ul</t>
  </si>
  <si>
    <t>m/z 293</t>
  </si>
  <si>
    <t>Int. Std.</t>
  </si>
  <si>
    <t>m/z 525</t>
  </si>
  <si>
    <t>SIM_525</t>
  </si>
  <si>
    <t>SIM_525_auto</t>
  </si>
  <si>
    <t>m/z 526</t>
  </si>
  <si>
    <t>SIM_526</t>
  </si>
  <si>
    <t>SIM_526_auto</t>
  </si>
  <si>
    <t>SIM_293</t>
  </si>
  <si>
    <t>SIM_293_auto</t>
  </si>
  <si>
    <t>PE_B_PFAS_04.07_10_Blk.1</t>
  </si>
  <si>
    <t>PE_B_PFAS_04.07_10_Blk.2</t>
  </si>
  <si>
    <t>PE_B_PFAS_04.07_4_1.1</t>
  </si>
  <si>
    <t>PE_B_PFAS_04.07_4_1.2</t>
  </si>
  <si>
    <t>PE_B_PFAS_04.07_2_C_Std_2.1</t>
  </si>
  <si>
    <t>PE_B_PFAS_04.07_2_C_Std_2.2</t>
  </si>
  <si>
    <t>PE_B_PFAS_04.07_1_C_Std_1.1</t>
  </si>
  <si>
    <t>PE_B_PFAS_04.07_1_C_Std_1.2</t>
  </si>
  <si>
    <t>PE_B_PFAS_04.07_3_C_Std_3.1</t>
  </si>
  <si>
    <t>PE_B_PFAS_04.07_10_Blk.3</t>
  </si>
  <si>
    <t>PE_B_PFAS_04.07_5_2.1</t>
  </si>
  <si>
    <t>PE_B_PFAS_04.07_5_2.2</t>
  </si>
  <si>
    <t>PE_B_PFAS_04.07_6_3.1</t>
  </si>
  <si>
    <t>PE_B_PFAS_04.07_6_3.2</t>
  </si>
  <si>
    <t>PE_B_PFAS_04.07_10_Blk.4</t>
  </si>
  <si>
    <t>PE_B_PFAS_04.07_7_4.1</t>
  </si>
  <si>
    <t>PE_B_PFAS_04.07_7_4.2</t>
  </si>
  <si>
    <t>PE_B_PFAS_04.07_8_5.1</t>
  </si>
  <si>
    <t>PE_B_PFAS_04.07_8_5.2</t>
  </si>
  <si>
    <t>PE_B_PFAS_04.07_9_6.1</t>
  </si>
  <si>
    <t>PE_B_PFAS_04.07_9_6.2</t>
  </si>
  <si>
    <t>PE_B_PFAS_04.07_3_C_Std_3.2</t>
  </si>
  <si>
    <t>Theor. Conc [ppm]</t>
  </si>
  <si>
    <t>PFOA</t>
  </si>
  <si>
    <t>in n-Hex</t>
  </si>
  <si>
    <t>Comment</t>
  </si>
  <si>
    <t>Interesting peak of m/z=275</t>
  </si>
  <si>
    <t>Mean</t>
  </si>
  <si>
    <t>1:1 dilution for pw extraction</t>
  </si>
  <si>
    <t>for n-Hex = extracted solution</t>
  </si>
  <si>
    <t>in aq. Sol</t>
  </si>
  <si>
    <t>Computed Conc [ppm]</t>
  </si>
  <si>
    <t>Std-Dev</t>
  </si>
  <si>
    <t>OG pw Conc [ppm]</t>
  </si>
  <si>
    <t>Calibration Standards</t>
  </si>
  <si>
    <t>Individual GC-MS measurements</t>
  </si>
  <si>
    <t>Samples</t>
  </si>
  <si>
    <t>Area</t>
  </si>
  <si>
    <t xml:space="preserve">Init. Conc. Aq. </t>
  </si>
  <si>
    <t>Init. Mass Aq.</t>
  </si>
  <si>
    <t>PFOA [ppm]</t>
  </si>
  <si>
    <t>PFOA [ug]</t>
  </si>
  <si>
    <t>Init. Mass Aq. Pw</t>
  </si>
  <si>
    <t>Conc. n-Hex</t>
  </si>
  <si>
    <t>w/ SIM_525</t>
  </si>
  <si>
    <t>Calc Conc</t>
  </si>
  <si>
    <t>Extract sol.</t>
  </si>
  <si>
    <t>in n-Hex [ppm]</t>
  </si>
  <si>
    <t>[ppm]</t>
  </si>
  <si>
    <t>OG-pw eq.</t>
  </si>
  <si>
    <t xml:space="preserve">Calc Mass </t>
  </si>
  <si>
    <t>[ug]</t>
  </si>
  <si>
    <t>To solid phase</t>
  </si>
  <si>
    <t>Conc</t>
  </si>
  <si>
    <t>solid phase</t>
  </si>
  <si>
    <t>[ppm=ug/g]</t>
  </si>
  <si>
    <t>Soil mass in samples [g]</t>
  </si>
  <si>
    <t>Assumption</t>
  </si>
  <si>
    <t>Neglection of Vapourization and loss to labware</t>
  </si>
  <si>
    <t>Means</t>
  </si>
  <si>
    <t>PE_B_1+2</t>
  </si>
  <si>
    <t>PE_B_3+4</t>
  </si>
  <si>
    <t>PE_B_5+6</t>
  </si>
  <si>
    <t>C_aq init</t>
  </si>
  <si>
    <t>[ug/ml]</t>
  </si>
  <si>
    <t>C_aq eq.</t>
  </si>
  <si>
    <t>C_solid eq.</t>
  </si>
  <si>
    <t>[ug/g]</t>
  </si>
  <si>
    <t>Sorbed Mass</t>
  </si>
  <si>
    <t>K_d</t>
  </si>
  <si>
    <t>C_s/C_aq</t>
  </si>
  <si>
    <t>07.07.21 GC-MS Measurement</t>
  </si>
  <si>
    <t>PE_B from 22.06.21, Derivatization of PE_B_1 to PE_B_6, C_Std_1/2/3 and PostBlk 06.07.21</t>
  </si>
  <si>
    <t>PE_B_PFAS_emtpy</t>
  </si>
  <si>
    <t>PE_B_PFAS_06.07_1_C_Std_1.1</t>
  </si>
  <si>
    <t>PE_B_PFAS_06.07_10_Blk.1</t>
  </si>
  <si>
    <t>PE_B_PFAS_06.07_10_Blk.2</t>
  </si>
  <si>
    <t>PE_B_PFAS_06.07_1_C_Std_1.2</t>
  </si>
  <si>
    <t>PE_B_PFAS_06.07_2_C_Std_2.1</t>
  </si>
  <si>
    <t>PE_B_PFAS_06.07_2_C_Std_2.2</t>
  </si>
  <si>
    <t>PE_B_PFAS_06.07_3_C_Std_3.1</t>
  </si>
  <si>
    <t>PE_B_PFAS_06.07_3_C_Std_3.2</t>
  </si>
  <si>
    <t>PE_B_PFAS_06.07_4_7.1</t>
  </si>
  <si>
    <t>PE_B_PFAS_06.07_4_7.2</t>
  </si>
  <si>
    <t>PE_B_PFAS_06.07_5_8.1</t>
  </si>
  <si>
    <t>PE_B_PFAS_06.07_5_8.2</t>
  </si>
  <si>
    <t>PE_B_PFAS_06.07_6_9.1</t>
  </si>
  <si>
    <t>PE_B_PFAS_06.07_6_9.2</t>
  </si>
  <si>
    <t>PE_B_PFAS_06.07_7_10.1</t>
  </si>
  <si>
    <t>PE_B_PFAS_06.07_7_10.2</t>
  </si>
  <si>
    <t>PE_B_PFAS_06.07_8_11.1</t>
  </si>
  <si>
    <t>PE_B_PFAS_06.07_8_11.2</t>
  </si>
  <si>
    <t>PE_B_PFAS_06.07_9_12.1</t>
  </si>
  <si>
    <t>PE_B_PFAS_06.07_9_12.2</t>
  </si>
  <si>
    <t>PE_B_PFAS_06.07_10_Blk.3</t>
  </si>
  <si>
    <t>PE_B_PFAS_06.07_10_Blk.4</t>
  </si>
  <si>
    <t>Artefact from high Conc of previous measurement?</t>
  </si>
  <si>
    <t>Std. Dev</t>
  </si>
  <si>
    <t>PE_B_7+8</t>
  </si>
  <si>
    <t>PE_B_9+10</t>
  </si>
  <si>
    <t>PE_B_11+12</t>
  </si>
  <si>
    <t>C_aq</t>
  </si>
  <si>
    <t>C_aq [ppm]</t>
  </si>
  <si>
    <t>C_solid [ppm]</t>
  </si>
  <si>
    <t>Langmuir</t>
  </si>
  <si>
    <t>Langmuir Const.</t>
  </si>
  <si>
    <t>Constants</t>
  </si>
  <si>
    <t>Freundlich</t>
  </si>
  <si>
    <t>Max. Conc.</t>
  </si>
  <si>
    <t>Freundl. N</t>
  </si>
  <si>
    <t>K_oc</t>
  </si>
  <si>
    <t>f_oc</t>
  </si>
  <si>
    <t>Kd=Cs/Caq</t>
  </si>
  <si>
    <t>C_s [ppm]</t>
  </si>
  <si>
    <t>Soil 1</t>
  </si>
  <si>
    <t>Soil 2</t>
  </si>
  <si>
    <t>Soil 3</t>
  </si>
  <si>
    <t>by ITRC PFAS web page</t>
  </si>
  <si>
    <t>Theoretical</t>
  </si>
  <si>
    <t>Linear</t>
  </si>
  <si>
    <t>f_oc = 0.0285</t>
  </si>
  <si>
    <t>f_oc=0.0953</t>
  </si>
  <si>
    <t>f_oc=0.0082</t>
  </si>
  <si>
    <t>Range min</t>
  </si>
  <si>
    <t>Log(K_oc)</t>
  </si>
  <si>
    <t>Range max</t>
  </si>
  <si>
    <t>Measured</t>
  </si>
  <si>
    <t>(Single Values)</t>
  </si>
  <si>
    <t>C_s</t>
  </si>
  <si>
    <t>(Averaged Values)</t>
  </si>
  <si>
    <t>PE_B_PFAS_04.07_1</t>
  </si>
  <si>
    <t>PE_B_PFAS_04.07_2</t>
  </si>
  <si>
    <t>PE_B_PFAS_04.07_3</t>
  </si>
  <si>
    <t>PE_B_PFAS_04.07_4</t>
  </si>
  <si>
    <t>PE_B_PFAS_04.07_5</t>
  </si>
  <si>
    <t>PE_B_PFAS_04.07_6</t>
  </si>
  <si>
    <t>PE_B_PFAS_04.07_7</t>
  </si>
  <si>
    <t>PE_B_PFAS_04.07_8</t>
  </si>
  <si>
    <t>PE_B_PFAS_04.07_9</t>
  </si>
  <si>
    <t>PE_B_PFAS_04.07_10</t>
  </si>
  <si>
    <t>PE_B_PFAS_04.07_11</t>
  </si>
  <si>
    <t>PE_B_PFAS_04.07_12</t>
  </si>
  <si>
    <t>Calc. Prop. By</t>
  </si>
  <si>
    <t>log(K_d)</t>
  </si>
  <si>
    <t>log(K_oc)</t>
  </si>
  <si>
    <t>Literature values K_oc</t>
  </si>
  <si>
    <t>EPA-EPISuite via ChemSpider</t>
  </si>
  <si>
    <t>Linear Correlation w/ OC-content via K_d by f_oc and K_oc</t>
  </si>
  <si>
    <t>Linear Correlation w/ OC-content and Clay-content</t>
  </si>
  <si>
    <t>K_clay</t>
  </si>
  <si>
    <t>f_clay</t>
  </si>
  <si>
    <t>&lt; 2um</t>
  </si>
  <si>
    <r>
      <rPr>
        <b/>
        <sz val="11"/>
        <color theme="1"/>
        <rFont val="Calibri"/>
        <family val="2"/>
        <scheme val="minor"/>
      </rPr>
      <t>Kd1</t>
    </r>
    <r>
      <rPr>
        <sz val="11"/>
        <color theme="1"/>
        <rFont val="Calibri"/>
        <family val="2"/>
        <scheme val="minor"/>
      </rPr>
      <t xml:space="preserve">=K_oc*f_oc </t>
    </r>
  </si>
  <si>
    <r>
      <rPr>
        <b/>
        <sz val="11"/>
        <color theme="1"/>
        <rFont val="Calibri"/>
        <family val="2"/>
        <scheme val="minor"/>
      </rPr>
      <t>Kd2</t>
    </r>
    <r>
      <rPr>
        <sz val="11"/>
        <color theme="1"/>
        <rFont val="Calibri"/>
        <family val="2"/>
        <scheme val="minor"/>
      </rPr>
      <t>=(K_oc*f_oc )* (K_clay*f_clay)</t>
    </r>
  </si>
  <si>
    <t>Kd1</t>
  </si>
  <si>
    <t>Kd2</t>
  </si>
  <si>
    <t>Kd=Cs/Cw</t>
  </si>
  <si>
    <t>PFAS</t>
  </si>
  <si>
    <t>PE_B_PCE_22.06_1.1</t>
  </si>
  <si>
    <t>PE_B_PCE_22.06_1.2</t>
  </si>
  <si>
    <t>PE_B_PCE_22.06_2.1</t>
  </si>
  <si>
    <t>PE_B_PCE_22.06_2.2</t>
  </si>
  <si>
    <t>PE_B_PCE_22.06_3.1</t>
  </si>
  <si>
    <t>PE_B_PCE_22.06_3.2</t>
  </si>
  <si>
    <t>PE_B_PCE_22.06_4.1</t>
  </si>
  <si>
    <t>PE_B_PCE_22.06_4.2</t>
  </si>
  <si>
    <t>PE_B_PCE_22.06_5.1</t>
  </si>
  <si>
    <t>PE_B_PCE_22.06_5.2</t>
  </si>
  <si>
    <t>PE_B_PCE_22.06_6.1</t>
  </si>
  <si>
    <t>PE_B_PCE_22.06_6.2</t>
  </si>
  <si>
    <t>PE_B_PCE_22.06_7.1</t>
  </si>
  <si>
    <t>PE_B_PCE_22.06_7.2</t>
  </si>
  <si>
    <t>PE_B_PCE_22.06_8.1</t>
  </si>
  <si>
    <t>PE_B_PCE_22.06_8.2</t>
  </si>
  <si>
    <t>PE_B_PCE_22.06_9.1</t>
  </si>
  <si>
    <t>PE_B_PCE_22.06_9.2</t>
  </si>
  <si>
    <t>PE_B_PCE_22.06_9.3</t>
  </si>
  <si>
    <t>PE_B_PCE_22.06_10.1</t>
  </si>
  <si>
    <t>PE_B_PCE_22.06_10.3</t>
  </si>
  <si>
    <t>PE_B_PCE_22.06_11.1</t>
  </si>
  <si>
    <t>PE_B_PCE_22.06_11.2</t>
  </si>
  <si>
    <t>PE_B_PCE_22.06_12.1</t>
  </si>
  <si>
    <t>PE_B_PCE_22.06_12.2</t>
  </si>
  <si>
    <t>PCE</t>
  </si>
  <si>
    <t>PE_B_PCE_22.06_1</t>
  </si>
  <si>
    <t>PE_B_PCE_22.06_2</t>
  </si>
  <si>
    <t>PE_B_PCE_22.06_3</t>
  </si>
  <si>
    <t>PE_B_PCE_22.06_4</t>
  </si>
  <si>
    <t>PE_B_PCE_22.06_5</t>
  </si>
  <si>
    <t>PE_B_PCE_22.06_6</t>
  </si>
  <si>
    <t>PE_B_PCE_22.06_7</t>
  </si>
  <si>
    <t>PE_B_PCE_22.06_8</t>
  </si>
  <si>
    <t>PE_B_PCE_22.06_9</t>
  </si>
  <si>
    <t>PE_B_PCE_22.06_10</t>
  </si>
  <si>
    <t>PE_B_PCE_22.06_11</t>
  </si>
  <si>
    <t>PE_B_PCE_22.06_12</t>
  </si>
  <si>
    <t>PCE/PFAS</t>
  </si>
  <si>
    <t>Std.Dev</t>
  </si>
  <si>
    <t>Approach A</t>
  </si>
  <si>
    <t>Common K_d of PCE and PFOA</t>
  </si>
  <si>
    <t>as co-contaminants</t>
  </si>
  <si>
    <t>Std. Dev.</t>
  </si>
  <si>
    <t>K_d_combi</t>
  </si>
  <si>
    <t>K_oc_combi</t>
  </si>
  <si>
    <t>soil 1</t>
  </si>
  <si>
    <t>PCE+PFOA</t>
  </si>
  <si>
    <t>Approach B</t>
  </si>
  <si>
    <t>PCE/PFAS = 0.04</t>
  </si>
  <si>
    <t>f_oc=0.0285</t>
  </si>
  <si>
    <t>PCE/(PCE+PFOA)</t>
  </si>
  <si>
    <t>PFOA/(PCE+PFOA)</t>
  </si>
  <si>
    <t xml:space="preserve">Idea: Competition of PCE and PFOA for Sorption positions on Soil (OM) </t>
  </si>
  <si>
    <t>Problem: PCE Conc. Not high enough to explain offset of PFOA from theoretical values</t>
  </si>
  <si>
    <t>Potential Explanations Offset:</t>
  </si>
  <si>
    <t>Competition of Co-Contaminants for Sorption</t>
  </si>
  <si>
    <t>Real f_oc lower than measured in OEA</t>
  </si>
  <si>
    <t xml:space="preserve">Equilibration Time for Partitioning to short </t>
  </si>
  <si>
    <t>Approach problem in molar units, not mass units!</t>
  </si>
  <si>
    <t>Area m/z 525 (PFOA-anilide)</t>
  </si>
  <si>
    <t>Area m/z 293 (Int. Std.)</t>
  </si>
  <si>
    <t>ID</t>
  </si>
  <si>
    <t>PCE [ppm]</t>
  </si>
  <si>
    <t>PE_B_PFAS_04.07_1_C_Std_1</t>
  </si>
  <si>
    <t>PE_B_PFAS_04.07_2_C_Std_2</t>
  </si>
  <si>
    <t>PE_B_PFAS_04.07_3_C_Std_3</t>
  </si>
  <si>
    <t>PE_B_PFAS_04.07_10_Blk</t>
  </si>
  <si>
    <t>PE_B_PFAS_06.07_10_Blk</t>
  </si>
  <si>
    <t>PE_B_PFAS_06.07_1_C_Std_1</t>
  </si>
  <si>
    <t>PE_B_PFAS_06.07_2_C_Std_2</t>
  </si>
  <si>
    <t>PE_B_PFAS_06.07_3_C_Std_3</t>
  </si>
  <si>
    <t>Init. Conc.</t>
  </si>
  <si>
    <t>PE_B_1</t>
  </si>
  <si>
    <t>PE_B_2</t>
  </si>
  <si>
    <t>PE_B_3</t>
  </si>
  <si>
    <t>PE_B_4</t>
  </si>
  <si>
    <t>PE_B_5</t>
  </si>
  <si>
    <t>PE_B_6</t>
  </si>
  <si>
    <t>PE_B_7</t>
  </si>
  <si>
    <t>PE_B_8</t>
  </si>
  <si>
    <t>PE_B_9</t>
  </si>
  <si>
    <t>PE_B_10</t>
  </si>
  <si>
    <t>PE_B_11</t>
  </si>
  <si>
    <t>PE_B_12</t>
  </si>
  <si>
    <t>n-Hex [ppm]</t>
  </si>
  <si>
    <t>Sorbed</t>
  </si>
  <si>
    <t>Mass</t>
  </si>
  <si>
    <t>Conc [ppm]</t>
  </si>
  <si>
    <t>Mass [ug]</t>
  </si>
  <si>
    <t>in Eq.</t>
  </si>
  <si>
    <t>aqueous [ppm]</t>
  </si>
  <si>
    <t>aqueous [ug]</t>
  </si>
  <si>
    <t>All samples</t>
  </si>
  <si>
    <t>Incomplete Equilibration would explain higher conc in aq. Phase</t>
  </si>
  <si>
    <t>Porespace not completely saturated</t>
  </si>
  <si>
    <t>-&gt; so not all soil available for adsorption of PFAS</t>
  </si>
  <si>
    <t>Empirical</t>
  </si>
  <si>
    <t>Kd</t>
  </si>
  <si>
    <t>over all</t>
  </si>
  <si>
    <t>Averaged</t>
  </si>
  <si>
    <t>All soil 1</t>
  </si>
  <si>
    <t>Calculated from Data</t>
  </si>
  <si>
    <t>Graphical interpolation</t>
  </si>
  <si>
    <t>Averaged GC-MS measurements</t>
  </si>
  <si>
    <t>PE_B_PFAS_04.07_4_1</t>
  </si>
  <si>
    <t>PE_B_PFAS_04.07_5_2</t>
  </si>
  <si>
    <t>PE_B_PFAS_04.07_6_3</t>
  </si>
  <si>
    <t>PE_B_PFAS_04.07_7_4</t>
  </si>
  <si>
    <t>PE_B_PFAS_04.07_8_5</t>
  </si>
  <si>
    <t>PE_B_PFAS_04.07_9_6</t>
  </si>
  <si>
    <t>Interesting TRY</t>
  </si>
  <si>
    <t>w/o consideration of extraction factor</t>
  </si>
  <si>
    <t>Averaged GC-MS meas.</t>
  </si>
  <si>
    <t>PE_B_PFAS_06.07_4_7</t>
  </si>
  <si>
    <t>PE_B_PFAS_06.07_5_8</t>
  </si>
  <si>
    <t>PE_B_PFAS_06.07_6_9</t>
  </si>
  <si>
    <t>PE_B_PFAS_06.07_7_10</t>
  </si>
  <si>
    <t>PE_B_PFAS_06.07_8_11</t>
  </si>
  <si>
    <t>PE_B_PFAS_06.07_9_12</t>
  </si>
  <si>
    <t>porewater</t>
  </si>
  <si>
    <r>
      <rPr>
        <b/>
        <sz val="11"/>
        <color theme="1"/>
        <rFont val="Calibri"/>
        <family val="2"/>
        <scheme val="minor"/>
      </rPr>
      <t>Samples</t>
    </r>
    <r>
      <rPr>
        <sz val="11"/>
        <color theme="1"/>
        <rFont val="Calibri"/>
        <family val="2"/>
        <scheme val="minor"/>
      </rPr>
      <t xml:space="preserve"> w/o extract.-dil. Factor</t>
    </r>
  </si>
  <si>
    <t>Without considering dilution during extraction</t>
  </si>
  <si>
    <t>Int. Std PCNB added</t>
  </si>
  <si>
    <t>5 ul of 10 ug/ml to 1ml n-hex sample solution</t>
  </si>
  <si>
    <t>ppm</t>
  </si>
  <si>
    <t>mg/l</t>
  </si>
  <si>
    <t>ug/ml</t>
  </si>
  <si>
    <t>ng/ul</t>
  </si>
  <si>
    <t>Conc Int Std in 1ml n-hex solution is 50 ppb = 0.05 ppm</t>
  </si>
  <si>
    <t>Conc Int. Std.</t>
  </si>
  <si>
    <t>in n- hex [ppm]</t>
  </si>
  <si>
    <t>PCNB [ppm]</t>
  </si>
  <si>
    <t>Conc. n-hex</t>
  </si>
  <si>
    <t>Ratio Area</t>
  </si>
  <si>
    <t>Sam/Istd.</t>
  </si>
  <si>
    <t>Ratio Conc.</t>
  </si>
  <si>
    <t>m</t>
  </si>
  <si>
    <t>b</t>
  </si>
  <si>
    <t>All C_Std</t>
  </si>
  <si>
    <t>All C_Std Means</t>
  </si>
  <si>
    <t>525/293</t>
  </si>
  <si>
    <t>C_Int.Std [ppm]</t>
  </si>
  <si>
    <t>Conc. PFOA</t>
  </si>
  <si>
    <t>n-hex [ppm]</t>
  </si>
  <si>
    <t>With consideration</t>
  </si>
  <si>
    <t>Dilution for Extraction</t>
  </si>
  <si>
    <t>in eq [ppm]</t>
  </si>
  <si>
    <t>PFOA pw-OG</t>
  </si>
  <si>
    <t>Initial Conc.</t>
  </si>
  <si>
    <t>PFOA aq. Ppm</t>
  </si>
  <si>
    <t>Total Mass</t>
  </si>
  <si>
    <t>Mass aq</t>
  </si>
  <si>
    <t>in eq. [ug]</t>
  </si>
  <si>
    <t>in eq [ug]</t>
  </si>
  <si>
    <t>Conc solid</t>
  </si>
  <si>
    <t>Mass Calc</t>
  </si>
  <si>
    <t>Cs/Caq</t>
  </si>
  <si>
    <t>[l/kg]</t>
  </si>
  <si>
    <t>Without consideration</t>
  </si>
  <si>
    <t>C_aq = C_n-hex</t>
  </si>
  <si>
    <t>C_aq = 2* C_n-hex</t>
  </si>
  <si>
    <t>here Blk-correction</t>
  </si>
  <si>
    <t xml:space="preserve">Samples from 07.07.21 might be useless, because internal Standard added </t>
  </si>
  <si>
    <t>was not fresh, but the one from 05.07.21 (stored in fridge)</t>
  </si>
  <si>
    <t>Meas 07.07.21 unfitting for Int. Std. Calibr. Because used Int. Std not fresh, so Conc not sure</t>
  </si>
  <si>
    <t>Found by Iteration</t>
  </si>
  <si>
    <t>K_F</t>
  </si>
  <si>
    <t>PE-B_1</t>
  </si>
  <si>
    <t>PE-B_2</t>
  </si>
  <si>
    <t>PE-B_3</t>
  </si>
  <si>
    <t>PE-B_4</t>
  </si>
  <si>
    <t>PE-B_5</t>
  </si>
  <si>
    <t>PE-B_6</t>
  </si>
  <si>
    <t>PE-B_7</t>
  </si>
  <si>
    <t>PE-B_8</t>
  </si>
  <si>
    <t>PE-B_9</t>
  </si>
  <si>
    <t>PE-B_10</t>
  </si>
  <si>
    <t>PE-B_11</t>
  </si>
  <si>
    <t>PE-B_12</t>
  </si>
  <si>
    <t>Instr. Drift</t>
  </si>
  <si>
    <t>Correction</t>
  </si>
  <si>
    <t>Correction:</t>
  </si>
  <si>
    <t>Blank correction</t>
  </si>
  <si>
    <t>GC-MS meas</t>
  </si>
  <si>
    <t>525/526</t>
  </si>
  <si>
    <t>(auto/auto)</t>
  </si>
  <si>
    <t>Blks</t>
  </si>
  <si>
    <t>Max or Mean of Blank????</t>
  </si>
  <si>
    <t>Blank (mean)</t>
  </si>
  <si>
    <t>Drift Correction</t>
  </si>
  <si>
    <t>Apply on area</t>
  </si>
  <si>
    <t>Apply on conc.</t>
  </si>
  <si>
    <t>1st</t>
  </si>
  <si>
    <t>2nd</t>
  </si>
  <si>
    <t>3rd</t>
  </si>
  <si>
    <t>Sample Blk correction</t>
  </si>
  <si>
    <t>(Instrument)</t>
  </si>
  <si>
    <t>(Instr.+Derivat.)</t>
  </si>
  <si>
    <t>(Background)</t>
  </si>
  <si>
    <t>Original</t>
  </si>
  <si>
    <t>Blank Correct</t>
  </si>
  <si>
    <t>Calibration</t>
  </si>
  <si>
    <t>Correted for</t>
  </si>
  <si>
    <t>Sample Blk correct</t>
  </si>
  <si>
    <t>A) Drift</t>
  </si>
  <si>
    <t>B) Drift+Blk</t>
  </si>
  <si>
    <t>Calibr. A)</t>
  </si>
  <si>
    <t>Calibr. B)</t>
  </si>
  <si>
    <t>4th</t>
  </si>
  <si>
    <t>Extraction Dilution</t>
  </si>
  <si>
    <t>in Extract</t>
  </si>
  <si>
    <t>Solution</t>
  </si>
  <si>
    <t>Extract Correct</t>
  </si>
  <si>
    <t>Orig. Vol.</t>
  </si>
  <si>
    <t>Added Vol.</t>
  </si>
  <si>
    <t>Total Vol</t>
  </si>
  <si>
    <t>Corr. Factor</t>
  </si>
  <si>
    <t>Orig. Aq. Conc.</t>
  </si>
  <si>
    <t>Initial</t>
  </si>
  <si>
    <t>Conc.</t>
  </si>
  <si>
    <t>PFOA [µg]</t>
  </si>
  <si>
    <t>Aq. Mass</t>
  </si>
  <si>
    <t>Max</t>
  </si>
  <si>
    <t>Sorption</t>
  </si>
  <si>
    <t>Soil mass [g]</t>
  </si>
  <si>
    <t>C_s/C_w</t>
  </si>
  <si>
    <t>K_d [L/kg]</t>
  </si>
  <si>
    <t>A)</t>
  </si>
  <si>
    <t>B)</t>
  </si>
  <si>
    <t>S.D</t>
  </si>
  <si>
    <t>RSD</t>
  </si>
  <si>
    <t>Eq. Aq.</t>
  </si>
  <si>
    <t>Eq. Solid</t>
  </si>
  <si>
    <t>Calibration A)</t>
  </si>
  <si>
    <t>Calibration B)</t>
  </si>
  <si>
    <t>Apply ln(x)</t>
  </si>
  <si>
    <t>ln(PFOA)</t>
  </si>
  <si>
    <t>Conc (PFOA)</t>
  </si>
  <si>
    <t>Aqueous</t>
  </si>
  <si>
    <t>Solid</t>
  </si>
  <si>
    <t>1/n</t>
  </si>
  <si>
    <t>Original data</t>
  </si>
  <si>
    <t>Calibr A</t>
  </si>
  <si>
    <t>Original means</t>
  </si>
  <si>
    <t>Calibr B</t>
  </si>
  <si>
    <t>ln(x) data</t>
  </si>
  <si>
    <t>ln(x) w/ y0=x0</t>
  </si>
  <si>
    <t>(K_F = 1)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</si>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</sst>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0" fontId="0" fillId="2" borderId="0" xfId="0" applyFill="1"/>
    <xf numFmtId="0" fontId="0" fillId="2" borderId="9" xfId="0" applyFill="1" applyBorder="1"/>
    <xf numFmtId="0" fontId="0" fillId="2" borderId="10" xfId="0" applyFill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0" borderId="0" xfId="0" applyNumberFormat="1"/>
    <xf numFmtId="165" fontId="0" fillId="0" borderId="12" xfId="0" applyNumberFormat="1" applyBorder="1"/>
    <xf numFmtId="165" fontId="0" fillId="0" borderId="4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165" fontId="0" fillId="0" borderId="0" xfId="0" applyNumberFormat="1" applyBorder="1"/>
    <xf numFmtId="165" fontId="0" fillId="0" borderId="0" xfId="0" applyNumberFormat="1"/>
    <xf numFmtId="165" fontId="0" fillId="0" borderId="14" xfId="0" applyNumberFormat="1" applyBorder="1"/>
    <xf numFmtId="165" fontId="0" fillId="0" borderId="15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64" fontId="0" fillId="0" borderId="14" xfId="0" applyNumberFormat="1" applyBorder="1"/>
    <xf numFmtId="0" fontId="1" fillId="0" borderId="0" xfId="0" applyFont="1"/>
    <xf numFmtId="0" fontId="0" fillId="0" borderId="9" xfId="0" applyFill="1" applyBorder="1"/>
    <xf numFmtId="0" fontId="0" fillId="0" borderId="10" xfId="0" applyFill="1" applyBorder="1"/>
    <xf numFmtId="165" fontId="0" fillId="0" borderId="3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4" fontId="0" fillId="0" borderId="3" xfId="0" applyNumberFormat="1" applyBorder="1"/>
    <xf numFmtId="0" fontId="0" fillId="0" borderId="13" xfId="0" applyFill="1" applyBorder="1"/>
    <xf numFmtId="0" fontId="0" fillId="0" borderId="5" xfId="0" applyFill="1" applyBorder="1"/>
    <xf numFmtId="0" fontId="0" fillId="0" borderId="7" xfId="0" applyFill="1" applyBorder="1"/>
    <xf numFmtId="164" fontId="0" fillId="0" borderId="7" xfId="0" applyNumberFormat="1" applyBorder="1"/>
    <xf numFmtId="1" fontId="0" fillId="0" borderId="5" xfId="0" applyNumberFormat="1" applyBorder="1"/>
    <xf numFmtId="165" fontId="0" fillId="0" borderId="5" xfId="0" applyNumberFormat="1" applyBorder="1"/>
    <xf numFmtId="0" fontId="0" fillId="3" borderId="0" xfId="0" applyFill="1"/>
    <xf numFmtId="0" fontId="0" fillId="4" borderId="0" xfId="0" applyFill="1"/>
    <xf numFmtId="0" fontId="0" fillId="4" borderId="8" xfId="0" applyFill="1" applyBorder="1"/>
    <xf numFmtId="0" fontId="0" fillId="2" borderId="8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5" xfId="0" applyBorder="1"/>
    <xf numFmtId="0" fontId="0" fillId="0" borderId="16" xfId="0" applyBorder="1"/>
    <xf numFmtId="0" fontId="0" fillId="0" borderId="8" xfId="0" applyFill="1" applyBorder="1"/>
    <xf numFmtId="0" fontId="0" fillId="0" borderId="0" xfId="0" applyFill="1"/>
    <xf numFmtId="0" fontId="0" fillId="0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Fill="1" applyBorder="1"/>
    <xf numFmtId="0" fontId="0" fillId="0" borderId="28" xfId="0" applyBorder="1"/>
    <xf numFmtId="0" fontId="0" fillId="0" borderId="29" xfId="0" applyFill="1" applyBorder="1"/>
    <xf numFmtId="0" fontId="0" fillId="0" borderId="30" xfId="0" applyBorder="1"/>
    <xf numFmtId="0" fontId="0" fillId="0" borderId="31" xfId="0" applyBorder="1"/>
    <xf numFmtId="0" fontId="0" fillId="0" borderId="0" xfId="0" applyFont="1" applyBorder="1"/>
    <xf numFmtId="0" fontId="0" fillId="0" borderId="23" xfId="0" applyBorder="1"/>
    <xf numFmtId="0" fontId="0" fillId="3" borderId="0" xfId="0" applyFill="1" applyBorder="1"/>
    <xf numFmtId="14" fontId="0" fillId="0" borderId="2" xfId="0" applyNumberFormat="1" applyBorder="1"/>
    <xf numFmtId="0" fontId="0" fillId="0" borderId="32" xfId="0" applyBorder="1"/>
    <xf numFmtId="14" fontId="0" fillId="0" borderId="9" xfId="0" applyNumberFormat="1" applyBorder="1"/>
    <xf numFmtId="0" fontId="1" fillId="0" borderId="23" xfId="0" applyFont="1" applyBorder="1"/>
    <xf numFmtId="0" fontId="0" fillId="0" borderId="4" xfId="0" applyFill="1" applyBorder="1"/>
    <xf numFmtId="165" fontId="0" fillId="0" borderId="12" xfId="0" applyNumberFormat="1" applyFont="1" applyBorder="1"/>
    <xf numFmtId="165" fontId="0" fillId="0" borderId="3" xfId="0" applyNumberFormat="1" applyFont="1" applyBorder="1"/>
    <xf numFmtId="165" fontId="0" fillId="0" borderId="4" xfId="0" applyNumberFormat="1" applyFont="1" applyBorder="1"/>
    <xf numFmtId="165" fontId="0" fillId="0" borderId="13" xfId="0" applyNumberFormat="1" applyFont="1" applyBorder="1"/>
    <xf numFmtId="165" fontId="0" fillId="0" borderId="0" xfId="0" applyNumberFormat="1" applyFont="1" applyBorder="1"/>
    <xf numFmtId="165" fontId="0" fillId="0" borderId="8" xfId="0" applyNumberFormat="1" applyFont="1" applyBorder="1"/>
    <xf numFmtId="165" fontId="0" fillId="0" borderId="5" xfId="0" applyNumberFormat="1" applyFont="1" applyBorder="1"/>
    <xf numFmtId="165" fontId="0" fillId="0" borderId="7" xfId="0" applyNumberFormat="1" applyFont="1" applyBorder="1"/>
    <xf numFmtId="165" fontId="0" fillId="0" borderId="6" xfId="0" applyNumberFormat="1" applyFont="1" applyBorder="1"/>
    <xf numFmtId="0" fontId="0" fillId="0" borderId="11" xfId="0" applyFill="1" applyBorder="1"/>
    <xf numFmtId="0" fontId="0" fillId="3" borderId="10" xfId="0" applyFill="1" applyBorder="1"/>
    <xf numFmtId="0" fontId="0" fillId="3" borderId="8" xfId="0" applyFill="1" applyBorder="1"/>
    <xf numFmtId="0" fontId="0" fillId="0" borderId="33" xfId="0" applyBorder="1"/>
    <xf numFmtId="165" fontId="0" fillId="0" borderId="18" xfId="0" applyNumberFormat="1" applyBorder="1"/>
    <xf numFmtId="0" fontId="0" fillId="0" borderId="0" xfId="0" quotePrefix="1"/>
    <xf numFmtId="14" fontId="0" fillId="0" borderId="0" xfId="0" applyNumberFormat="1"/>
    <xf numFmtId="0" fontId="0" fillId="0" borderId="12" xfId="0" applyFill="1" applyBorder="1"/>
    <xf numFmtId="14" fontId="0" fillId="0" borderId="12" xfId="0" applyNumberFormat="1" applyBorder="1"/>
    <xf numFmtId="0" fontId="0" fillId="0" borderId="6" xfId="0" applyFill="1" applyBorder="1"/>
    <xf numFmtId="0" fontId="1" fillId="0" borderId="9" xfId="0" applyFont="1" applyBorder="1"/>
    <xf numFmtId="165" fontId="0" fillId="0" borderId="10" xfId="0" applyNumberFormat="1" applyBorder="1"/>
    <xf numFmtId="165" fontId="0" fillId="0" borderId="11" xfId="0" applyNumberFormat="1" applyBorder="1"/>
    <xf numFmtId="0" fontId="1" fillId="3" borderId="0" xfId="0" applyFont="1" applyFill="1"/>
    <xf numFmtId="0" fontId="0" fillId="0" borderId="34" xfId="0" applyBorder="1"/>
    <xf numFmtId="0" fontId="0" fillId="0" borderId="28" xfId="0" applyFill="1" applyBorder="1"/>
    <xf numFmtId="0" fontId="0" fillId="0" borderId="21" xfId="0" applyFill="1" applyBorder="1"/>
    <xf numFmtId="0" fontId="0" fillId="5" borderId="0" xfId="0" applyFill="1"/>
    <xf numFmtId="0" fontId="0" fillId="0" borderId="27" xfId="0" applyBorder="1"/>
    <xf numFmtId="0" fontId="0" fillId="4" borderId="0" xfId="0" applyFill="1" applyBorder="1"/>
    <xf numFmtId="0" fontId="0" fillId="0" borderId="29" xfId="0" applyBorder="1"/>
    <xf numFmtId="0" fontId="0" fillId="6" borderId="0" xfId="0" applyFill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2" xfId="0" applyBorder="1"/>
    <xf numFmtId="0" fontId="0" fillId="0" borderId="43" xfId="0" applyBorder="1"/>
    <xf numFmtId="0" fontId="1" fillId="0" borderId="33" xfId="0" applyFont="1" applyBorder="1"/>
    <xf numFmtId="0" fontId="1" fillId="0" borderId="26" xfId="0" applyFont="1" applyBorder="1"/>
    <xf numFmtId="0" fontId="0" fillId="0" borderId="34" xfId="0" applyBorder="1" applyAlignment="1">
      <alignment horizontal="center"/>
    </xf>
    <xf numFmtId="165" fontId="0" fillId="0" borderId="4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7" borderId="0" xfId="0" applyFill="1"/>
    <xf numFmtId="0" fontId="1" fillId="0" borderId="44" xfId="0" applyFont="1" applyBorder="1"/>
    <xf numFmtId="0" fontId="1" fillId="3" borderId="45" xfId="0" applyFont="1" applyFill="1" applyBorder="1"/>
    <xf numFmtId="0" fontId="0" fillId="3" borderId="6" xfId="0" applyFill="1" applyBorder="1"/>
    <xf numFmtId="0" fontId="0" fillId="8" borderId="0" xfId="0" applyFill="1" applyBorder="1"/>
    <xf numFmtId="0" fontId="0" fillId="8" borderId="0" xfId="0" applyFill="1"/>
    <xf numFmtId="0" fontId="0" fillId="8" borderId="8" xfId="0" applyFill="1" applyBorder="1"/>
    <xf numFmtId="0" fontId="0" fillId="3" borderId="5" xfId="0" applyFill="1" applyBorder="1"/>
    <xf numFmtId="0" fontId="1" fillId="6" borderId="0" xfId="0" applyFont="1" applyFill="1"/>
    <xf numFmtId="0" fontId="1" fillId="0" borderId="0" xfId="0" applyFont="1" applyFill="1" applyBorder="1"/>
    <xf numFmtId="0" fontId="1" fillId="7" borderId="46" xfId="0" applyFont="1" applyFill="1" applyBorder="1"/>
    <xf numFmtId="0" fontId="0" fillId="9" borderId="0" xfId="0" applyFill="1"/>
    <xf numFmtId="0" fontId="1" fillId="9" borderId="0" xfId="0" applyFont="1" applyFill="1"/>
    <xf numFmtId="0" fontId="1" fillId="3" borderId="46" xfId="0" applyFont="1" applyFill="1" applyBorder="1"/>
    <xf numFmtId="0" fontId="1" fillId="0" borderId="0" xfId="0" applyFont="1" applyAlignment="1">
      <alignment horizontal="right"/>
    </xf>
    <xf numFmtId="0" fontId="0" fillId="7" borderId="8" xfId="0" applyFont="1" applyFill="1" applyBorder="1"/>
    <xf numFmtId="0" fontId="1" fillId="0" borderId="0" xfId="0" applyFont="1" applyFill="1"/>
    <xf numFmtId="0" fontId="3" fillId="0" borderId="0" xfId="0" applyFont="1" applyFill="1"/>
    <xf numFmtId="0" fontId="1" fillId="6" borderId="8" xfId="0" applyFont="1" applyFill="1" applyBorder="1"/>
    <xf numFmtId="0" fontId="1" fillId="10" borderId="45" xfId="0" applyFont="1" applyFill="1" applyBorder="1"/>
    <xf numFmtId="0" fontId="1" fillId="10" borderId="0" xfId="0" applyFont="1" applyFill="1" applyBorder="1"/>
    <xf numFmtId="0" fontId="1" fillId="0" borderId="8" xfId="0" applyFont="1" applyFill="1" applyBorder="1"/>
    <xf numFmtId="0" fontId="0" fillId="0" borderId="6" xfId="0" applyFont="1" applyFill="1" applyBorder="1"/>
    <xf numFmtId="0" fontId="0" fillId="0" borderId="11" xfId="0" applyFont="1" applyBorder="1"/>
    <xf numFmtId="0" fontId="0" fillId="0" borderId="7" xfId="0" applyFont="1" applyBorder="1"/>
    <xf numFmtId="0" fontId="0" fillId="0" borderId="6" xfId="0" applyFont="1" applyBorder="1"/>
    <xf numFmtId="165" fontId="0" fillId="0" borderId="9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  <a:r>
              <a:rPr lang="en-US" baseline="0"/>
              <a:t> w/o Corrections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C_Std by SIM_525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95319335083112"/>
                  <c:y val="-7.6640055409740476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(Raw_data!$L$7:$L$8,Raw_data!$L$11:$L$16)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  <c:pt idx="4">
                  <c:v>0.25</c:v>
                </c:pt>
                <c:pt idx="5">
                  <c:v>0.25</c:v>
                </c:pt>
                <c:pt idx="6">
                  <c:v>5</c:v>
                </c:pt>
                <c:pt idx="7">
                  <c:v>5</c:v>
                </c:pt>
              </c:numCache>
            </c:numRef>
          </c:xVal>
          <c:yVal>
            <c:numRef>
              <c:f>(Raw_data!$G$7:$G$8,Raw_data!$G$11:$G$16)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853878</c:v>
                </c:pt>
                <c:pt idx="3">
                  <c:v>985732</c:v>
                </c:pt>
                <c:pt idx="4">
                  <c:v>109206</c:v>
                </c:pt>
                <c:pt idx="5">
                  <c:v>117140</c:v>
                </c:pt>
                <c:pt idx="6">
                  <c:v>2317099</c:v>
                </c:pt>
                <c:pt idx="7">
                  <c:v>2155583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D24-43D2-BB3F-190FC05BDEE5}"/>
            </c:ext>
          </c:extLst>
        </c:ser>
        <c:ser>
          <c:idx val="1"/>
          <c:order val="1"/>
          <c:tx>
            <c:v>C_Std by SIM_525_auto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396135555588889E-2"/>
                  <c:y val="0.34447677794735149"/>
                </c:manualLayout>
              </c:layout>
              <c:numFmt formatCode="#,##0.000" sourceLinked="0"/>
              <c:spPr>
                <a:noFill/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(Raw_data!$L$7:$L$8,Raw_data!$L$11:$L$16)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  <c:pt idx="4">
                  <c:v>0.25</c:v>
                </c:pt>
                <c:pt idx="5">
                  <c:v>0.25</c:v>
                </c:pt>
                <c:pt idx="6">
                  <c:v>5</c:v>
                </c:pt>
                <c:pt idx="7">
                  <c:v>5</c:v>
                </c:pt>
              </c:numCache>
            </c:numRef>
          </c:xVal>
          <c:yVal>
            <c:numRef>
              <c:f>(Raw_data!$H$7:$H$8,Raw_data!$H$11:$H$16)</c:f>
              <c:numCache>
                <c:formatCode>General</c:formatCode>
                <c:ptCount val="8"/>
                <c:pt idx="0">
                  <c:v>6254</c:v>
                </c:pt>
                <c:pt idx="1">
                  <c:v>0</c:v>
                </c:pt>
                <c:pt idx="2">
                  <c:v>853878</c:v>
                </c:pt>
                <c:pt idx="3">
                  <c:v>984415</c:v>
                </c:pt>
                <c:pt idx="4">
                  <c:v>110241</c:v>
                </c:pt>
                <c:pt idx="5">
                  <c:v>117133</c:v>
                </c:pt>
                <c:pt idx="6">
                  <c:v>2313151</c:v>
                </c:pt>
                <c:pt idx="7">
                  <c:v>2145706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D24-43D2-BB3F-190FC05BD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092128"/>
        <c:axId val="429089832"/>
      </c:scatterChart>
      <c:valAx>
        <c:axId val="4290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89832"/>
        <c:crosses val="autoZero"/>
        <c:crossBetween val="midCat"/>
      </c:valAx>
      <c:valAx>
        <c:axId val="42908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9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K_d</a:t>
            </a:r>
            <a:r>
              <a:rPr lang="en-US" baseline="0"/>
              <a:t> with initial conc.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(Processing_final!$AR$17:$AR$24,Processing_final!$AR$33:$AR$44)</c:f>
              <c:numCache>
                <c:formatCode>General</c:formatCode>
                <c:ptCount val="2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xVal>
          <c:yVal>
            <c:numRef>
              <c:f>(Processing_final!$AX$17:$AX$24,Processing_final!$AX$33:$AX$44)</c:f>
              <c:numCache>
                <c:formatCode>General</c:formatCode>
                <c:ptCount val="20"/>
                <c:pt idx="0">
                  <c:v>1.0791143046061511</c:v>
                </c:pt>
                <c:pt idx="1">
                  <c:v>0.83781971133303157</c:v>
                </c:pt>
                <c:pt idx="2">
                  <c:v>0.92924497219901414</c:v>
                </c:pt>
                <c:pt idx="3">
                  <c:v>0.4876653455393028</c:v>
                </c:pt>
                <c:pt idx="4">
                  <c:v>0.50234226078994892</c:v>
                </c:pt>
                <c:pt idx="5">
                  <c:v>0.61207826659603148</c:v>
                </c:pt>
                <c:pt idx="6">
                  <c:v>0.79121554178250841</c:v>
                </c:pt>
                <c:pt idx="7">
                  <c:v>0.69064948304421192</c:v>
                </c:pt>
                <c:pt idx="8">
                  <c:v>1.1381896540615319</c:v>
                </c:pt>
                <c:pt idx="9">
                  <c:v>0.67595774786757212</c:v>
                </c:pt>
                <c:pt idx="10">
                  <c:v>1.456696571014076</c:v>
                </c:pt>
                <c:pt idx="11">
                  <c:v>1.2377332874589488</c:v>
                </c:pt>
                <c:pt idx="12">
                  <c:v>0.85413700225277611</c:v>
                </c:pt>
                <c:pt idx="13">
                  <c:v>0.50876983615551119</c:v>
                </c:pt>
                <c:pt idx="14">
                  <c:v>0.43991669872930683</c:v>
                </c:pt>
                <c:pt idx="15">
                  <c:v>0.4079308482677112</c:v>
                </c:pt>
                <c:pt idx="16">
                  <c:v>0.26447914256851018</c:v>
                </c:pt>
                <c:pt idx="17">
                  <c:v>0.12989129498078777</c:v>
                </c:pt>
                <c:pt idx="18">
                  <c:v>0.55251771039348185</c:v>
                </c:pt>
                <c:pt idx="19">
                  <c:v>0.47633787616895062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8-406D-B209-7F8F6BB132DA}"/>
            </c:ext>
          </c:extLst>
        </c:ser>
        <c:ser>
          <c:idx val="1"/>
          <c:order val="1"/>
          <c:tx>
            <c:v>Calibration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(Processing_final!$AR$17:$AR$24,Processing_final!$AR$33:$AR$44)</c:f>
              <c:numCache>
                <c:formatCode>General</c:formatCode>
                <c:ptCount val="2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xVal>
          <c:yVal>
            <c:numRef>
              <c:f>(Processing_final!$AY$17:$AY$24,Processing_final!$AY$33:$AY$44)</c:f>
              <c:numCache>
                <c:formatCode>General</c:formatCode>
                <c:ptCount val="20"/>
                <c:pt idx="0">
                  <c:v>1.0748750754995815</c:v>
                </c:pt>
                <c:pt idx="1">
                  <c:v>0.83427204680661371</c:v>
                </c:pt>
                <c:pt idx="2">
                  <c:v>0.92543527746591636</c:v>
                </c:pt>
                <c:pt idx="3">
                  <c:v>0.48512124414160512</c:v>
                </c:pt>
                <c:pt idx="4">
                  <c:v>0.49975609448480507</c:v>
                </c:pt>
                <c:pt idx="5">
                  <c:v>0.60917759040588193</c:v>
                </c:pt>
                <c:pt idx="6">
                  <c:v>0.7878014475632874</c:v>
                </c:pt>
                <c:pt idx="7">
                  <c:v>0.68752361709917431</c:v>
                </c:pt>
                <c:pt idx="8">
                  <c:v>0.98465210326881702</c:v>
                </c:pt>
                <c:pt idx="9">
                  <c:v>0.59758903849783651</c:v>
                </c:pt>
                <c:pt idx="10">
                  <c:v>1.2385111838485234</c:v>
                </c:pt>
                <c:pt idx="11">
                  <c:v>1.0650780993939555</c:v>
                </c:pt>
                <c:pt idx="12">
                  <c:v>0.79765090300042496</c:v>
                </c:pt>
                <c:pt idx="13">
                  <c:v>0.47796462142359358</c:v>
                </c:pt>
                <c:pt idx="14">
                  <c:v>0.41333733576401416</c:v>
                </c:pt>
                <c:pt idx="15">
                  <c:v>0.3832119854468794</c:v>
                </c:pt>
                <c:pt idx="16">
                  <c:v>0.25470657391675727</c:v>
                </c:pt>
                <c:pt idx="17">
                  <c:v>0.12331145594721672</c:v>
                </c:pt>
                <c:pt idx="18">
                  <c:v>0.53387496263883794</c:v>
                </c:pt>
                <c:pt idx="19">
                  <c:v>0.46030958779187381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8-406D-B209-7F8F6BB1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80112"/>
        <c:axId val="689580440"/>
      </c:scatterChart>
      <c:valAx>
        <c:axId val="6895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concentration</a:t>
                </a:r>
                <a:r>
                  <a:rPr lang="en-US" baseline="0"/>
                  <a:t> PFOA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80440"/>
        <c:crosses val="autoZero"/>
        <c:crossBetween val="midCat"/>
      </c:valAx>
      <c:valAx>
        <c:axId val="6895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Partitioning coefficient Kd [L/kg]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8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Partitioning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(Processing_final!$AN$17:$AN$24,Processing_final!$AN$33:$AN$44)</c:f>
              <c:numCache>
                <c:formatCode>General</c:formatCode>
                <c:ptCount val="20"/>
                <c:pt idx="0">
                  <c:v>0.67608027106889046</c:v>
                </c:pt>
                <c:pt idx="1">
                  <c:v>0.80787209223149392</c:v>
                </c:pt>
                <c:pt idx="2">
                  <c:v>0.75230677633910237</c:v>
                </c:pt>
                <c:pt idx="3">
                  <c:v>1.1265506815436712</c:v>
                </c:pt>
                <c:pt idx="4">
                  <c:v>3.3246808116619428</c:v>
                </c:pt>
                <c:pt idx="5">
                  <c:v>2.9641976307722082</c:v>
                </c:pt>
                <c:pt idx="6">
                  <c:v>2.5184359125392763</c:v>
                </c:pt>
                <c:pt idx="7">
                  <c:v>2.7506545839332586</c:v>
                </c:pt>
                <c:pt idx="8">
                  <c:v>3.2505744573159028</c:v>
                </c:pt>
                <c:pt idx="9">
                  <c:v>4.6470226269660131</c:v>
                </c:pt>
                <c:pt idx="10">
                  <c:v>2.6929548306695796</c:v>
                </c:pt>
                <c:pt idx="11">
                  <c:v>3.0530001669306177</c:v>
                </c:pt>
                <c:pt idx="12">
                  <c:v>7.9736105242387714</c:v>
                </c:pt>
                <c:pt idx="13">
                  <c:v>11.003886355102098</c:v>
                </c:pt>
                <c:pt idx="14">
                  <c:v>11.905942595413093</c:v>
                </c:pt>
                <c:pt idx="15">
                  <c:v>12.377296920201838</c:v>
                </c:pt>
                <c:pt idx="16">
                  <c:v>30.098762652942003</c:v>
                </c:pt>
                <c:pt idx="17">
                  <c:v>37.743590410793857</c:v>
                </c:pt>
                <c:pt idx="18">
                  <c:v>20.996984918777066</c:v>
                </c:pt>
                <c:pt idx="19">
                  <c:v>22.822247610057843</c:v>
                </c:pt>
              </c:numCache>
            </c:numRef>
          </c:xVal>
          <c:yVal>
            <c:numRef>
              <c:f>(Processing_final!$AU$17:$AU$24,Processing_final!$AU$33:$AU$44)</c:f>
              <c:numCache>
                <c:formatCode>General</c:formatCode>
                <c:ptCount val="20"/>
                <c:pt idx="0">
                  <c:v>0.72956789157244384</c:v>
                </c:pt>
                <c:pt idx="1">
                  <c:v>0.67685116310740245</c:v>
                </c:pt>
                <c:pt idx="2">
                  <c:v>0.6990772894643591</c:v>
                </c:pt>
                <c:pt idx="3">
                  <c:v>0.54937972738253149</c:v>
                </c:pt>
                <c:pt idx="4">
                  <c:v>1.6701276753352228</c:v>
                </c:pt>
                <c:pt idx="5">
                  <c:v>1.8143209476911166</c:v>
                </c:pt>
                <c:pt idx="6">
                  <c:v>1.9926256349842895</c:v>
                </c:pt>
                <c:pt idx="7">
                  <c:v>1.8997381664266968</c:v>
                </c:pt>
                <c:pt idx="8">
                  <c:v>3.6997702170736391</c:v>
                </c:pt>
                <c:pt idx="9">
                  <c:v>3.1411909492135948</c:v>
                </c:pt>
                <c:pt idx="10">
                  <c:v>3.9228180677321682</c:v>
                </c:pt>
                <c:pt idx="11">
                  <c:v>3.7787999332277531</c:v>
                </c:pt>
                <c:pt idx="12">
                  <c:v>6.8105557903044911</c:v>
                </c:pt>
                <c:pt idx="13">
                  <c:v>5.5984454579591603</c:v>
                </c:pt>
                <c:pt idx="14">
                  <c:v>5.2376229618347629</c:v>
                </c:pt>
                <c:pt idx="15">
                  <c:v>5.0490812319192653</c:v>
                </c:pt>
                <c:pt idx="16">
                  <c:v>7.9604949388231985</c:v>
                </c:pt>
                <c:pt idx="17">
                  <c:v>4.9025638356824572</c:v>
                </c:pt>
                <c:pt idx="18">
                  <c:v>11.601206032489173</c:v>
                </c:pt>
                <c:pt idx="19">
                  <c:v>10.871100955976862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5-4BFE-96F5-959128CB20C9}"/>
            </c:ext>
          </c:extLst>
        </c:ser>
        <c:ser>
          <c:idx val="1"/>
          <c:order val="1"/>
          <c:tx>
            <c:v>Calibration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(Processing_final!$AO$17:$AO$24,Processing_final!$AO$33:$AO$44)</c:f>
              <c:numCache>
                <c:formatCode>General</c:formatCode>
                <c:ptCount val="20"/>
                <c:pt idx="0">
                  <c:v>0.67802352661039589</c:v>
                </c:pt>
                <c:pt idx="1">
                  <c:v>0.81019415661827787</c:v>
                </c:pt>
                <c:pt idx="2">
                  <c:v>0.75446912950128187</c:v>
                </c:pt>
                <c:pt idx="3">
                  <c:v>1.1297887228656509</c:v>
                </c:pt>
                <c:pt idx="4">
                  <c:v>3.3342369319740834</c:v>
                </c:pt>
                <c:pt idx="5">
                  <c:v>2.9727176153341133</c:v>
                </c:pt>
                <c:pt idx="6">
                  <c:v>2.5256746455010162</c:v>
                </c:pt>
                <c:pt idx="7">
                  <c:v>2.7585607823415401</c:v>
                </c:pt>
                <c:pt idx="8">
                  <c:v>3.611015350495804</c:v>
                </c:pt>
                <c:pt idx="9">
                  <c:v>5.0120839414283953</c:v>
                </c:pt>
                <c:pt idx="10">
                  <c:v>3.0515507304967158</c:v>
                </c:pt>
                <c:pt idx="11">
                  <c:v>3.4127873470146755</c:v>
                </c:pt>
                <c:pt idx="12">
                  <c:v>8.3496785039341734</c:v>
                </c:pt>
                <c:pt idx="13">
                  <c:v>11.389980593734286</c:v>
                </c:pt>
                <c:pt idx="14">
                  <c:v>12.295021463150256</c:v>
                </c:pt>
                <c:pt idx="15">
                  <c:v>12.767935355706122</c:v>
                </c:pt>
                <c:pt idx="16">
                  <c:v>30.548036016120562</c:v>
                </c:pt>
                <c:pt idx="17">
                  <c:v>38.218158178477331</c:v>
                </c:pt>
                <c:pt idx="18">
                  <c:v>21.416143274134118</c:v>
                </c:pt>
                <c:pt idx="19">
                  <c:v>23.247445203224217</c:v>
                </c:pt>
              </c:numCache>
            </c:numRef>
          </c:xVal>
          <c:yVal>
            <c:numRef>
              <c:f>(Processing_final!$AW$17:$AW$24,Processing_final!$AW$33:$AW$44)</c:f>
              <c:numCache>
                <c:formatCode>General</c:formatCode>
                <c:ptCount val="20"/>
                <c:pt idx="0">
                  <c:v>0.72879058935584173</c:v>
                </c:pt>
                <c:pt idx="1">
                  <c:v>0.67592233735268881</c:v>
                </c:pt>
                <c:pt idx="2">
                  <c:v>0.69821234819948719</c:v>
                </c:pt>
                <c:pt idx="3">
                  <c:v>0.54808451085373966</c:v>
                </c:pt>
                <c:pt idx="4">
                  <c:v>1.6663052272103667</c:v>
                </c:pt>
                <c:pt idx="5">
                  <c:v>1.8109129538663544</c:v>
                </c:pt>
                <c:pt idx="6">
                  <c:v>1.9897301417995934</c:v>
                </c:pt>
                <c:pt idx="7">
                  <c:v>1.8965756870633839</c:v>
                </c:pt>
                <c:pt idx="8">
                  <c:v>3.5555938598016779</c:v>
                </c:pt>
                <c:pt idx="9">
                  <c:v>2.9951664234286417</c:v>
                </c:pt>
                <c:pt idx="10">
                  <c:v>3.7793797078013136</c:v>
                </c:pt>
                <c:pt idx="11">
                  <c:v>3.6348850611941304</c:v>
                </c:pt>
                <c:pt idx="12">
                  <c:v>6.660128598426331</c:v>
                </c:pt>
                <c:pt idx="13">
                  <c:v>5.4440077625062857</c:v>
                </c:pt>
                <c:pt idx="14">
                  <c:v>5.0819914147398979</c:v>
                </c:pt>
                <c:pt idx="15">
                  <c:v>4.8928258577175514</c:v>
                </c:pt>
                <c:pt idx="16">
                  <c:v>7.7807855935517747</c:v>
                </c:pt>
                <c:pt idx="17">
                  <c:v>4.7127367286090678</c:v>
                </c:pt>
                <c:pt idx="18">
                  <c:v>11.433542690346354</c:v>
                </c:pt>
                <c:pt idx="19">
                  <c:v>10.701021918710314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5-4BFE-96F5-959128CB20C9}"/>
            </c:ext>
          </c:extLst>
        </c:ser>
        <c:ser>
          <c:idx val="2"/>
          <c:order val="2"/>
          <c:tx>
            <c:v>Means_Calibration A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Processing_final!$BB$3:$BB$7</c:f>
              <c:numCache>
                <c:formatCode>General</c:formatCode>
                <c:ptCount val="5"/>
                <c:pt idx="0">
                  <c:v>0.84070245529578946</c:v>
                </c:pt>
                <c:pt idx="1">
                  <c:v>2.8894922347266716</c:v>
                </c:pt>
                <c:pt idx="2">
                  <c:v>3.4108880204705283</c:v>
                </c:pt>
                <c:pt idx="3">
                  <c:v>10.81518409873895</c:v>
                </c:pt>
                <c:pt idx="4">
                  <c:v>27.91539639814269</c:v>
                </c:pt>
              </c:numCache>
            </c:numRef>
          </c:xVal>
          <c:yVal>
            <c:numRef>
              <c:f>Processing_final!$BC$3:$BC$7</c:f>
              <c:numCache>
                <c:formatCode>General</c:formatCode>
                <c:ptCount val="5"/>
                <c:pt idx="0">
                  <c:v>0.66371901788168419</c:v>
                </c:pt>
                <c:pt idx="1">
                  <c:v>1.8442031061093314</c:v>
                </c:pt>
                <c:pt idx="2">
                  <c:v>3.6356447918117887</c:v>
                </c:pt>
                <c:pt idx="3">
                  <c:v>5.6739263605044208</c:v>
                </c:pt>
                <c:pt idx="4">
                  <c:v>8.8338414407429227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65-4BFE-96F5-959128CB20C9}"/>
            </c:ext>
          </c:extLst>
        </c:ser>
        <c:ser>
          <c:idx val="3"/>
          <c:order val="3"/>
          <c:tx>
            <c:v>Means_Calibration B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4647537845563841E-3"/>
                  <c:y val="0.18019272942517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Processing_final!$BB$11:$BB$15</c:f>
              <c:numCache>
                <c:formatCode>General</c:formatCode>
                <c:ptCount val="5"/>
                <c:pt idx="0">
                  <c:v>0.84311888389890166</c:v>
                </c:pt>
                <c:pt idx="1">
                  <c:v>2.8977974937876882</c:v>
                </c:pt>
                <c:pt idx="2">
                  <c:v>3.7718593423588977</c:v>
                </c:pt>
                <c:pt idx="3">
                  <c:v>11.200653979131209</c:v>
                </c:pt>
                <c:pt idx="4">
                  <c:v>28.357445667989055</c:v>
                </c:pt>
              </c:numCache>
            </c:numRef>
          </c:xVal>
          <c:yVal>
            <c:numRef>
              <c:f>Processing_final!$BC$11:$BC$15</c:f>
              <c:numCache>
                <c:formatCode>General</c:formatCode>
                <c:ptCount val="5"/>
                <c:pt idx="0">
                  <c:v>0.66275244644043929</c:v>
                </c:pt>
                <c:pt idx="1">
                  <c:v>1.8408810024849247</c:v>
                </c:pt>
                <c:pt idx="2">
                  <c:v>3.4912562630564405</c:v>
                </c:pt>
                <c:pt idx="3">
                  <c:v>5.5197384083475169</c:v>
                </c:pt>
                <c:pt idx="4">
                  <c:v>8.6570217328043775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65-4BFE-96F5-959128CB2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80112"/>
        <c:axId val="689580440"/>
      </c:scatterChart>
      <c:valAx>
        <c:axId val="6895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aqueous</a:t>
                </a:r>
                <a:r>
                  <a:rPr lang="en-US" baseline="0"/>
                  <a:t>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80440"/>
        <c:crosses val="autoZero"/>
        <c:crossBetween val="midCat"/>
      </c:valAx>
      <c:valAx>
        <c:axId val="6895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solid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8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Calib_A_original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3419801691455236E-2"/>
                  <c:y val="-2.9231758530183727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('Lin.Corr.Cs-Caq'!$D$12:$D$19,'Lin.Corr.Cs-Caq'!$D$28:$D$39)</c:f>
              <c:numCache>
                <c:formatCode>General</c:formatCode>
                <c:ptCount val="20"/>
                <c:pt idx="0">
                  <c:v>0.67608027106889046</c:v>
                </c:pt>
                <c:pt idx="1">
                  <c:v>0.80787209223149392</c:v>
                </c:pt>
                <c:pt idx="2">
                  <c:v>0.75230677633910237</c:v>
                </c:pt>
                <c:pt idx="3">
                  <c:v>1.1265506815436712</c:v>
                </c:pt>
                <c:pt idx="4">
                  <c:v>3.3246808116619428</c:v>
                </c:pt>
                <c:pt idx="5">
                  <c:v>2.9641976307722082</c:v>
                </c:pt>
                <c:pt idx="6">
                  <c:v>2.5184359125392763</c:v>
                </c:pt>
                <c:pt idx="7">
                  <c:v>2.7506545839332586</c:v>
                </c:pt>
                <c:pt idx="8">
                  <c:v>3.2505744573159028</c:v>
                </c:pt>
                <c:pt idx="9">
                  <c:v>4.6470226269660131</c:v>
                </c:pt>
                <c:pt idx="10">
                  <c:v>2.6929548306695796</c:v>
                </c:pt>
                <c:pt idx="11">
                  <c:v>3.0530001669306177</c:v>
                </c:pt>
                <c:pt idx="12">
                  <c:v>7.9736105242387714</c:v>
                </c:pt>
                <c:pt idx="13">
                  <c:v>11.003886355102098</c:v>
                </c:pt>
                <c:pt idx="14">
                  <c:v>11.905942595413093</c:v>
                </c:pt>
                <c:pt idx="15">
                  <c:v>12.377296920201838</c:v>
                </c:pt>
                <c:pt idx="16">
                  <c:v>30.098762652942003</c:v>
                </c:pt>
                <c:pt idx="17">
                  <c:v>37.743590410793857</c:v>
                </c:pt>
                <c:pt idx="18">
                  <c:v>20.996984918777066</c:v>
                </c:pt>
                <c:pt idx="19">
                  <c:v>22.822247610057843</c:v>
                </c:pt>
              </c:numCache>
            </c:numRef>
          </c:xVal>
          <c:yVal>
            <c:numRef>
              <c:f>('Lin.Corr.Cs-Caq'!$F$12:$F$19,'Lin.Corr.Cs-Caq'!$F$28:$F$35,'Lin.Corr.Cs-Caq'!$F$36:$F$39)</c:f>
              <c:numCache>
                <c:formatCode>General</c:formatCode>
                <c:ptCount val="20"/>
                <c:pt idx="0">
                  <c:v>0.72956789157244384</c:v>
                </c:pt>
                <c:pt idx="1">
                  <c:v>0.67685116310740245</c:v>
                </c:pt>
                <c:pt idx="2">
                  <c:v>0.6990772894643591</c:v>
                </c:pt>
                <c:pt idx="3">
                  <c:v>0.54937972738253149</c:v>
                </c:pt>
                <c:pt idx="4">
                  <c:v>1.6701276753352228</c:v>
                </c:pt>
                <c:pt idx="5">
                  <c:v>1.8143209476911166</c:v>
                </c:pt>
                <c:pt idx="6">
                  <c:v>1.9926256349842895</c:v>
                </c:pt>
                <c:pt idx="7">
                  <c:v>1.8997381664266968</c:v>
                </c:pt>
                <c:pt idx="8">
                  <c:v>3.6997702170736391</c:v>
                </c:pt>
                <c:pt idx="9">
                  <c:v>3.1411909492135948</c:v>
                </c:pt>
                <c:pt idx="10">
                  <c:v>3.9228180677321682</c:v>
                </c:pt>
                <c:pt idx="11">
                  <c:v>3.7787999332277531</c:v>
                </c:pt>
                <c:pt idx="12">
                  <c:v>6.8105557903044911</c:v>
                </c:pt>
                <c:pt idx="13">
                  <c:v>5.5984454579591603</c:v>
                </c:pt>
                <c:pt idx="14">
                  <c:v>5.2376229618347629</c:v>
                </c:pt>
                <c:pt idx="15">
                  <c:v>5.0490812319192653</c:v>
                </c:pt>
                <c:pt idx="16">
                  <c:v>7.9604949388231985</c:v>
                </c:pt>
                <c:pt idx="17">
                  <c:v>4.9025638356824572</c:v>
                </c:pt>
                <c:pt idx="18">
                  <c:v>11.601206032489173</c:v>
                </c:pt>
                <c:pt idx="19">
                  <c:v>10.871100955976862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3-4DC1-9849-06B826C026F2}"/>
            </c:ext>
          </c:extLst>
        </c:ser>
        <c:ser>
          <c:idx val="1"/>
          <c:order val="1"/>
          <c:tx>
            <c:v>Calib_B_original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8779673374161566E-2"/>
                  <c:y val="0.32481548556430451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('Lin.Corr.Cs-Caq'!$E$12:$E$19,'Lin.Corr.Cs-Caq'!$E$28:$E$35,'Lin.Corr.Cs-Caq'!$E$36:$E$39)</c:f>
              <c:numCache>
                <c:formatCode>General</c:formatCode>
                <c:ptCount val="20"/>
                <c:pt idx="0">
                  <c:v>0.67802352661039589</c:v>
                </c:pt>
                <c:pt idx="1">
                  <c:v>0.81019415661827787</c:v>
                </c:pt>
                <c:pt idx="2">
                  <c:v>0.75446912950128187</c:v>
                </c:pt>
                <c:pt idx="3">
                  <c:v>1.1297887228656509</c:v>
                </c:pt>
                <c:pt idx="4">
                  <c:v>3.3342369319740834</c:v>
                </c:pt>
                <c:pt idx="5">
                  <c:v>2.9727176153341133</c:v>
                </c:pt>
                <c:pt idx="6">
                  <c:v>2.5256746455010162</c:v>
                </c:pt>
                <c:pt idx="7">
                  <c:v>2.7585607823415401</c:v>
                </c:pt>
                <c:pt idx="8">
                  <c:v>3.611015350495804</c:v>
                </c:pt>
                <c:pt idx="9">
                  <c:v>5.0120839414283953</c:v>
                </c:pt>
                <c:pt idx="10">
                  <c:v>3.0515507304967158</c:v>
                </c:pt>
                <c:pt idx="11">
                  <c:v>3.4127873470146755</c:v>
                </c:pt>
                <c:pt idx="12">
                  <c:v>8.3496785039341734</c:v>
                </c:pt>
                <c:pt idx="13">
                  <c:v>11.389980593734286</c:v>
                </c:pt>
                <c:pt idx="14">
                  <c:v>12.295021463150256</c:v>
                </c:pt>
                <c:pt idx="15">
                  <c:v>12.767935355706122</c:v>
                </c:pt>
                <c:pt idx="16">
                  <c:v>30.548036016120562</c:v>
                </c:pt>
                <c:pt idx="17">
                  <c:v>38.218158178477331</c:v>
                </c:pt>
                <c:pt idx="18">
                  <c:v>21.416143274134118</c:v>
                </c:pt>
                <c:pt idx="19">
                  <c:v>23.247445203224217</c:v>
                </c:pt>
              </c:numCache>
            </c:numRef>
          </c:xVal>
          <c:yVal>
            <c:numRef>
              <c:f>('Lin.Corr.Cs-Caq'!$G$12:$G$19,'Lin.Corr.Cs-Caq'!$G$28:$G$35,'Lin.Corr.Cs-Caq'!$G$36:$G$39)</c:f>
              <c:numCache>
                <c:formatCode>General</c:formatCode>
                <c:ptCount val="20"/>
                <c:pt idx="0">
                  <c:v>0.72879058935584173</c:v>
                </c:pt>
                <c:pt idx="1">
                  <c:v>0.67592233735268881</c:v>
                </c:pt>
                <c:pt idx="2">
                  <c:v>0.69821234819948719</c:v>
                </c:pt>
                <c:pt idx="3">
                  <c:v>0.54808451085373966</c:v>
                </c:pt>
                <c:pt idx="4">
                  <c:v>1.6663052272103667</c:v>
                </c:pt>
                <c:pt idx="5">
                  <c:v>1.8109129538663544</c:v>
                </c:pt>
                <c:pt idx="6">
                  <c:v>1.9897301417995934</c:v>
                </c:pt>
                <c:pt idx="7">
                  <c:v>1.8965756870633839</c:v>
                </c:pt>
                <c:pt idx="8">
                  <c:v>3.5555938598016779</c:v>
                </c:pt>
                <c:pt idx="9">
                  <c:v>2.9951664234286417</c:v>
                </c:pt>
                <c:pt idx="10">
                  <c:v>3.7793797078013136</c:v>
                </c:pt>
                <c:pt idx="11">
                  <c:v>3.6348850611941304</c:v>
                </c:pt>
                <c:pt idx="12">
                  <c:v>6.660128598426331</c:v>
                </c:pt>
                <c:pt idx="13">
                  <c:v>5.4440077625062857</c:v>
                </c:pt>
                <c:pt idx="14">
                  <c:v>5.0819914147398979</c:v>
                </c:pt>
                <c:pt idx="15">
                  <c:v>4.8928258577175514</c:v>
                </c:pt>
                <c:pt idx="16">
                  <c:v>7.7807855935517747</c:v>
                </c:pt>
                <c:pt idx="17">
                  <c:v>4.7127367286090678</c:v>
                </c:pt>
                <c:pt idx="18">
                  <c:v>11.433542690346354</c:v>
                </c:pt>
                <c:pt idx="19">
                  <c:v>10.701021918710314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3-4DC1-9849-06B826C026F2}"/>
            </c:ext>
          </c:extLst>
        </c:ser>
        <c:ser>
          <c:idx val="2"/>
          <c:order val="2"/>
          <c:tx>
            <c:v>Calib_A_orig_means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34256853310002916"/>
                  <c:y val="-0.16801259842519686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  <a:prstDash val="lg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('Lin.Corr.Cs-Caq'!$H$12,'Lin.Corr.Cs-Caq'!$H$16,'Lin.Corr.Cs-Caq'!$H$28,'Lin.Corr.Cs-Caq'!$H$32,'Lin.Corr.Cs-Caq'!$H$36)</c:f>
              <c:numCache>
                <c:formatCode>General</c:formatCode>
                <c:ptCount val="5"/>
                <c:pt idx="0">
                  <c:v>0.84070245529578946</c:v>
                </c:pt>
                <c:pt idx="1">
                  <c:v>2.8894922347266716</c:v>
                </c:pt>
                <c:pt idx="2">
                  <c:v>3.4108880204705283</c:v>
                </c:pt>
                <c:pt idx="3">
                  <c:v>10.81518409873895</c:v>
                </c:pt>
                <c:pt idx="4">
                  <c:v>27.91539639814269</c:v>
                </c:pt>
              </c:numCache>
            </c:numRef>
          </c:xVal>
          <c:yVal>
            <c:numRef>
              <c:f>('Lin.Corr.Cs-Caq'!$I$12,'Lin.Corr.Cs-Caq'!$I$16,'Lin.Corr.Cs-Caq'!$I$28,'Lin.Corr.Cs-Caq'!$I$32,'Lin.Corr.Cs-Caq'!$I$36)</c:f>
              <c:numCache>
                <c:formatCode>General</c:formatCode>
                <c:ptCount val="5"/>
                <c:pt idx="0">
                  <c:v>0.66371901788168419</c:v>
                </c:pt>
                <c:pt idx="1">
                  <c:v>1.8442031061093314</c:v>
                </c:pt>
                <c:pt idx="2">
                  <c:v>3.6356447918117887</c:v>
                </c:pt>
                <c:pt idx="3">
                  <c:v>5.6739263605044208</c:v>
                </c:pt>
                <c:pt idx="4">
                  <c:v>8.8338414407429227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03-4DC1-9849-06B826C026F2}"/>
            </c:ext>
          </c:extLst>
        </c:ser>
        <c:ser>
          <c:idx val="3"/>
          <c:order val="3"/>
          <c:tx>
            <c:v>Calib_B_orig_means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33570195392242635"/>
                  <c:y val="0.19975013123359581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  <a:prstDash val="lg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('Lin.Corr.Cs-Caq'!$J$12,'Lin.Corr.Cs-Caq'!$J$16,'Lin.Corr.Cs-Caq'!$J$28,'Lin.Corr.Cs-Caq'!$J$32,'Lin.Corr.Cs-Caq'!$J$36)</c:f>
              <c:numCache>
                <c:formatCode>General</c:formatCode>
                <c:ptCount val="5"/>
                <c:pt idx="0">
                  <c:v>0.84311888389890166</c:v>
                </c:pt>
                <c:pt idx="1">
                  <c:v>2.8977974937876882</c:v>
                </c:pt>
                <c:pt idx="2">
                  <c:v>3.7718593423588977</c:v>
                </c:pt>
                <c:pt idx="3">
                  <c:v>11.200653979131209</c:v>
                </c:pt>
                <c:pt idx="4">
                  <c:v>28.357445667989055</c:v>
                </c:pt>
              </c:numCache>
            </c:numRef>
          </c:xVal>
          <c:yVal>
            <c:numRef>
              <c:f>('Lin.Corr.Cs-Caq'!$K$12,'Lin.Corr.Cs-Caq'!$K$16,'Lin.Corr.Cs-Caq'!$K$28,'Lin.Corr.Cs-Caq'!$K$32,'Lin.Corr.Cs-Caq'!$K$36)</c:f>
              <c:numCache>
                <c:formatCode>General</c:formatCode>
                <c:ptCount val="5"/>
                <c:pt idx="0">
                  <c:v>0.66275244644043929</c:v>
                </c:pt>
                <c:pt idx="1">
                  <c:v>1.8408810024849247</c:v>
                </c:pt>
                <c:pt idx="2">
                  <c:v>3.4912562630564405</c:v>
                </c:pt>
                <c:pt idx="3">
                  <c:v>5.5197384083475169</c:v>
                </c:pt>
                <c:pt idx="4">
                  <c:v>8.6570217328043775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03-4DC1-9849-06B826C0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604896"/>
        <c:axId val="7486055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Calib_A_orig_corr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solidFill>
                          <a:schemeClr val="accent5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('Lin.Corr.Cs-Caq'!$D$12:$D$19,'Lin.Corr.Cs-Caq'!$D$28:$D$31)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0.67608027106889046</c:v>
                      </c:pt>
                      <c:pt idx="1">
                        <c:v>0.80787209223149392</c:v>
                      </c:pt>
                      <c:pt idx="2">
                        <c:v>0.75230677633910237</c:v>
                      </c:pt>
                      <c:pt idx="3">
                        <c:v>1.1265506815436712</c:v>
                      </c:pt>
                      <c:pt idx="4">
                        <c:v>3.3246808116619428</c:v>
                      </c:pt>
                      <c:pt idx="5">
                        <c:v>2.9641976307722082</c:v>
                      </c:pt>
                      <c:pt idx="6">
                        <c:v>2.5184359125392763</c:v>
                      </c:pt>
                      <c:pt idx="7">
                        <c:v>2.7506545839332586</c:v>
                      </c:pt>
                      <c:pt idx="8">
                        <c:v>3.2505744573159028</c:v>
                      </c:pt>
                      <c:pt idx="9">
                        <c:v>4.6470226269660131</c:v>
                      </c:pt>
                      <c:pt idx="10">
                        <c:v>2.6929548306695796</c:v>
                      </c:pt>
                      <c:pt idx="11">
                        <c:v>3.0530001669306177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('Lin.Corr.Cs-Caq'!$F$12:$F$19,'Lin.Corr.Cs-Caq'!$F$28:$F$31)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0.72956789157244384</c:v>
                      </c:pt>
                      <c:pt idx="1">
                        <c:v>0.67685116310740245</c:v>
                      </c:pt>
                      <c:pt idx="2">
                        <c:v>0.6990772894643591</c:v>
                      </c:pt>
                      <c:pt idx="3">
                        <c:v>0.54937972738253149</c:v>
                      </c:pt>
                      <c:pt idx="4">
                        <c:v>1.6701276753352228</c:v>
                      </c:pt>
                      <c:pt idx="5">
                        <c:v>1.8143209476911166</c:v>
                      </c:pt>
                      <c:pt idx="6">
                        <c:v>1.9926256349842895</c:v>
                      </c:pt>
                      <c:pt idx="7">
                        <c:v>1.8997381664266968</c:v>
                      </c:pt>
                      <c:pt idx="8">
                        <c:v>3.6997702170736391</c:v>
                      </c:pt>
                      <c:pt idx="9">
                        <c:v>3.1411909492135948</c:v>
                      </c:pt>
                      <c:pt idx="10">
                        <c:v>3.9228180677321682</c:v>
                      </c:pt>
                      <c:pt idx="11">
                        <c:v>3.7787999332277531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E703-4DC1-9849-06B826C026F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Calib_B_orig_corr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power"/>
                  <c:dispRSqr val="1"/>
                  <c:dispEq val="1"/>
                  <c:trendlineLbl>
                    <c:layout>
                      <c:manualLayout>
                        <c:x val="6.1520669291338585E-2"/>
                        <c:y val="0.3011047244094488"/>
                      </c:manualLayout>
                    </c:layout>
                    <c:numFmt formatCode="General" sourceLinked="0"/>
                    <c:spPr>
                      <a:noFill/>
                      <a:ln>
                        <a:solidFill>
                          <a:schemeClr val="accent6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('Lin.Corr.Cs-Caq'!$E$12:$E$19,'Lin.Corr.Cs-Caq'!$E$28:$E$31)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0.67802352661039589</c:v>
                      </c:pt>
                      <c:pt idx="1">
                        <c:v>0.81019415661827787</c:v>
                      </c:pt>
                      <c:pt idx="2">
                        <c:v>0.75446912950128187</c:v>
                      </c:pt>
                      <c:pt idx="3">
                        <c:v>1.1297887228656509</c:v>
                      </c:pt>
                      <c:pt idx="4">
                        <c:v>3.3342369319740834</c:v>
                      </c:pt>
                      <c:pt idx="5">
                        <c:v>2.9727176153341133</c:v>
                      </c:pt>
                      <c:pt idx="6">
                        <c:v>2.5256746455010162</c:v>
                      </c:pt>
                      <c:pt idx="7">
                        <c:v>2.7585607823415401</c:v>
                      </c:pt>
                      <c:pt idx="8">
                        <c:v>3.611015350495804</c:v>
                      </c:pt>
                      <c:pt idx="9">
                        <c:v>5.0120839414283953</c:v>
                      </c:pt>
                      <c:pt idx="10">
                        <c:v>3.0515507304967158</c:v>
                      </c:pt>
                      <c:pt idx="11">
                        <c:v>3.4127873470146755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('Lin.Corr.Cs-Caq'!$G$12:$G$19,'Lin.Corr.Cs-Caq'!$G$28:$G$31)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0.72879058935584173</c:v>
                      </c:pt>
                      <c:pt idx="1">
                        <c:v>0.67592233735268881</c:v>
                      </c:pt>
                      <c:pt idx="2">
                        <c:v>0.69821234819948719</c:v>
                      </c:pt>
                      <c:pt idx="3">
                        <c:v>0.54808451085373966</c:v>
                      </c:pt>
                      <c:pt idx="4">
                        <c:v>1.6663052272103667</c:v>
                      </c:pt>
                      <c:pt idx="5">
                        <c:v>1.8109129538663544</c:v>
                      </c:pt>
                      <c:pt idx="6">
                        <c:v>1.9897301417995934</c:v>
                      </c:pt>
                      <c:pt idx="7">
                        <c:v>1.8965756870633839</c:v>
                      </c:pt>
                      <c:pt idx="8">
                        <c:v>3.5555938598016779</c:v>
                      </c:pt>
                      <c:pt idx="9">
                        <c:v>2.9951664234286417</c:v>
                      </c:pt>
                      <c:pt idx="10">
                        <c:v>3.7793797078013136</c:v>
                      </c:pt>
                      <c:pt idx="11">
                        <c:v>3.6348850611941304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703-4DC1-9849-06B826C026F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Calib_A_orig_means_corr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('Lin.Corr.Cs-Caq'!$H$12,'Lin.Corr.Cs-Caq'!$H$16,'Lin.Corr.Cs-Caq'!$H$28)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0.84070245529578946</c:v>
                      </c:pt>
                      <c:pt idx="1">
                        <c:v>2.8894922347266716</c:v>
                      </c:pt>
                      <c:pt idx="2">
                        <c:v>3.4108880204705283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('Lin.Corr.Cs-Caq'!$I$12,'Lin.Corr.Cs-Caq'!$I$16,'Lin.Corr.Cs-Caq'!$I$28)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0.66371901788168419</c:v>
                      </c:pt>
                      <c:pt idx="1">
                        <c:v>1.8442031061093314</c:v>
                      </c:pt>
                      <c:pt idx="2">
                        <c:v>3.6356447918117887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703-4DC1-9849-06B826C026F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Calib_B_orig_means_corr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('Lin.Corr.Cs-Caq'!$J$12,'Lin.Corr.Cs-Caq'!$J$16,'Lin.Corr.Cs-Caq'!$J$28)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0.84311888389890166</c:v>
                      </c:pt>
                      <c:pt idx="1">
                        <c:v>2.8977974937876882</c:v>
                      </c:pt>
                      <c:pt idx="2">
                        <c:v>3.7718593423588977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('Lin.Corr.Cs-Caq'!$K$12,'Lin.Corr.Cs-Caq'!$K$16,'Lin.Corr.Cs-Caq'!$K$28)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0.66275244644043929</c:v>
                      </c:pt>
                      <c:pt idx="1">
                        <c:v>1.8408810024849247</c:v>
                      </c:pt>
                      <c:pt idx="2">
                        <c:v>3.4912562630564405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703-4DC1-9849-06B826C026F2}"/>
                  </c:ext>
                </c:extLst>
              </c15:ser>
            </c15:filteredScatterSeries>
          </c:ext>
        </c:extLst>
      </c:scatterChart>
      <c:valAx>
        <c:axId val="7486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Aqueous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05552"/>
        <c:crosses val="autoZero"/>
        <c:crossBetween val="midCat"/>
      </c:valAx>
      <c:valAx>
        <c:axId val="7486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Solid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Linearization</a:t>
            </a:r>
            <a:r>
              <a:rPr lang="en-US" baseline="0"/>
              <a:t> by ln(x)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Calib_A_ln(x)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780183727034119E-2"/>
                  <c:y val="0.22180555555555556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('Lin.Corr.Cs-Caq'!$M$12:$M$19,'Lin.Corr.Cs-Caq'!$M$28:$M$39)</c:f>
              <c:numCache>
                <c:formatCode>General</c:formatCode>
                <c:ptCount val="20"/>
                <c:pt idx="0">
                  <c:v>-0.39144346580395639</c:v>
                </c:pt>
                <c:pt idx="1">
                  <c:v>-0.21335153468577289</c:v>
                </c:pt>
                <c:pt idx="2">
                  <c:v>-0.28461109096071241</c:v>
                </c:pt>
                <c:pt idx="3">
                  <c:v>0.11916047015213913</c:v>
                </c:pt>
                <c:pt idx="4">
                  <c:v>1.2013736730072104</c:v>
                </c:pt>
                <c:pt idx="5">
                  <c:v>1.0866063822596781</c:v>
                </c:pt>
                <c:pt idx="6">
                  <c:v>0.92363803920093002</c:v>
                </c:pt>
                <c:pt idx="7">
                  <c:v>1.0118389138748951</c:v>
                </c:pt>
                <c:pt idx="8">
                  <c:v>1.1788317368193286</c:v>
                </c:pt>
                <c:pt idx="9">
                  <c:v>1.5362267192465739</c:v>
                </c:pt>
                <c:pt idx="10">
                  <c:v>0.9906390408219482</c:v>
                </c:pt>
                <c:pt idx="11">
                  <c:v>1.1161247684303082</c:v>
                </c:pt>
                <c:pt idx="12">
                  <c:v>2.0761374045557068</c:v>
                </c:pt>
                <c:pt idx="13">
                  <c:v>2.3982485154101338</c:v>
                </c:pt>
                <c:pt idx="14">
                  <c:v>2.4770376532357092</c:v>
                </c:pt>
                <c:pt idx="15">
                  <c:v>2.5158639009446824</c:v>
                </c:pt>
                <c:pt idx="16">
                  <c:v>3.404484063034197</c:v>
                </c:pt>
                <c:pt idx="17">
                  <c:v>3.6308156708364581</c:v>
                </c:pt>
                <c:pt idx="18">
                  <c:v>3.0443788521191735</c:v>
                </c:pt>
                <c:pt idx="19">
                  <c:v>3.1277358325749547</c:v>
                </c:pt>
              </c:numCache>
            </c:numRef>
          </c:xVal>
          <c:yVal>
            <c:numRef>
              <c:f>('Lin.Corr.Cs-Caq'!$O$12:$O$19,'Lin.Corr.Cs-Caq'!$O$28:$O$39)</c:f>
              <c:numCache>
                <c:formatCode>General</c:formatCode>
                <c:ptCount val="20"/>
                <c:pt idx="0">
                  <c:v>-0.31530284945186043</c:v>
                </c:pt>
                <c:pt idx="1">
                  <c:v>-0.39030387793946336</c:v>
                </c:pt>
                <c:pt idx="2">
                  <c:v>-0.35799397138113248</c:v>
                </c:pt>
                <c:pt idx="3">
                  <c:v>-0.59896540556032107</c:v>
                </c:pt>
                <c:pt idx="4">
                  <c:v>0.51290007580287644</c:v>
                </c:pt>
                <c:pt idx="5">
                  <c:v>0.59571126420789644</c:v>
                </c:pt>
                <c:pt idx="6">
                  <c:v>0.689453183638853</c:v>
                </c:pt>
                <c:pt idx="7">
                  <c:v>0.64171606953227411</c:v>
                </c:pt>
                <c:pt idx="8">
                  <c:v>1.3082707142280658</c:v>
                </c:pt>
                <c:pt idx="9">
                  <c:v>1.1446020111995183</c:v>
                </c:pt>
                <c:pt idx="10">
                  <c:v>1.3668102903508952</c:v>
                </c:pt>
                <c:pt idx="11">
                  <c:v>1.329406481242617</c:v>
                </c:pt>
                <c:pt idx="12">
                  <c:v>1.9184737306791351</c:v>
                </c:pt>
                <c:pt idx="13">
                  <c:v>1.7224889624109747</c:v>
                </c:pt>
                <c:pt idx="14">
                  <c:v>1.6558677621726257</c:v>
                </c:pt>
                <c:pt idx="15">
                  <c:v>1.619206292461808</c:v>
                </c:pt>
                <c:pt idx="16">
                  <c:v>2.0744911761674252</c:v>
                </c:pt>
                <c:pt idx="17">
                  <c:v>1.5897583000504973</c:v>
                </c:pt>
                <c:pt idx="18">
                  <c:v>2.45110906102602</c:v>
                </c:pt>
                <c:pt idx="19">
                  <c:v>2.3861079799027656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C7-4CFC-B6EE-6448B8317060}"/>
            </c:ext>
          </c:extLst>
        </c:ser>
        <c:ser>
          <c:idx val="3"/>
          <c:order val="1"/>
          <c:tx>
            <c:v>Calib_B_ln(x)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701421697287839"/>
                  <c:y val="-2.8194444444444466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('Lin.Corr.Cs-Caq'!$N$12:$N$19,'Lin.Corr.Cs-Caq'!$N$28:$N$39)</c:f>
              <c:numCache>
                <c:formatCode>General</c:formatCode>
                <c:ptCount val="20"/>
                <c:pt idx="0">
                  <c:v>-0.3885732916284399</c:v>
                </c:pt>
                <c:pt idx="1">
                  <c:v>-0.21048136051025665</c:v>
                </c:pt>
                <c:pt idx="2">
                  <c:v>-0.28174091678519603</c:v>
                </c:pt>
                <c:pt idx="3">
                  <c:v>0.12203064432765541</c:v>
                </c:pt>
                <c:pt idx="4">
                  <c:v>1.204243847182727</c:v>
                </c:pt>
                <c:pt idx="5">
                  <c:v>1.0894765564351947</c:v>
                </c:pt>
                <c:pt idx="6">
                  <c:v>0.92650821337644662</c:v>
                </c:pt>
                <c:pt idx="7">
                  <c:v>1.0147090880504115</c:v>
                </c:pt>
                <c:pt idx="8">
                  <c:v>1.2839889933236166</c:v>
                </c:pt>
                <c:pt idx="9">
                  <c:v>1.6118517849838365</c:v>
                </c:pt>
                <c:pt idx="10">
                  <c:v>1.1156498976378473</c:v>
                </c:pt>
                <c:pt idx="11">
                  <c:v>1.2275293612194838</c:v>
                </c:pt>
                <c:pt idx="12">
                  <c:v>2.1222230355986693</c:v>
                </c:pt>
                <c:pt idx="13">
                  <c:v>2.432734073659069</c:v>
                </c:pt>
                <c:pt idx="14">
                  <c:v>2.5091944213478241</c:v>
                </c:pt>
                <c:pt idx="15">
                  <c:v>2.5469369777016944</c:v>
                </c:pt>
                <c:pt idx="16">
                  <c:v>3.4193003960263777</c:v>
                </c:pt>
                <c:pt idx="17">
                  <c:v>3.6433107476582083</c:v>
                </c:pt>
                <c:pt idx="18">
                  <c:v>3.0641449962467617</c:v>
                </c:pt>
                <c:pt idx="19">
                  <c:v>3.1461952422634138</c:v>
                </c:pt>
              </c:numCache>
            </c:numRef>
          </c:xVal>
          <c:yVal>
            <c:numRef>
              <c:f>('Lin.Corr.Cs-Caq'!$P$12:$P$19,'Lin.Corr.Cs-Caq'!$P$28:$P$39)</c:f>
              <c:numCache>
                <c:formatCode>General</c:formatCode>
                <c:ptCount val="20"/>
                <c:pt idx="0">
                  <c:v>-0.31636884563918261</c:v>
                </c:pt>
                <c:pt idx="1">
                  <c:v>-0.39167709511197146</c:v>
                </c:pt>
                <c:pt idx="2">
                  <c:v>-0.35923199870493555</c:v>
                </c:pt>
                <c:pt idx="3">
                  <c:v>-0.60132578703793682</c:v>
                </c:pt>
                <c:pt idx="4">
                  <c:v>0.51060873657388395</c:v>
                </c:pt>
                <c:pt idx="5">
                  <c:v>0.59383111251493792</c:v>
                </c:pt>
                <c:pt idx="6">
                  <c:v>0.6879990224050393</c:v>
                </c:pt>
                <c:pt idx="7">
                  <c:v>0.64004999016323294</c:v>
                </c:pt>
                <c:pt idx="8">
                  <c:v>1.2685220984746999</c:v>
                </c:pt>
                <c:pt idx="9">
                  <c:v>1.0969997971116465</c:v>
                </c:pt>
                <c:pt idx="10">
                  <c:v>1.3295598977006091</c:v>
                </c:pt>
                <c:pt idx="11">
                  <c:v>1.290577490456434</c:v>
                </c:pt>
                <c:pt idx="12">
                  <c:v>1.8961387934389027</c:v>
                </c:pt>
                <c:pt idx="13">
                  <c:v>1.6945155106710623</c:v>
                </c:pt>
                <c:pt idx="14">
                  <c:v>1.6257031955498114</c:v>
                </c:pt>
                <c:pt idx="15">
                  <c:v>1.5877700215893509</c:v>
                </c:pt>
                <c:pt idx="16">
                  <c:v>2.0516573091274961</c:v>
                </c:pt>
                <c:pt idx="17">
                  <c:v>1.5502687857000352</c:v>
                </c:pt>
                <c:pt idx="18">
                  <c:v>2.4365513764451485</c:v>
                </c:pt>
                <c:pt idx="19">
                  <c:v>2.3703392433289374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C7-4CFC-B6EE-6448B8317060}"/>
            </c:ext>
          </c:extLst>
        </c:ser>
        <c:ser>
          <c:idx val="0"/>
          <c:order val="2"/>
          <c:tx>
            <c:v>Calib_A_ln(x)_means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('Lin.Corr.Cs-Caq'!$Q$12,'Lin.Corr.Cs-Caq'!$Q$16,'Lin.Corr.Cs-Caq'!$Q$28,'Lin.Corr.Cs-Caq'!$Q$32,'Lin.Corr.Cs-Caq'!$Q$36)</c:f>
              <c:numCache>
                <c:formatCode>General</c:formatCode>
                <c:ptCount val="5"/>
                <c:pt idx="0">
                  <c:v>-0.19256140532457566</c:v>
                </c:pt>
                <c:pt idx="1">
                  <c:v>1.0558642520856785</c:v>
                </c:pt>
                <c:pt idx="2">
                  <c:v>1.2054555663295397</c:v>
                </c:pt>
                <c:pt idx="3">
                  <c:v>2.3668218685365581</c:v>
                </c:pt>
                <c:pt idx="4">
                  <c:v>3.3018536046411957</c:v>
                </c:pt>
              </c:numCache>
            </c:numRef>
          </c:xVal>
          <c:yVal>
            <c:numRef>
              <c:f>('Lin.Corr.Cs-Caq'!$R$12,'Lin.Corr.Cs-Caq'!$R$16,'Lin.Corr.Cs-Caq'!$R$28,'Lin.Corr.Cs-Caq'!$R$32,'Lin.Corr.Cs-Caq'!$R$36)</c:f>
              <c:numCache>
                <c:formatCode>General</c:formatCode>
                <c:ptCount val="5"/>
                <c:pt idx="0">
                  <c:v>-0.41564152608319432</c:v>
                </c:pt>
                <c:pt idx="1">
                  <c:v>0.60994514829547497</c:v>
                </c:pt>
                <c:pt idx="2">
                  <c:v>1.2872723742552741</c:v>
                </c:pt>
                <c:pt idx="3">
                  <c:v>1.7290091869311359</c:v>
                </c:pt>
                <c:pt idx="4">
                  <c:v>2.1253666292866771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C7-4CFC-B6EE-6448B8317060}"/>
            </c:ext>
          </c:extLst>
        </c:ser>
        <c:ser>
          <c:idx val="1"/>
          <c:order val="3"/>
          <c:tx>
            <c:v>Calib_B_ln(x)_means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('Lin.Corr.Cs-Caq'!$S$12,'Lin.Corr.Cs-Caq'!$S$16,'Lin.Corr.Cs-Caq'!$S$28,'Lin.Corr.Cs-Caq'!$S$32,'Lin.Corr.Cs-Caq'!$S$36)</c:f>
              <c:numCache>
                <c:formatCode>General</c:formatCode>
                <c:ptCount val="5"/>
                <c:pt idx="0">
                  <c:v>-0.18969123114905931</c:v>
                </c:pt>
                <c:pt idx="1">
                  <c:v>1.0587344262611948</c:v>
                </c:pt>
                <c:pt idx="2">
                  <c:v>1.3097550092911958</c:v>
                </c:pt>
                <c:pt idx="3">
                  <c:v>2.4027721270768145</c:v>
                </c:pt>
                <c:pt idx="4">
                  <c:v>3.3182378455486905</c:v>
                </c:pt>
              </c:numCache>
            </c:numRef>
          </c:xVal>
          <c:yVal>
            <c:numRef>
              <c:f>('Lin.Corr.Cs-Caq'!$T$12,'Lin.Corr.Cs-Caq'!$T$16,'Lin.Corr.Cs-Caq'!$T$28,'Lin.Corr.Cs-Caq'!$T$32,'Lin.Corr.Cs-Caq'!$T$36)</c:f>
              <c:numCache>
                <c:formatCode>General</c:formatCode>
                <c:ptCount val="5"/>
                <c:pt idx="0">
                  <c:v>-0.41715093162350658</c:v>
                </c:pt>
                <c:pt idx="1">
                  <c:v>0.60812221541427358</c:v>
                </c:pt>
                <c:pt idx="2">
                  <c:v>1.2464148209358474</c:v>
                </c:pt>
                <c:pt idx="3">
                  <c:v>1.7010318803122817</c:v>
                </c:pt>
                <c:pt idx="4">
                  <c:v>2.1022041786504042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C7-4CFC-B6EE-6448B8317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604896"/>
        <c:axId val="748605552"/>
        <c:extLst/>
      </c:scatterChart>
      <c:valAx>
        <c:axId val="7486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ln(C_aqueous)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05552"/>
        <c:crosses val="autoZero"/>
        <c:crossBetween val="midCat"/>
      </c:valAx>
      <c:valAx>
        <c:axId val="7486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ln(C_solid)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Partitioning</a:t>
            </a:r>
          </a:p>
          <a:p>
            <a:pPr>
              <a:defRPr sz="1050"/>
            </a:pPr>
            <a:r>
              <a:rPr lang="en-US" sz="1050"/>
              <a:t>PE_B_1-6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PE_B_1 to PE_B_6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processing'!$Q$18:$Q$29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">
                  <c:v>0.9829802144537918</c:v>
                </c:pt>
                <c:pt idx="5" formatCode="0.0000">
                  <c:v>1.1063059864123563</c:v>
                </c:pt>
                <c:pt idx="6" formatCode="0.0000">
                  <c:v>1.0477070524455259</c:v>
                </c:pt>
                <c:pt idx="7" formatCode="0.0000">
                  <c:v>1.4147816769410015</c:v>
                </c:pt>
                <c:pt idx="8" formatCode="0.0000">
                  <c:v>3.5361811929188036</c:v>
                </c:pt>
                <c:pt idx="9" formatCode="0.0000">
                  <c:v>3.1890892591613191</c:v>
                </c:pt>
                <c:pt idx="10" formatCode="0.0000">
                  <c:v>2.7452091481921088</c:v>
                </c:pt>
                <c:pt idx="11" formatCode="0.0000">
                  <c:v>2.9624794591714503</c:v>
                </c:pt>
              </c:numCache>
            </c:numRef>
          </c:xVal>
          <c:yVal>
            <c:numRef>
              <c:f>'1st processing'!$T$18:$T$29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">
                  <c:v>0.60680791421848324</c:v>
                </c:pt>
                <c:pt idx="5" formatCode="0.0000">
                  <c:v>0.55747760543505742</c:v>
                </c:pt>
                <c:pt idx="6" formatCode="0.0000">
                  <c:v>0.58091717902178963</c:v>
                </c:pt>
                <c:pt idx="7" formatCode="0.0000">
                  <c:v>0.43408732922359938</c:v>
                </c:pt>
                <c:pt idx="8" formatCode="0.0000">
                  <c:v>1.5855275228324786</c:v>
                </c:pt>
                <c:pt idx="9" formatCode="0.0000">
                  <c:v>1.7243642963354724</c:v>
                </c:pt>
                <c:pt idx="10" formatCode="0.0000">
                  <c:v>1.9019163407231567</c:v>
                </c:pt>
                <c:pt idx="11" formatCode="0.0000">
                  <c:v>1.8150082163314198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C-4CC4-80EB-99FD793A835A}"/>
            </c:ext>
          </c:extLst>
        </c:ser>
        <c:ser>
          <c:idx val="1"/>
          <c:order val="1"/>
          <c:tx>
            <c:v>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256442708733781E-2"/>
                  <c:y val="0.22331563297496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'1st processing'!$Y$33:$Y$35</c:f>
              <c:numCache>
                <c:formatCode>0.0000</c:formatCode>
                <c:ptCount val="3"/>
                <c:pt idx="0" formatCode="General">
                  <c:v>0</c:v>
                </c:pt>
                <c:pt idx="1">
                  <c:v>1.1379437325631689</c:v>
                </c:pt>
                <c:pt idx="2">
                  <c:v>3.1082397648609206</c:v>
                </c:pt>
              </c:numCache>
            </c:numRef>
          </c:xVal>
          <c:yVal>
            <c:numRef>
              <c:f>'1st processing'!$Z$33:$Z$35</c:f>
              <c:numCache>
                <c:formatCode>0.0000</c:formatCode>
                <c:ptCount val="3"/>
                <c:pt idx="0" formatCode="General">
                  <c:v>0</c:v>
                </c:pt>
                <c:pt idx="1">
                  <c:v>0.54482250697473245</c:v>
                </c:pt>
                <c:pt idx="2">
                  <c:v>1.756704094055632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0C-4CC4-80EB-99FD793A8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71328"/>
        <c:axId val="656873296"/>
      </c:scatterChart>
      <c:valAx>
        <c:axId val="6568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C_aqueous</a:t>
                </a:r>
                <a:r>
                  <a:rPr lang="en-US" baseline="0"/>
                  <a:t> [ug/ml]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3296"/>
        <c:crosses val="autoZero"/>
        <c:crossBetween val="midCat"/>
      </c:valAx>
      <c:valAx>
        <c:axId val="6568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C_solid</a:t>
                </a:r>
                <a:r>
                  <a:rPr lang="en-US" baseline="0"/>
                  <a:t> [ug/g]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Partitioning</a:t>
            </a:r>
          </a:p>
          <a:p>
            <a:pPr>
              <a:defRPr sz="1050"/>
            </a:pPr>
            <a:r>
              <a:rPr lang="en-US" sz="1050"/>
              <a:t>PE_B_7-12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PE_B_7 to PE_B_12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processing'!$Q$51:$Q$62</c:f>
              <c:numCache>
                <c:formatCode>General</c:formatCode>
                <c:ptCount val="12"/>
                <c:pt idx="0">
                  <c:v>3.5905679683171878</c:v>
                </c:pt>
                <c:pt idx="1">
                  <c:v>4.6444420154962476</c:v>
                </c:pt>
                <c:pt idx="2">
                  <c:v>2.8498269743329834</c:v>
                </c:pt>
                <c:pt idx="3">
                  <c:v>3.0152684395726053</c:v>
                </c:pt>
                <c:pt idx="4">
                  <c:v>6.6109212053615325</c:v>
                </c:pt>
                <c:pt idx="5">
                  <c:v>8.4769089249288392</c:v>
                </c:pt>
                <c:pt idx="6">
                  <c:v>8.6591963170557591</c:v>
                </c:pt>
                <c:pt idx="7">
                  <c:v>8.5173873601461985</c:v>
                </c:pt>
                <c:pt idx="8">
                  <c:v>18.962392811401685</c:v>
                </c:pt>
                <c:pt idx="9">
                  <c:v>22.328592834729399</c:v>
                </c:pt>
                <c:pt idx="10">
                  <c:v>11.861957472946635</c:v>
                </c:pt>
                <c:pt idx="11">
                  <c:v>11.989479377939118</c:v>
                </c:pt>
              </c:numCache>
            </c:numRef>
          </c:xVal>
          <c:yVal>
            <c:numRef>
              <c:f>'1st processing'!$T$51:$T$62</c:f>
              <c:numCache>
                <c:formatCode>General</c:formatCode>
                <c:ptCount val="12"/>
                <c:pt idx="0">
                  <c:v>3.5637728126731245</c:v>
                </c:pt>
                <c:pt idx="1">
                  <c:v>3.1422231938015011</c:v>
                </c:pt>
                <c:pt idx="2">
                  <c:v>3.8600692102668064</c:v>
                </c:pt>
                <c:pt idx="3">
                  <c:v>3.7938926241709581</c:v>
                </c:pt>
                <c:pt idx="4">
                  <c:v>7.3556315178553877</c:v>
                </c:pt>
                <c:pt idx="5">
                  <c:v>6.6092364300284645</c:v>
                </c:pt>
                <c:pt idx="6">
                  <c:v>6.5363214731776962</c:v>
                </c:pt>
                <c:pt idx="7">
                  <c:v>6.5930450559415208</c:v>
                </c:pt>
                <c:pt idx="8">
                  <c:v>12.415042875439326</c:v>
                </c:pt>
                <c:pt idx="9">
                  <c:v>11.068562866108241</c:v>
                </c:pt>
                <c:pt idx="10">
                  <c:v>15.255217010821346</c:v>
                </c:pt>
                <c:pt idx="11">
                  <c:v>15.204208248824353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7-48D8-B95B-E47FCFC1FA73}"/>
            </c:ext>
          </c:extLst>
        </c:ser>
        <c:ser>
          <c:idx val="1"/>
          <c:order val="1"/>
          <c:tx>
            <c:v>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598217279358271"/>
                  <c:y val="-2.82293350145072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'1st processing'!$Y$36:$Y$38</c:f>
              <c:numCache>
                <c:formatCode>General</c:formatCode>
                <c:ptCount val="3"/>
                <c:pt idx="0">
                  <c:v>3.5250263494297558</c:v>
                </c:pt>
                <c:pt idx="1">
                  <c:v>8.066103451873083</c:v>
                </c:pt>
                <c:pt idx="2">
                  <c:v>16.28560562425421</c:v>
                </c:pt>
              </c:numCache>
            </c:numRef>
          </c:xVal>
          <c:yVal>
            <c:numRef>
              <c:f>'1st processing'!$Z$36:$Z$38</c:f>
              <c:numCache>
                <c:formatCode>General</c:formatCode>
                <c:ptCount val="3"/>
                <c:pt idx="0">
                  <c:v>3.5899894602280975</c:v>
                </c:pt>
                <c:pt idx="1">
                  <c:v>6.7735586192507675</c:v>
                </c:pt>
                <c:pt idx="2">
                  <c:v>13.485757750298315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A7-48D8-B95B-E47FCFC1F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71328"/>
        <c:axId val="656873296"/>
      </c:scatterChart>
      <c:valAx>
        <c:axId val="6568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C_aqueous</a:t>
                </a:r>
                <a:r>
                  <a:rPr lang="en-US" baseline="0"/>
                  <a:t> [ug/ml]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3296"/>
        <c:crosses val="autoZero"/>
        <c:crossBetween val="midCat"/>
      </c:valAx>
      <c:valAx>
        <c:axId val="6568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C_solid</a:t>
                </a:r>
                <a:r>
                  <a:rPr lang="en-US" baseline="0"/>
                  <a:t> [ug/g]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PE_B</a:t>
            </a:r>
            <a:r>
              <a:rPr lang="en-US" sz="1050" baseline="0"/>
              <a:t> Results</a:t>
            </a:r>
          </a:p>
          <a:p>
            <a:pPr>
              <a:defRPr sz="1050"/>
            </a:pPr>
            <a:r>
              <a:rPr lang="en-US" sz="1050" baseline="0"/>
              <a:t>Aqueous - Solid Conc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('1st processing'!$Q$18:$Q$29,'1st processing'!$Q$51:$Q$60,'1st processing'!$Q$61:$Q$62)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">
                  <c:v>0.9829802144537918</c:v>
                </c:pt>
                <c:pt idx="5" formatCode="0.0000">
                  <c:v>1.1063059864123563</c:v>
                </c:pt>
                <c:pt idx="6" formatCode="0.0000">
                  <c:v>1.0477070524455259</c:v>
                </c:pt>
                <c:pt idx="7" formatCode="0.0000">
                  <c:v>1.4147816769410015</c:v>
                </c:pt>
                <c:pt idx="8" formatCode="0.0000">
                  <c:v>3.5361811929188036</c:v>
                </c:pt>
                <c:pt idx="9" formatCode="0.0000">
                  <c:v>3.1890892591613191</c:v>
                </c:pt>
                <c:pt idx="10" formatCode="0.0000">
                  <c:v>2.7452091481921088</c:v>
                </c:pt>
                <c:pt idx="11" formatCode="0.0000">
                  <c:v>2.9624794591714503</c:v>
                </c:pt>
                <c:pt idx="12">
                  <c:v>3.5905679683171878</c:v>
                </c:pt>
                <c:pt idx="13">
                  <c:v>4.6444420154962476</c:v>
                </c:pt>
                <c:pt idx="14">
                  <c:v>2.8498269743329834</c:v>
                </c:pt>
                <c:pt idx="15">
                  <c:v>3.0152684395726053</c:v>
                </c:pt>
                <c:pt idx="16">
                  <c:v>6.6109212053615325</c:v>
                </c:pt>
                <c:pt idx="17">
                  <c:v>8.4769089249288392</c:v>
                </c:pt>
                <c:pt idx="18">
                  <c:v>8.6591963170557591</c:v>
                </c:pt>
                <c:pt idx="19">
                  <c:v>8.5173873601461985</c:v>
                </c:pt>
                <c:pt idx="20">
                  <c:v>18.962392811401685</c:v>
                </c:pt>
                <c:pt idx="21">
                  <c:v>22.328592834729399</c:v>
                </c:pt>
                <c:pt idx="22">
                  <c:v>11.861957472946635</c:v>
                </c:pt>
                <c:pt idx="23">
                  <c:v>11.989479377939118</c:v>
                </c:pt>
              </c:numCache>
            </c:numRef>
          </c:xVal>
          <c:yVal>
            <c:numRef>
              <c:f>('1st processing'!$T$18:$T$29,'1st processing'!$T$51:$T$60,'1st processing'!$T$61:$T$62)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">
                  <c:v>0.60680791421848324</c:v>
                </c:pt>
                <c:pt idx="5" formatCode="0.0000">
                  <c:v>0.55747760543505742</c:v>
                </c:pt>
                <c:pt idx="6" formatCode="0.0000">
                  <c:v>0.58091717902178963</c:v>
                </c:pt>
                <c:pt idx="7" formatCode="0.0000">
                  <c:v>0.43408732922359938</c:v>
                </c:pt>
                <c:pt idx="8" formatCode="0.0000">
                  <c:v>1.5855275228324786</c:v>
                </c:pt>
                <c:pt idx="9" formatCode="0.0000">
                  <c:v>1.7243642963354724</c:v>
                </c:pt>
                <c:pt idx="10" formatCode="0.0000">
                  <c:v>1.9019163407231567</c:v>
                </c:pt>
                <c:pt idx="11" formatCode="0.0000">
                  <c:v>1.8150082163314198</c:v>
                </c:pt>
                <c:pt idx="12">
                  <c:v>3.5637728126731245</c:v>
                </c:pt>
                <c:pt idx="13">
                  <c:v>3.1422231938015011</c:v>
                </c:pt>
                <c:pt idx="14">
                  <c:v>3.8600692102668064</c:v>
                </c:pt>
                <c:pt idx="15">
                  <c:v>3.7938926241709581</c:v>
                </c:pt>
                <c:pt idx="16">
                  <c:v>7.3556315178553877</c:v>
                </c:pt>
                <c:pt idx="17">
                  <c:v>6.6092364300284645</c:v>
                </c:pt>
                <c:pt idx="18">
                  <c:v>6.5363214731776962</c:v>
                </c:pt>
                <c:pt idx="19">
                  <c:v>6.5930450559415208</c:v>
                </c:pt>
                <c:pt idx="20">
                  <c:v>12.415042875439326</c:v>
                </c:pt>
                <c:pt idx="21">
                  <c:v>11.068562866108241</c:v>
                </c:pt>
                <c:pt idx="22">
                  <c:v>15.255217010821346</c:v>
                </c:pt>
                <c:pt idx="23">
                  <c:v>15.204208248824353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0-4BC4-88B7-30C63D5E46C6}"/>
            </c:ext>
          </c:extLst>
        </c:ser>
        <c:ser>
          <c:idx val="1"/>
          <c:order val="1"/>
          <c:tx>
            <c:v>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"/>
            <c:intercept val="0"/>
            <c:dispRSqr val="1"/>
            <c:dispEq val="1"/>
            <c:trendlineLbl>
              <c:layout>
                <c:manualLayout>
                  <c:x val="-0.19666472375576557"/>
                  <c:y val="-9.4020530623454196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'1st processing'!$Y$33:$Y$38</c:f>
              <c:numCache>
                <c:formatCode>0.0000</c:formatCode>
                <c:ptCount val="6"/>
                <c:pt idx="0" formatCode="General">
                  <c:v>0</c:v>
                </c:pt>
                <c:pt idx="1">
                  <c:v>1.1379437325631689</c:v>
                </c:pt>
                <c:pt idx="2">
                  <c:v>3.1082397648609206</c:v>
                </c:pt>
                <c:pt idx="3" formatCode="General">
                  <c:v>3.5250263494297558</c:v>
                </c:pt>
                <c:pt idx="4" formatCode="General">
                  <c:v>8.066103451873083</c:v>
                </c:pt>
                <c:pt idx="5" formatCode="General">
                  <c:v>16.28560562425421</c:v>
                </c:pt>
              </c:numCache>
            </c:numRef>
          </c:xVal>
          <c:yVal>
            <c:numRef>
              <c:f>'1st processing'!$Z$33:$Z$38</c:f>
              <c:numCache>
                <c:formatCode>0.0000</c:formatCode>
                <c:ptCount val="6"/>
                <c:pt idx="0" formatCode="General">
                  <c:v>0</c:v>
                </c:pt>
                <c:pt idx="1">
                  <c:v>0.54482250697473245</c:v>
                </c:pt>
                <c:pt idx="2">
                  <c:v>1.756704094055632</c:v>
                </c:pt>
                <c:pt idx="3" formatCode="General">
                  <c:v>3.5899894602280975</c:v>
                </c:pt>
                <c:pt idx="4" formatCode="General">
                  <c:v>6.7735586192507675</c:v>
                </c:pt>
                <c:pt idx="5" formatCode="General">
                  <c:v>13.485757750298315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40-4BC4-88B7-30C63D5E46C6}"/>
            </c:ext>
          </c:extLst>
        </c:ser>
        <c:ser>
          <c:idx val="2"/>
          <c:order val="2"/>
          <c:tx>
            <c:v>Langmuir</c:v>
          </c:tx>
          <c:spPr>
            <a:ln w="25400" cap="rnd" cmpd="sng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'1st processing'!$AH$33:$AH$58</c:f>
              <c:numCache>
                <c:formatCode>General</c:formatCode>
                <c:ptCount val="2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'1st processing'!$AI$33:$AI$58</c:f>
              <c:numCache>
                <c:formatCode>0.0000</c:formatCode>
                <c:ptCount val="26"/>
                <c:pt idx="0">
                  <c:v>0.68674698795180722</c:v>
                </c:pt>
                <c:pt idx="1">
                  <c:v>1.3255813953488371</c:v>
                </c:pt>
                <c:pt idx="2">
                  <c:v>2.4782608695652173</c:v>
                </c:pt>
                <c:pt idx="3">
                  <c:v>3.4897959183673462</c:v>
                </c:pt>
                <c:pt idx="4">
                  <c:v>4.3846153846153841</c:v>
                </c:pt>
                <c:pt idx="5">
                  <c:v>5.1818181818181808</c:v>
                </c:pt>
                <c:pt idx="6">
                  <c:v>5.8965517241379306</c:v>
                </c:pt>
                <c:pt idx="7">
                  <c:v>6.5409836065573765</c:v>
                </c:pt>
                <c:pt idx="8">
                  <c:v>7.1249999999999991</c:v>
                </c:pt>
                <c:pt idx="9">
                  <c:v>7.656716417910447</c:v>
                </c:pt>
                <c:pt idx="10">
                  <c:v>8.1428571428571423</c:v>
                </c:pt>
                <c:pt idx="11">
                  <c:v>8.5890410958904102</c:v>
                </c:pt>
                <c:pt idx="12">
                  <c:v>8.9999999999999982</c:v>
                </c:pt>
                <c:pt idx="13">
                  <c:v>9.3797468354430382</c:v>
                </c:pt>
                <c:pt idx="14">
                  <c:v>9.7317073170731696</c:v>
                </c:pt>
                <c:pt idx="15">
                  <c:v>10.058823529411764</c:v>
                </c:pt>
                <c:pt idx="16">
                  <c:v>10.363636363636363</c:v>
                </c:pt>
                <c:pt idx="17">
                  <c:v>10.648351648351648</c:v>
                </c:pt>
                <c:pt idx="18">
                  <c:v>10.914893617021276</c:v>
                </c:pt>
                <c:pt idx="19">
                  <c:v>11.164948453608245</c:v>
                </c:pt>
                <c:pt idx="20">
                  <c:v>11.399999999999999</c:v>
                </c:pt>
                <c:pt idx="21">
                  <c:v>11.621359223300971</c:v>
                </c:pt>
                <c:pt idx="22">
                  <c:v>11.830188679245282</c:v>
                </c:pt>
                <c:pt idx="23">
                  <c:v>12.027522935779816</c:v>
                </c:pt>
                <c:pt idx="24">
                  <c:v>12.214285714285714</c:v>
                </c:pt>
                <c:pt idx="25">
                  <c:v>12.391304347826086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40-4BC4-88B7-30C63D5E46C6}"/>
            </c:ext>
          </c:extLst>
        </c:ser>
        <c:ser>
          <c:idx val="3"/>
          <c:order val="3"/>
          <c:tx>
            <c:v>Freundlich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'1st processing'!$AJ$33:$AJ$58</c:f>
              <c:numCache>
                <c:formatCode>General</c:formatCode>
                <c:ptCount val="2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'1st processing'!$AK$33:$AK$58</c:f>
              <c:numCache>
                <c:formatCode>0.0000</c:formatCode>
                <c:ptCount val="26"/>
                <c:pt idx="0">
                  <c:v>3.2490095854249419</c:v>
                </c:pt>
                <c:pt idx="1">
                  <c:v>4</c:v>
                </c:pt>
                <c:pt idx="2">
                  <c:v>4.9245776533796652</c:v>
                </c:pt>
                <c:pt idx="3">
                  <c:v>5.561556681263637</c:v>
                </c:pt>
                <c:pt idx="4">
                  <c:v>6.062866266041592</c:v>
                </c:pt>
                <c:pt idx="5">
                  <c:v>6.4826263867710496</c:v>
                </c:pt>
                <c:pt idx="6">
                  <c:v>6.8470794376388202</c:v>
                </c:pt>
                <c:pt idx="7">
                  <c:v>7.1711598500839884</c:v>
                </c:pt>
                <c:pt idx="8">
                  <c:v>7.4642639322944593</c:v>
                </c:pt>
                <c:pt idx="9">
                  <c:v>7.7327281797270508</c:v>
                </c:pt>
                <c:pt idx="10">
                  <c:v>7.9810492598755189</c:v>
                </c:pt>
                <c:pt idx="11">
                  <c:v>8.2125456546353757</c:v>
                </c:pt>
                <c:pt idx="12">
                  <c:v>8.4297435973778843</c:v>
                </c:pt>
                <c:pt idx="13">
                  <c:v>8.6346153776863197</c:v>
                </c:pt>
                <c:pt idx="14">
                  <c:v>8.8287333866342692</c:v>
                </c:pt>
                <c:pt idx="15">
                  <c:v>9.0133735233706211</c:v>
                </c:pt>
                <c:pt idx="16">
                  <c:v>9.1895868399762808</c:v>
                </c:pt>
                <c:pt idx="17">
                  <c:v>9.3582505347258049</c:v>
                </c:pt>
                <c:pt idx="18">
                  <c:v>9.5201050983857627</c:v>
                </c:pt>
                <c:pt idx="19">
                  <c:v>9.6757819259503499</c:v>
                </c:pt>
                <c:pt idx="20">
                  <c:v>9.8258242089263224</c:v>
                </c:pt>
                <c:pt idx="21">
                  <c:v>9.9707029941610372</c:v>
                </c:pt>
                <c:pt idx="22">
                  <c:v>10.110829702044413</c:v>
                </c:pt>
                <c:pt idx="23">
                  <c:v>10.246566008583251</c:v>
                </c:pt>
                <c:pt idx="24">
                  <c:v>10.37823173584186</c:v>
                </c:pt>
                <c:pt idx="25">
                  <c:v>10.506111217615068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40-4BC4-88B7-30C63D5E4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71328"/>
        <c:axId val="656873296"/>
      </c:scatterChart>
      <c:valAx>
        <c:axId val="6568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C_aqueous</a:t>
                </a:r>
                <a:r>
                  <a:rPr lang="en-US" baseline="0"/>
                  <a:t> [ug/ml]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3296"/>
        <c:crosses val="autoZero"/>
        <c:crossBetween val="midCat"/>
      </c:valAx>
      <c:valAx>
        <c:axId val="656873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C_solid</a:t>
                </a:r>
                <a:r>
                  <a:rPr lang="en-US" baseline="0"/>
                  <a:t> [ug/g]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Theoret. PCE distribution</a:t>
            </a:r>
          </a:p>
          <a:p>
            <a:pPr>
              <a:defRPr/>
            </a:pPr>
            <a:r>
              <a:rPr lang="en-US"/>
              <a:t>Sorbed vs Aqueous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Theoret. Soil 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'2nd processing'!$E$3:$E$26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'2nd processing'!$F$3:$F$26</c:f>
              <c:numCache>
                <c:formatCode>General</c:formatCode>
                <c:ptCount val="24"/>
                <c:pt idx="0">
                  <c:v>1.0972500000000001</c:v>
                </c:pt>
                <c:pt idx="1">
                  <c:v>2.1945000000000001</c:v>
                </c:pt>
                <c:pt idx="2">
                  <c:v>4.3890000000000002</c:v>
                </c:pt>
                <c:pt idx="3">
                  <c:v>6.5835000000000008</c:v>
                </c:pt>
                <c:pt idx="4">
                  <c:v>8.7780000000000005</c:v>
                </c:pt>
                <c:pt idx="5">
                  <c:v>10.9725</c:v>
                </c:pt>
                <c:pt idx="6">
                  <c:v>13.167000000000002</c:v>
                </c:pt>
                <c:pt idx="7">
                  <c:v>15.361500000000001</c:v>
                </c:pt>
                <c:pt idx="8">
                  <c:v>17.556000000000001</c:v>
                </c:pt>
                <c:pt idx="9">
                  <c:v>19.750500000000002</c:v>
                </c:pt>
                <c:pt idx="10">
                  <c:v>21.945</c:v>
                </c:pt>
                <c:pt idx="11">
                  <c:v>24.139500000000002</c:v>
                </c:pt>
                <c:pt idx="12">
                  <c:v>26.334000000000003</c:v>
                </c:pt>
                <c:pt idx="13">
                  <c:v>28.528500000000001</c:v>
                </c:pt>
                <c:pt idx="14">
                  <c:v>30.723000000000003</c:v>
                </c:pt>
                <c:pt idx="15">
                  <c:v>32.917500000000004</c:v>
                </c:pt>
                <c:pt idx="16">
                  <c:v>35.112000000000002</c:v>
                </c:pt>
                <c:pt idx="17">
                  <c:v>37.3065</c:v>
                </c:pt>
                <c:pt idx="18">
                  <c:v>39.501000000000005</c:v>
                </c:pt>
                <c:pt idx="19">
                  <c:v>41.695500000000003</c:v>
                </c:pt>
                <c:pt idx="20">
                  <c:v>43.89</c:v>
                </c:pt>
                <c:pt idx="21">
                  <c:v>46.084500000000006</c:v>
                </c:pt>
                <c:pt idx="22">
                  <c:v>48.279000000000003</c:v>
                </c:pt>
                <c:pt idx="23">
                  <c:v>50.473500000000001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F0-41A1-89A0-39F44F226D9F}"/>
            </c:ext>
          </c:extLst>
        </c:ser>
        <c:ser>
          <c:idx val="1"/>
          <c:order val="1"/>
          <c:tx>
            <c:v>Theoret. Soil 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'2nd processing'!$E$3:$E$26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'2nd processing'!$G$3:$G$26</c:f>
              <c:numCache>
                <c:formatCode>General</c:formatCode>
                <c:ptCount val="24"/>
                <c:pt idx="0">
                  <c:v>3.6690499999999999</c:v>
                </c:pt>
                <c:pt idx="1">
                  <c:v>7.3380999999999998</c:v>
                </c:pt>
                <c:pt idx="2">
                  <c:v>14.6762</c:v>
                </c:pt>
                <c:pt idx="3">
                  <c:v>22.014299999999999</c:v>
                </c:pt>
                <c:pt idx="4">
                  <c:v>29.352399999999999</c:v>
                </c:pt>
                <c:pt idx="5">
                  <c:v>36.6905</c:v>
                </c:pt>
                <c:pt idx="6">
                  <c:v>44.028599999999997</c:v>
                </c:pt>
                <c:pt idx="7">
                  <c:v>51.366700000000002</c:v>
                </c:pt>
                <c:pt idx="8">
                  <c:v>58.704799999999999</c:v>
                </c:pt>
                <c:pt idx="9">
                  <c:v>66.042900000000003</c:v>
                </c:pt>
                <c:pt idx="10">
                  <c:v>73.381</c:v>
                </c:pt>
                <c:pt idx="11">
                  <c:v>80.719099999999997</c:v>
                </c:pt>
                <c:pt idx="12">
                  <c:v>88.057199999999995</c:v>
                </c:pt>
                <c:pt idx="13">
                  <c:v>95.395299999999992</c:v>
                </c:pt>
                <c:pt idx="14">
                  <c:v>102.7334</c:v>
                </c:pt>
                <c:pt idx="15">
                  <c:v>110.0715</c:v>
                </c:pt>
                <c:pt idx="16">
                  <c:v>117.4096</c:v>
                </c:pt>
                <c:pt idx="17">
                  <c:v>124.74769999999999</c:v>
                </c:pt>
                <c:pt idx="18">
                  <c:v>132.08580000000001</c:v>
                </c:pt>
                <c:pt idx="19">
                  <c:v>139.4239</c:v>
                </c:pt>
                <c:pt idx="20">
                  <c:v>146.762</c:v>
                </c:pt>
                <c:pt idx="21">
                  <c:v>154.1001</c:v>
                </c:pt>
                <c:pt idx="22">
                  <c:v>161.43819999999999</c:v>
                </c:pt>
                <c:pt idx="23">
                  <c:v>168.77629999999999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F0-41A1-89A0-39F44F226D9F}"/>
            </c:ext>
          </c:extLst>
        </c:ser>
        <c:ser>
          <c:idx val="2"/>
          <c:order val="2"/>
          <c:tx>
            <c:v>Theoret. Soil 3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'2nd processing'!$E$3:$E$26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'2nd processing'!$H$3:$H$26</c:f>
              <c:numCache>
                <c:formatCode>General</c:formatCode>
                <c:ptCount val="24"/>
                <c:pt idx="0">
                  <c:v>0.31569999999999998</c:v>
                </c:pt>
                <c:pt idx="1">
                  <c:v>0.63139999999999996</c:v>
                </c:pt>
                <c:pt idx="2">
                  <c:v>1.2627999999999999</c:v>
                </c:pt>
                <c:pt idx="3">
                  <c:v>1.8941999999999999</c:v>
                </c:pt>
                <c:pt idx="4">
                  <c:v>2.5255999999999998</c:v>
                </c:pt>
                <c:pt idx="5">
                  <c:v>3.157</c:v>
                </c:pt>
                <c:pt idx="6">
                  <c:v>3.7883999999999998</c:v>
                </c:pt>
                <c:pt idx="7">
                  <c:v>4.4197999999999995</c:v>
                </c:pt>
                <c:pt idx="8">
                  <c:v>5.0511999999999997</c:v>
                </c:pt>
                <c:pt idx="9">
                  <c:v>5.6825999999999999</c:v>
                </c:pt>
                <c:pt idx="10">
                  <c:v>6.3140000000000001</c:v>
                </c:pt>
                <c:pt idx="11">
                  <c:v>6.9453999999999994</c:v>
                </c:pt>
                <c:pt idx="12">
                  <c:v>7.5767999999999995</c:v>
                </c:pt>
                <c:pt idx="13">
                  <c:v>8.2081999999999997</c:v>
                </c:pt>
                <c:pt idx="14">
                  <c:v>8.839599999999999</c:v>
                </c:pt>
                <c:pt idx="15">
                  <c:v>9.4710000000000001</c:v>
                </c:pt>
                <c:pt idx="16">
                  <c:v>10.102399999999999</c:v>
                </c:pt>
                <c:pt idx="17">
                  <c:v>10.733799999999999</c:v>
                </c:pt>
                <c:pt idx="18">
                  <c:v>11.3652</c:v>
                </c:pt>
                <c:pt idx="19">
                  <c:v>11.996599999999999</c:v>
                </c:pt>
                <c:pt idx="20">
                  <c:v>12.628</c:v>
                </c:pt>
                <c:pt idx="21">
                  <c:v>13.259399999999999</c:v>
                </c:pt>
                <c:pt idx="22">
                  <c:v>13.890799999999999</c:v>
                </c:pt>
                <c:pt idx="23">
                  <c:v>14.5222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F0-41A1-89A0-39F44F226D9F}"/>
            </c:ext>
          </c:extLst>
        </c:ser>
        <c:ser>
          <c:idx val="3"/>
          <c:order val="3"/>
          <c:tx>
            <c:v>Measured Means Soil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'2nd processing'!$F$62:$F$73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 formatCode="0.0000">
                  <c:v>1.0446431004330741</c:v>
                </c:pt>
                <c:pt idx="3" formatCode="0.0000">
                  <c:v>1.2312443646932638</c:v>
                </c:pt>
                <c:pt idx="4" formatCode="0.0000">
                  <c:v>3.3626352260400614</c:v>
                </c:pt>
                <c:pt idx="5" formatCode="0.0000">
                  <c:v>2.8538443036817798</c:v>
                </c:pt>
                <c:pt idx="6" formatCode="0.0000">
                  <c:v>4.1175049919067179</c:v>
                </c:pt>
                <c:pt idx="7" formatCode="0.0000">
                  <c:v>2.9325477069527945</c:v>
                </c:pt>
                <c:pt idx="8" formatCode="0.0000">
                  <c:v>7.5439150651451854</c:v>
                </c:pt>
                <c:pt idx="9" formatCode="0.0000">
                  <c:v>8.5882918386009788</c:v>
                </c:pt>
                <c:pt idx="10" formatCode="0.0000">
                  <c:v>20.645492823065542</c:v>
                </c:pt>
                <c:pt idx="11" formatCode="0.0000">
                  <c:v>11.925718425442877</c:v>
                </c:pt>
              </c:numCache>
            </c:numRef>
          </c:xVal>
          <c:yVal>
            <c:numRef>
              <c:f>'2nd processing'!$G$62:$G$73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 formatCode="0.0000">
                  <c:v>0.58214275982677033</c:v>
                </c:pt>
                <c:pt idx="3" formatCode="0.0000">
                  <c:v>0.50750225412269456</c:v>
                </c:pt>
                <c:pt idx="4" formatCode="0.0000">
                  <c:v>1.6549459095839754</c:v>
                </c:pt>
                <c:pt idx="5" formatCode="0.0000">
                  <c:v>1.8584622785272882</c:v>
                </c:pt>
                <c:pt idx="6" formatCode="0.0000">
                  <c:v>3.352998003237313</c:v>
                </c:pt>
                <c:pt idx="7" formatCode="0.0000">
                  <c:v>3.826980917218882</c:v>
                </c:pt>
                <c:pt idx="8" formatCode="0.0000">
                  <c:v>6.9824339739419266</c:v>
                </c:pt>
                <c:pt idx="9" formatCode="0.0000">
                  <c:v>6.5646832645596085</c:v>
                </c:pt>
                <c:pt idx="10" formatCode="0.0000">
                  <c:v>11.741802870773784</c:v>
                </c:pt>
                <c:pt idx="11" formatCode="0.0000">
                  <c:v>15.229712629822849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F0-41A1-89A0-39F44F226D9F}"/>
            </c:ext>
          </c:extLst>
        </c:ser>
        <c:ser>
          <c:idx val="4"/>
          <c:order val="4"/>
          <c:tx>
            <c:v>Measured Single Soil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9513686581989195E-2"/>
                  <c:y val="1.615042022186251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6"/>
                  </a:solidFill>
                  <a:prstDash val="sys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'2nd processing'!$F$34:$F$57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">
                  <c:v>0.9829802144537918</c:v>
                </c:pt>
                <c:pt idx="5" formatCode="0.0000">
                  <c:v>1.1063059864123563</c:v>
                </c:pt>
                <c:pt idx="6" formatCode="0.0000">
                  <c:v>1.0477070524455259</c:v>
                </c:pt>
                <c:pt idx="7" formatCode="0.0000">
                  <c:v>1.4147816769410015</c:v>
                </c:pt>
                <c:pt idx="8" formatCode="0.0000">
                  <c:v>3.5361811929188036</c:v>
                </c:pt>
                <c:pt idx="9" formatCode="0.0000">
                  <c:v>3.1890892591613191</c:v>
                </c:pt>
                <c:pt idx="10" formatCode="0.0000">
                  <c:v>2.7452091481921088</c:v>
                </c:pt>
                <c:pt idx="11" formatCode="0.0000">
                  <c:v>2.9624794591714503</c:v>
                </c:pt>
                <c:pt idx="12">
                  <c:v>3.5905679683171878</c:v>
                </c:pt>
                <c:pt idx="13">
                  <c:v>4.6444420154962476</c:v>
                </c:pt>
                <c:pt idx="14">
                  <c:v>2.8498269743329834</c:v>
                </c:pt>
                <c:pt idx="15">
                  <c:v>3.0152684395726053</c:v>
                </c:pt>
                <c:pt idx="16">
                  <c:v>6.6109212053615325</c:v>
                </c:pt>
                <c:pt idx="17">
                  <c:v>8.4769089249288392</c:v>
                </c:pt>
                <c:pt idx="18">
                  <c:v>8.6591963170557591</c:v>
                </c:pt>
                <c:pt idx="19">
                  <c:v>8.5173873601461985</c:v>
                </c:pt>
                <c:pt idx="20">
                  <c:v>18.962392811401685</c:v>
                </c:pt>
                <c:pt idx="21">
                  <c:v>22.328592834729399</c:v>
                </c:pt>
                <c:pt idx="22">
                  <c:v>11.861957472946635</c:v>
                </c:pt>
                <c:pt idx="23">
                  <c:v>11.989479377939118</c:v>
                </c:pt>
              </c:numCache>
            </c:numRef>
          </c:xVal>
          <c:yVal>
            <c:numRef>
              <c:f>'2nd processing'!$G$34:$G$57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0.60680791421848324</c:v>
                </c:pt>
                <c:pt idx="5">
                  <c:v>0.55747760543505742</c:v>
                </c:pt>
                <c:pt idx="6">
                  <c:v>0.58091717902178963</c:v>
                </c:pt>
                <c:pt idx="7">
                  <c:v>0.43408732922359938</c:v>
                </c:pt>
                <c:pt idx="8">
                  <c:v>1.5855275228324786</c:v>
                </c:pt>
                <c:pt idx="9">
                  <c:v>1.7243642963354724</c:v>
                </c:pt>
                <c:pt idx="10">
                  <c:v>1.9019163407231567</c:v>
                </c:pt>
                <c:pt idx="11">
                  <c:v>1.8150082163314198</c:v>
                </c:pt>
                <c:pt idx="12">
                  <c:v>3.5637728126731245</c:v>
                </c:pt>
                <c:pt idx="13">
                  <c:v>3.1422231938015011</c:v>
                </c:pt>
                <c:pt idx="14">
                  <c:v>3.8600692102668064</c:v>
                </c:pt>
                <c:pt idx="15">
                  <c:v>3.7938926241709581</c:v>
                </c:pt>
                <c:pt idx="16">
                  <c:v>7.3556315178553877</c:v>
                </c:pt>
                <c:pt idx="17">
                  <c:v>6.6092364300284645</c:v>
                </c:pt>
                <c:pt idx="18">
                  <c:v>6.5363214731776962</c:v>
                </c:pt>
                <c:pt idx="19">
                  <c:v>6.5930450559415208</c:v>
                </c:pt>
                <c:pt idx="20">
                  <c:v>12.415042875439326</c:v>
                </c:pt>
                <c:pt idx="21">
                  <c:v>11.068562866108241</c:v>
                </c:pt>
                <c:pt idx="22">
                  <c:v>15.255217010821346</c:v>
                </c:pt>
                <c:pt idx="23">
                  <c:v>15.204208248824353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F0-41A1-89A0-39F44F226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97856"/>
        <c:axId val="13369621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Interesting TRY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-2.0109759007396803E-2"/>
                        <c:y val="-8.2022003347142589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'2nd processing'!$N$43:$N$66</c15:sqref>
                        </c15:formulaRef>
                      </c:ext>
                    </c:extLst>
                    <c:numCache>
                      <c:formatCode>0.0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 formatCode="0.0000">
                        <c:v>0.4914901072268959</c:v>
                      </c:pt>
                      <c:pt idx="5" formatCode="0.0000">
                        <c:v>0.55315299320617817</c:v>
                      </c:pt>
                      <c:pt idx="6" formatCode="0.0000">
                        <c:v>0.52385352622276293</c:v>
                      </c:pt>
                      <c:pt idx="7" formatCode="0.0000">
                        <c:v>0.70739083847050077</c:v>
                      </c:pt>
                      <c:pt idx="8" formatCode="0.0000">
                        <c:v>1.7680905964594018</c:v>
                      </c:pt>
                      <c:pt idx="9" formatCode="0.0000">
                        <c:v>1.5945446295806596</c:v>
                      </c:pt>
                      <c:pt idx="10" formatCode="0.0000">
                        <c:v>1.3726045740960544</c:v>
                      </c:pt>
                      <c:pt idx="11" formatCode="0.0000">
                        <c:v>1.4812397295857251</c:v>
                      </c:pt>
                      <c:pt idx="12" formatCode="0.0000">
                        <c:v>1.7952839841585939</c:v>
                      </c:pt>
                      <c:pt idx="13" formatCode="0.0000">
                        <c:v>2.3222210077481238</c:v>
                      </c:pt>
                      <c:pt idx="14" formatCode="0.0000">
                        <c:v>1.4249134871664917</c:v>
                      </c:pt>
                      <c:pt idx="15" formatCode="0.0000">
                        <c:v>1.5076342197863026</c:v>
                      </c:pt>
                      <c:pt idx="16" formatCode="0.0000">
                        <c:v>3.3054606026807662</c:v>
                      </c:pt>
                      <c:pt idx="17" formatCode="0.0000">
                        <c:v>4.2384544624644196</c:v>
                      </c:pt>
                      <c:pt idx="18" formatCode="0.0000">
                        <c:v>4.3295981585278795</c:v>
                      </c:pt>
                      <c:pt idx="19" formatCode="0.0000">
                        <c:v>4.2586936800730992</c:v>
                      </c:pt>
                      <c:pt idx="20" formatCode="0.0000">
                        <c:v>9.4811964057008424</c:v>
                      </c:pt>
                      <c:pt idx="21" formatCode="0.0000">
                        <c:v>11.164296417364699</c:v>
                      </c:pt>
                      <c:pt idx="22" formatCode="0.0000">
                        <c:v>5.9309787364733175</c:v>
                      </c:pt>
                      <c:pt idx="23" formatCode="0.0000">
                        <c:v>5.9947396889695588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'2nd processing'!$O$43:$O$66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 formatCode="0.0000">
                        <c:v>0.80340395710924162</c:v>
                      </c:pt>
                      <c:pt idx="5" formatCode="0.0000">
                        <c:v>0.77873880271752882</c:v>
                      </c:pt>
                      <c:pt idx="6" formatCode="0.0000">
                        <c:v>0.79045858951089476</c:v>
                      </c:pt>
                      <c:pt idx="7" formatCode="0.0000">
                        <c:v>0.71704366461179969</c:v>
                      </c:pt>
                      <c:pt idx="8" formatCode="0.0000">
                        <c:v>2.2927637614162393</c:v>
                      </c:pt>
                      <c:pt idx="9" formatCode="0.0000">
                        <c:v>2.3621821481677361</c:v>
                      </c:pt>
                      <c:pt idx="10" formatCode="0.0000">
                        <c:v>2.4509581703615781</c:v>
                      </c:pt>
                      <c:pt idx="11" formatCode="0.0000">
                        <c:v>2.4075041081657096</c:v>
                      </c:pt>
                      <c:pt idx="12">
                        <c:v>4.2818864063365627</c:v>
                      </c:pt>
                      <c:pt idx="13">
                        <c:v>4.0711115969007512</c:v>
                      </c:pt>
                      <c:pt idx="14">
                        <c:v>4.430034605133403</c:v>
                      </c:pt>
                      <c:pt idx="15">
                        <c:v>4.396946312085479</c:v>
                      </c:pt>
                      <c:pt idx="16">
                        <c:v>8.677815758927693</c:v>
                      </c:pt>
                      <c:pt idx="17">
                        <c:v>8.3046182150142336</c:v>
                      </c:pt>
                      <c:pt idx="18">
                        <c:v>8.2681607365888485</c:v>
                      </c:pt>
                      <c:pt idx="19">
                        <c:v>8.29652252797076</c:v>
                      </c:pt>
                      <c:pt idx="20">
                        <c:v>16.207521437719663</c:v>
                      </c:pt>
                      <c:pt idx="21">
                        <c:v>15.534281433054122</c:v>
                      </c:pt>
                      <c:pt idx="22">
                        <c:v>17.62760850541067</c:v>
                      </c:pt>
                      <c:pt idx="23">
                        <c:v>17.602104124412175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82C-40AA-8B16-C612B95E9534}"/>
                  </c:ext>
                </c:extLst>
              </c15:ser>
            </c15:filteredScatterSeries>
          </c:ext>
        </c:extLst>
      </c:scatterChart>
      <c:valAx>
        <c:axId val="133697856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Aqueous Conc.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6216"/>
        <c:crosses val="autoZero"/>
        <c:crossBetween val="midCat"/>
      </c:valAx>
      <c:valAx>
        <c:axId val="13369621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Sorbed Conc.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PFOA</a:t>
            </a:r>
            <a:r>
              <a:rPr lang="en-US" baseline="0"/>
              <a:t> aqueous - solid phase</a:t>
            </a:r>
          </a:p>
          <a:p>
            <a:pPr>
              <a:defRPr/>
            </a:pPr>
            <a:r>
              <a:rPr lang="en-US" baseline="0"/>
              <a:t>w/o dil. factor by extraction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Samples 05.07.21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'2nd processing'!$N$43:$N$54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">
                  <c:v>0.4914901072268959</c:v>
                </c:pt>
                <c:pt idx="5" formatCode="0.0000">
                  <c:v>0.55315299320617817</c:v>
                </c:pt>
                <c:pt idx="6" formatCode="0.0000">
                  <c:v>0.52385352622276293</c:v>
                </c:pt>
                <c:pt idx="7" formatCode="0.0000">
                  <c:v>0.70739083847050077</c:v>
                </c:pt>
                <c:pt idx="8" formatCode="0.0000">
                  <c:v>1.7680905964594018</c:v>
                </c:pt>
                <c:pt idx="9" formatCode="0.0000">
                  <c:v>1.5945446295806596</c:v>
                </c:pt>
                <c:pt idx="10" formatCode="0.0000">
                  <c:v>1.3726045740960544</c:v>
                </c:pt>
                <c:pt idx="11" formatCode="0.0000">
                  <c:v>1.4812397295857251</c:v>
                </c:pt>
              </c:numCache>
            </c:numRef>
          </c:xVal>
          <c:yVal>
            <c:numRef>
              <c:f>'2nd processing'!$O$43:$O$54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">
                  <c:v>0.80340395710924162</c:v>
                </c:pt>
                <c:pt idx="5" formatCode="0.0000">
                  <c:v>0.77873880271752882</c:v>
                </c:pt>
                <c:pt idx="6" formatCode="0.0000">
                  <c:v>0.79045858951089476</c:v>
                </c:pt>
                <c:pt idx="7" formatCode="0.0000">
                  <c:v>0.71704366461179969</c:v>
                </c:pt>
                <c:pt idx="8" formatCode="0.0000">
                  <c:v>2.2927637614162393</c:v>
                </c:pt>
                <c:pt idx="9" formatCode="0.0000">
                  <c:v>2.3621821481677361</c:v>
                </c:pt>
                <c:pt idx="10" formatCode="0.0000">
                  <c:v>2.4509581703615781</c:v>
                </c:pt>
                <c:pt idx="11" formatCode="0.0000">
                  <c:v>2.4075041081657096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DB-4623-A911-0F09265D147D}"/>
            </c:ext>
          </c:extLst>
        </c:ser>
        <c:ser>
          <c:idx val="1"/>
          <c:order val="1"/>
          <c:tx>
            <c:v>Samples 07.07.21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'2nd processing'!$N$55:$N$66</c:f>
              <c:numCache>
                <c:formatCode>0.0000</c:formatCode>
                <c:ptCount val="12"/>
                <c:pt idx="0">
                  <c:v>1.7952839841585939</c:v>
                </c:pt>
                <c:pt idx="1">
                  <c:v>2.3222210077481238</c:v>
                </c:pt>
                <c:pt idx="2">
                  <c:v>1.4249134871664917</c:v>
                </c:pt>
                <c:pt idx="3">
                  <c:v>1.5076342197863026</c:v>
                </c:pt>
                <c:pt idx="4">
                  <c:v>3.3054606026807662</c:v>
                </c:pt>
                <c:pt idx="5">
                  <c:v>4.2384544624644196</c:v>
                </c:pt>
                <c:pt idx="6">
                  <c:v>4.3295981585278795</c:v>
                </c:pt>
                <c:pt idx="7">
                  <c:v>4.2586936800730992</c:v>
                </c:pt>
                <c:pt idx="8">
                  <c:v>9.4811964057008424</c:v>
                </c:pt>
                <c:pt idx="9">
                  <c:v>11.164296417364699</c:v>
                </c:pt>
                <c:pt idx="10">
                  <c:v>5.9309787364733175</c:v>
                </c:pt>
                <c:pt idx="11">
                  <c:v>5.9947396889695588</c:v>
                </c:pt>
              </c:numCache>
            </c:numRef>
          </c:xVal>
          <c:yVal>
            <c:numRef>
              <c:f>'2nd processing'!$O$55:$O$66</c:f>
              <c:numCache>
                <c:formatCode>General</c:formatCode>
                <c:ptCount val="12"/>
                <c:pt idx="0">
                  <c:v>4.2818864063365627</c:v>
                </c:pt>
                <c:pt idx="1">
                  <c:v>4.0711115969007512</c:v>
                </c:pt>
                <c:pt idx="2">
                  <c:v>4.430034605133403</c:v>
                </c:pt>
                <c:pt idx="3">
                  <c:v>4.396946312085479</c:v>
                </c:pt>
                <c:pt idx="4">
                  <c:v>8.677815758927693</c:v>
                </c:pt>
                <c:pt idx="5">
                  <c:v>8.3046182150142336</c:v>
                </c:pt>
                <c:pt idx="6">
                  <c:v>8.2681607365888485</c:v>
                </c:pt>
                <c:pt idx="7">
                  <c:v>8.29652252797076</c:v>
                </c:pt>
                <c:pt idx="8">
                  <c:v>16.207521437719663</c:v>
                </c:pt>
                <c:pt idx="9">
                  <c:v>15.534281433054122</c:v>
                </c:pt>
                <c:pt idx="10">
                  <c:v>17.62760850541067</c:v>
                </c:pt>
                <c:pt idx="11">
                  <c:v>17.602104124412175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DB-4623-A911-0F09265D147D}"/>
            </c:ext>
          </c:extLst>
        </c:ser>
        <c:ser>
          <c:idx val="2"/>
          <c:order val="2"/>
          <c:tx>
            <c:v>All samples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461476200534498"/>
                  <c:y val="0.11751301832514244"/>
                </c:manualLayout>
              </c:layout>
              <c:numFmt formatCode="#,##0.00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'2nd processing'!$N$43:$N$66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">
                  <c:v>0.4914901072268959</c:v>
                </c:pt>
                <c:pt idx="5" formatCode="0.0000">
                  <c:v>0.55315299320617817</c:v>
                </c:pt>
                <c:pt idx="6" formatCode="0.0000">
                  <c:v>0.52385352622276293</c:v>
                </c:pt>
                <c:pt idx="7" formatCode="0.0000">
                  <c:v>0.70739083847050077</c:v>
                </c:pt>
                <c:pt idx="8" formatCode="0.0000">
                  <c:v>1.7680905964594018</c:v>
                </c:pt>
                <c:pt idx="9" formatCode="0.0000">
                  <c:v>1.5945446295806596</c:v>
                </c:pt>
                <c:pt idx="10" formatCode="0.0000">
                  <c:v>1.3726045740960544</c:v>
                </c:pt>
                <c:pt idx="11" formatCode="0.0000">
                  <c:v>1.4812397295857251</c:v>
                </c:pt>
                <c:pt idx="12" formatCode="0.0000">
                  <c:v>1.7952839841585939</c:v>
                </c:pt>
                <c:pt idx="13" formatCode="0.0000">
                  <c:v>2.3222210077481238</c:v>
                </c:pt>
                <c:pt idx="14" formatCode="0.0000">
                  <c:v>1.4249134871664917</c:v>
                </c:pt>
                <c:pt idx="15" formatCode="0.0000">
                  <c:v>1.5076342197863026</c:v>
                </c:pt>
                <c:pt idx="16" formatCode="0.0000">
                  <c:v>3.3054606026807662</c:v>
                </c:pt>
                <c:pt idx="17" formatCode="0.0000">
                  <c:v>4.2384544624644196</c:v>
                </c:pt>
                <c:pt idx="18" formatCode="0.0000">
                  <c:v>4.3295981585278795</c:v>
                </c:pt>
                <c:pt idx="19" formatCode="0.0000">
                  <c:v>4.2586936800730992</c:v>
                </c:pt>
                <c:pt idx="20" formatCode="0.0000">
                  <c:v>9.4811964057008424</c:v>
                </c:pt>
                <c:pt idx="21" formatCode="0.0000">
                  <c:v>11.164296417364699</c:v>
                </c:pt>
                <c:pt idx="22" formatCode="0.0000">
                  <c:v>5.9309787364733175</c:v>
                </c:pt>
                <c:pt idx="23" formatCode="0.0000">
                  <c:v>5.9947396889695588</c:v>
                </c:pt>
              </c:numCache>
            </c:numRef>
          </c:xVal>
          <c:yVal>
            <c:numRef>
              <c:f>'2nd processing'!$O$43:$O$66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">
                  <c:v>0.80340395710924162</c:v>
                </c:pt>
                <c:pt idx="5" formatCode="0.0000">
                  <c:v>0.77873880271752882</c:v>
                </c:pt>
                <c:pt idx="6" formatCode="0.0000">
                  <c:v>0.79045858951089476</c:v>
                </c:pt>
                <c:pt idx="7" formatCode="0.0000">
                  <c:v>0.71704366461179969</c:v>
                </c:pt>
                <c:pt idx="8" formatCode="0.0000">
                  <c:v>2.2927637614162393</c:v>
                </c:pt>
                <c:pt idx="9" formatCode="0.0000">
                  <c:v>2.3621821481677361</c:v>
                </c:pt>
                <c:pt idx="10" formatCode="0.0000">
                  <c:v>2.4509581703615781</c:v>
                </c:pt>
                <c:pt idx="11" formatCode="0.0000">
                  <c:v>2.4075041081657096</c:v>
                </c:pt>
                <c:pt idx="12">
                  <c:v>4.2818864063365627</c:v>
                </c:pt>
                <c:pt idx="13">
                  <c:v>4.0711115969007512</c:v>
                </c:pt>
                <c:pt idx="14">
                  <c:v>4.430034605133403</c:v>
                </c:pt>
                <c:pt idx="15">
                  <c:v>4.396946312085479</c:v>
                </c:pt>
                <c:pt idx="16">
                  <c:v>8.677815758927693</c:v>
                </c:pt>
                <c:pt idx="17">
                  <c:v>8.3046182150142336</c:v>
                </c:pt>
                <c:pt idx="18">
                  <c:v>8.2681607365888485</c:v>
                </c:pt>
                <c:pt idx="19">
                  <c:v>8.29652252797076</c:v>
                </c:pt>
                <c:pt idx="20">
                  <c:v>16.207521437719663</c:v>
                </c:pt>
                <c:pt idx="21">
                  <c:v>15.534281433054122</c:v>
                </c:pt>
                <c:pt idx="22">
                  <c:v>17.62760850541067</c:v>
                </c:pt>
                <c:pt idx="23">
                  <c:v>17.602104124412175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DB-4623-A911-0F09265D1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45976"/>
        <c:axId val="645246304"/>
        <c:extLst/>
      </c:scatterChart>
      <c:valAx>
        <c:axId val="64524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PFOA aqeuous</a:t>
                </a:r>
                <a:r>
                  <a:rPr lang="en-US" baseline="0"/>
                  <a:t> phase</a:t>
                </a:r>
                <a:r>
                  <a:rPr lang="en-US"/>
                  <a:t>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6304"/>
        <c:crosses val="autoZero"/>
        <c:crossBetween val="midCat"/>
      </c:valAx>
      <c:valAx>
        <c:axId val="64524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PFOA</a:t>
                </a:r>
                <a:r>
                  <a:rPr lang="en-US" baseline="0"/>
                  <a:t> solid phase [ppm]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928610837001814E-2"/>
              <c:y val="0.32220540218489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PCE+ PFOA</a:t>
            </a:r>
            <a:r>
              <a:rPr lang="en-US" baseline="0"/>
              <a:t> Phase conc.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Aqueous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68414729101888"/>
                  <c:y val="-0.10259567720799594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'Sorption Competition PCE-PFOA'!$B$27:$B$38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1.0446431004330741</c:v>
                </c:pt>
                <c:pt idx="3">
                  <c:v>1.2312443646932638</c:v>
                </c:pt>
                <c:pt idx="4">
                  <c:v>3.3626352260400614</c:v>
                </c:pt>
                <c:pt idx="5">
                  <c:v>2.8538443036817798</c:v>
                </c:pt>
                <c:pt idx="6">
                  <c:v>4.1175049919067179</c:v>
                </c:pt>
                <c:pt idx="7">
                  <c:v>2.9325477069527945</c:v>
                </c:pt>
                <c:pt idx="8">
                  <c:v>7.5439150651451854</c:v>
                </c:pt>
                <c:pt idx="9">
                  <c:v>8.5882918386009788</c:v>
                </c:pt>
                <c:pt idx="10">
                  <c:v>20.645492823065542</c:v>
                </c:pt>
                <c:pt idx="11">
                  <c:v>11.925718425442877</c:v>
                </c:pt>
              </c:numCache>
            </c:numRef>
          </c:xVal>
          <c:yVal>
            <c:numRef>
              <c:f>'Sorption Competition PCE-PFOA'!$G$27:$G$38</c:f>
              <c:numCache>
                <c:formatCode>General</c:formatCode>
                <c:ptCount val="12"/>
                <c:pt idx="0">
                  <c:v>1.0946897153704354E-2</c:v>
                </c:pt>
                <c:pt idx="1">
                  <c:v>1.0946897153704354E-2</c:v>
                </c:pt>
                <c:pt idx="2">
                  <c:v>4.1837031650716741E-2</c:v>
                </c:pt>
                <c:pt idx="3">
                  <c:v>4.0559734458733052E-2</c:v>
                </c:pt>
                <c:pt idx="4">
                  <c:v>0.11524798296423011</c:v>
                </c:pt>
                <c:pt idx="5">
                  <c:v>0.11100265930698577</c:v>
                </c:pt>
                <c:pt idx="6">
                  <c:v>0.15291907633896298</c:v>
                </c:pt>
                <c:pt idx="7">
                  <c:v>0.16769866165927799</c:v>
                </c:pt>
                <c:pt idx="8">
                  <c:v>0.29527105037996582</c:v>
                </c:pt>
                <c:pt idx="9">
                  <c:v>0.35427013240700678</c:v>
                </c:pt>
                <c:pt idx="10">
                  <c:v>0.64286845634311585</c:v>
                </c:pt>
                <c:pt idx="11">
                  <c:v>0.77849574739676342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9-465C-8096-8F7450C0B557}"/>
            </c:ext>
          </c:extLst>
        </c:ser>
        <c:ser>
          <c:idx val="1"/>
          <c:order val="1"/>
          <c:tx>
            <c:v>Solid Phase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304652733732448"/>
                  <c:y val="8.4848312540314053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'Sorption Competition PCE-PFOA'!$C$27:$C$38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0.58214275982677033</c:v>
                </c:pt>
                <c:pt idx="3">
                  <c:v>0.50750225412269456</c:v>
                </c:pt>
                <c:pt idx="4">
                  <c:v>1.6549459095839754</c:v>
                </c:pt>
                <c:pt idx="5">
                  <c:v>1.8584622785272882</c:v>
                </c:pt>
                <c:pt idx="6">
                  <c:v>3.352998003237313</c:v>
                </c:pt>
                <c:pt idx="7">
                  <c:v>3.826980917218882</c:v>
                </c:pt>
                <c:pt idx="8">
                  <c:v>6.9824339739419266</c:v>
                </c:pt>
                <c:pt idx="9">
                  <c:v>6.5646832645596085</c:v>
                </c:pt>
                <c:pt idx="10">
                  <c:v>11.741802870773784</c:v>
                </c:pt>
                <c:pt idx="11">
                  <c:v>15.229712629822849</c:v>
                </c:pt>
              </c:numCache>
            </c:numRef>
          </c:xVal>
          <c:yVal>
            <c:numRef>
              <c:f>'Sorption Competition PCE-PFOA'!$H$27:$H$38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5.7084699881151613E-2</c:v>
                </c:pt>
                <c:pt idx="3">
                  <c:v>6.1447947088967877E-2</c:v>
                </c:pt>
                <c:pt idx="4">
                  <c:v>0.20631289019418997</c:v>
                </c:pt>
                <c:pt idx="5">
                  <c:v>0.22081491580733656</c:v>
                </c:pt>
                <c:pt idx="6">
                  <c:v>0.47762843522610243</c:v>
                </c:pt>
                <c:pt idx="7">
                  <c:v>0.42714137177190636</c:v>
                </c:pt>
                <c:pt idx="8">
                  <c:v>0.99135409190203672</c:v>
                </c:pt>
                <c:pt idx="9">
                  <c:v>0.78981322769766482</c:v>
                </c:pt>
                <c:pt idx="10">
                  <c:v>1.8039613531319163</c:v>
                </c:pt>
                <c:pt idx="11">
                  <c:v>1.3406585268926559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49-465C-8096-8F7450C0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66744"/>
        <c:axId val="579864120"/>
      </c:scatterChart>
      <c:valAx>
        <c:axId val="57986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PFOA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64120"/>
        <c:crosses val="autoZero"/>
        <c:crossBetween val="midCat"/>
      </c:valAx>
      <c:valAx>
        <c:axId val="57986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PCE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6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Meas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C_Stds_05.07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Raw_data!$L$11:$L$16</c:f>
              <c:numCache>
                <c:formatCode>General</c:formatCode>
                <c:ptCount val="6"/>
                <c:pt idx="0">
                  <c:v>2.5</c:v>
                </c:pt>
                <c:pt idx="1">
                  <c:v>2.5</c:v>
                </c:pt>
                <c:pt idx="2">
                  <c:v>0.25</c:v>
                </c:pt>
                <c:pt idx="3">
                  <c:v>0.25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Raw_data!$G$11:$G$16</c:f>
              <c:numCache>
                <c:formatCode>General</c:formatCode>
                <c:ptCount val="6"/>
                <c:pt idx="0">
                  <c:v>853878</c:v>
                </c:pt>
                <c:pt idx="1">
                  <c:v>985732</c:v>
                </c:pt>
                <c:pt idx="2">
                  <c:v>109206</c:v>
                </c:pt>
                <c:pt idx="3">
                  <c:v>117140</c:v>
                </c:pt>
                <c:pt idx="4">
                  <c:v>2317099</c:v>
                </c:pt>
                <c:pt idx="5">
                  <c:v>2155583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7F-4D1D-A057-DC81EDD80BCB}"/>
            </c:ext>
          </c:extLst>
        </c:ser>
        <c:ser>
          <c:idx val="1"/>
          <c:order val="1"/>
          <c:tx>
            <c:v>C_Stds_07.07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Raw_data!$L$48:$L$53</c:f>
              <c:numCache>
                <c:formatCode>General</c:formatCode>
                <c:ptCount val="6"/>
                <c:pt idx="0">
                  <c:v>1.25</c:v>
                </c:pt>
                <c:pt idx="1">
                  <c:v>1.25</c:v>
                </c:pt>
                <c:pt idx="2">
                  <c:v>10</c:v>
                </c:pt>
                <c:pt idx="3">
                  <c:v>10</c:v>
                </c:pt>
                <c:pt idx="4">
                  <c:v>25</c:v>
                </c:pt>
                <c:pt idx="5">
                  <c:v>25</c:v>
                </c:pt>
              </c:numCache>
            </c:numRef>
          </c:xVal>
          <c:yVal>
            <c:numRef>
              <c:f>Raw_data!$G$48:$G$53</c:f>
              <c:numCache>
                <c:formatCode>General</c:formatCode>
                <c:ptCount val="6"/>
                <c:pt idx="0">
                  <c:v>844407</c:v>
                </c:pt>
                <c:pt idx="1">
                  <c:v>803690</c:v>
                </c:pt>
                <c:pt idx="2">
                  <c:v>8946010</c:v>
                </c:pt>
                <c:pt idx="3">
                  <c:v>9017042</c:v>
                </c:pt>
                <c:pt idx="4">
                  <c:v>21292759</c:v>
                </c:pt>
                <c:pt idx="5">
                  <c:v>21344369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7F-4D1D-A057-DC81EDD80BCB}"/>
            </c:ext>
          </c:extLst>
        </c:ser>
        <c:ser>
          <c:idx val="2"/>
          <c:order val="2"/>
          <c:tx>
            <c:v>Samples 05.07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(Raw_data!$N$9:$N$10,Raw_data!$N$17:$N$18,Raw_data!$N$23:$N$26,Raw_data!$N$29:$N$32)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">
                  <c:v>0.4914901072268959</c:v>
                </c:pt>
                <c:pt idx="5" formatCode="0.0000">
                  <c:v>0.55315299320617817</c:v>
                </c:pt>
                <c:pt idx="6" formatCode="0.0000">
                  <c:v>0.52385352622276293</c:v>
                </c:pt>
                <c:pt idx="7" formatCode="0.0000">
                  <c:v>0.70739083847050077</c:v>
                </c:pt>
                <c:pt idx="8" formatCode="0.0000">
                  <c:v>1.7680905964594018</c:v>
                </c:pt>
                <c:pt idx="9" formatCode="0.0000">
                  <c:v>1.5945446295806596</c:v>
                </c:pt>
                <c:pt idx="10" formatCode="0.0000">
                  <c:v>1.3726045740960544</c:v>
                </c:pt>
                <c:pt idx="11" formatCode="0.0000">
                  <c:v>1.4812397295857251</c:v>
                </c:pt>
              </c:numCache>
            </c:numRef>
          </c:xVal>
          <c:yVal>
            <c:numRef>
              <c:f>(Raw_data!$G$9:$G$10,Raw_data!$G$17:$G$18,Raw_data!$G$23:$G$26,Raw_data!$G$29:$G$32)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180679</c:v>
                </c:pt>
                <c:pt idx="5">
                  <c:v>207828</c:v>
                </c:pt>
                <c:pt idx="6">
                  <c:v>194928</c:v>
                </c:pt>
                <c:pt idx="7">
                  <c:v>275736</c:v>
                </c:pt>
                <c:pt idx="8">
                  <c:v>742742</c:v>
                </c:pt>
                <c:pt idx="9">
                  <c:v>666333</c:v>
                </c:pt>
                <c:pt idx="10">
                  <c:v>568617</c:v>
                </c:pt>
                <c:pt idx="11">
                  <c:v>616447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7F-4D1D-A057-DC81EDD80BCB}"/>
            </c:ext>
          </c:extLst>
        </c:ser>
        <c:ser>
          <c:idx val="3"/>
          <c:order val="3"/>
          <c:tx>
            <c:v>Samples 07.07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(Raw_data!$N$56:$N$59,Raw_data!$N$62:$N$65,Raw_data!$N$68:$N$71)</c:f>
              <c:numCache>
                <c:formatCode>General</c:formatCode>
                <c:ptCount val="12"/>
                <c:pt idx="0">
                  <c:v>1.7952839841585939</c:v>
                </c:pt>
                <c:pt idx="1">
                  <c:v>2.3222210077481238</c:v>
                </c:pt>
                <c:pt idx="2">
                  <c:v>1.4249134871664917</c:v>
                </c:pt>
                <c:pt idx="3">
                  <c:v>1.5076342197863026</c:v>
                </c:pt>
                <c:pt idx="4">
                  <c:v>3.3054606026807662</c:v>
                </c:pt>
                <c:pt idx="5">
                  <c:v>4.2384544624644196</c:v>
                </c:pt>
                <c:pt idx="6">
                  <c:v>4.3295981585278795</c:v>
                </c:pt>
                <c:pt idx="7">
                  <c:v>4.2586936800730992</c:v>
                </c:pt>
                <c:pt idx="8">
                  <c:v>9.4811964057008424</c:v>
                </c:pt>
                <c:pt idx="9">
                  <c:v>11.164296417364699</c:v>
                </c:pt>
                <c:pt idx="10">
                  <c:v>5.9309787364733175</c:v>
                </c:pt>
                <c:pt idx="11">
                  <c:v>5.9947396889695588</c:v>
                </c:pt>
              </c:numCache>
            </c:numRef>
          </c:xVal>
          <c:yVal>
            <c:numRef>
              <c:f>(Raw_data!$G$56:$G$59,Raw_data!$G$62:$G$65,Raw_data!$G$68:$G$71)</c:f>
              <c:numCache>
                <c:formatCode>General</c:formatCode>
                <c:ptCount val="12"/>
                <c:pt idx="0">
                  <c:v>1537277</c:v>
                </c:pt>
                <c:pt idx="1">
                  <c:v>1991960</c:v>
                </c:pt>
                <c:pt idx="2">
                  <c:v>1217692</c:v>
                </c:pt>
                <c:pt idx="3">
                  <c:v>1289070</c:v>
                </c:pt>
                <c:pt idx="4">
                  <c:v>2840377</c:v>
                </c:pt>
                <c:pt idx="5">
                  <c:v>3645438</c:v>
                </c:pt>
                <c:pt idx="6">
                  <c:v>3724084</c:v>
                </c:pt>
                <c:pt idx="7">
                  <c:v>3662902</c:v>
                </c:pt>
                <c:pt idx="8">
                  <c:v>8169291</c:v>
                </c:pt>
                <c:pt idx="9">
                  <c:v>9621603</c:v>
                </c:pt>
                <c:pt idx="10">
                  <c:v>5105882</c:v>
                </c:pt>
                <c:pt idx="11">
                  <c:v>5160900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7F-4D1D-A057-DC81EDD80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66664"/>
        <c:axId val="729073880"/>
      </c:scatterChart>
      <c:valAx>
        <c:axId val="72906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3880"/>
        <c:crosses val="autoZero"/>
        <c:crossBetween val="midCat"/>
      </c:valAx>
      <c:valAx>
        <c:axId val="729073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'Sorption Competition PCE-PFOA'!$O$43</c:f>
              <c:strCache>
                <c:ptCount val="1"/>
                <c:pt idx="0">
                  <c:v>PCE+PFOA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012817147856516"/>
                  <c:y val="-2.995844269466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'Sorption Competition PCE-PFOA'!$P$46:$P$57</c:f>
              <c:numCache>
                <c:formatCode>General</c:formatCode>
                <c:ptCount val="12"/>
                <c:pt idx="0">
                  <c:v>1.0946897153704354E-2</c:v>
                </c:pt>
                <c:pt idx="1">
                  <c:v>1.0946897153704354E-2</c:v>
                </c:pt>
                <c:pt idx="2">
                  <c:v>1.0864801320837909</c:v>
                </c:pt>
                <c:pt idx="3">
                  <c:v>1.2718040991519968</c:v>
                </c:pt>
                <c:pt idx="4">
                  <c:v>3.4778832090042915</c:v>
                </c:pt>
                <c:pt idx="5">
                  <c:v>2.9648469629887657</c:v>
                </c:pt>
                <c:pt idx="6">
                  <c:v>4.2704240682456813</c:v>
                </c:pt>
                <c:pt idx="7">
                  <c:v>3.1002463686120727</c:v>
                </c:pt>
                <c:pt idx="8">
                  <c:v>7.839186115525151</c:v>
                </c:pt>
                <c:pt idx="9">
                  <c:v>8.9425619710079864</c:v>
                </c:pt>
                <c:pt idx="10">
                  <c:v>21.288361279408658</c:v>
                </c:pt>
                <c:pt idx="11">
                  <c:v>12.70421417283964</c:v>
                </c:pt>
              </c:numCache>
            </c:numRef>
          </c:xVal>
          <c:yVal>
            <c:numRef>
              <c:f>'Sorption Competition PCE-PFOA'!$Q$46:$Q$57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0.63922745970792194</c:v>
                </c:pt>
                <c:pt idx="3">
                  <c:v>0.5689502012116624</c:v>
                </c:pt>
                <c:pt idx="4">
                  <c:v>1.8612587997781653</c:v>
                </c:pt>
                <c:pt idx="5">
                  <c:v>2.0792771943346247</c:v>
                </c:pt>
                <c:pt idx="6">
                  <c:v>3.8306264384634154</c:v>
                </c:pt>
                <c:pt idx="7">
                  <c:v>4.2541222889907884</c:v>
                </c:pt>
                <c:pt idx="8">
                  <c:v>7.973788065843963</c:v>
                </c:pt>
                <c:pt idx="9">
                  <c:v>7.3544964922572733</c:v>
                </c:pt>
                <c:pt idx="10">
                  <c:v>13.545764223905699</c:v>
                </c:pt>
                <c:pt idx="11">
                  <c:v>16.570371156715506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C-44D3-B790-10B4766C2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34792"/>
        <c:axId val="582231512"/>
      </c:scatterChart>
      <c:valAx>
        <c:axId val="58223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31512"/>
        <c:crosses val="autoZero"/>
        <c:crossBetween val="midCat"/>
      </c:valAx>
      <c:valAx>
        <c:axId val="58223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3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PFOA</a:t>
            </a:r>
            <a:r>
              <a:rPr lang="en-US" baseline="0"/>
              <a:t> in aqueous solution</a:t>
            </a:r>
          </a:p>
          <a:p>
            <a:pPr>
              <a:defRPr/>
            </a:pPr>
            <a:r>
              <a:rPr lang="en-US"/>
              <a:t>Calibration 05.07.21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Calibr. Std. 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886135957331375"/>
                  <c:y val="0.13331266832616276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Printable!$M$13:$M$20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Printable!$L$13:$L$20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109206</c:v>
                </c:pt>
                <c:pt idx="3">
                  <c:v>117140</c:v>
                </c:pt>
                <c:pt idx="4">
                  <c:v>853878</c:v>
                </c:pt>
                <c:pt idx="5">
                  <c:v>985732</c:v>
                </c:pt>
                <c:pt idx="6">
                  <c:v>2317099</c:v>
                </c:pt>
                <c:pt idx="7">
                  <c:v>2155583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6-406E-B3D2-D25BE67B3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45976"/>
        <c:axId val="645246304"/>
        <c:extLst/>
      </c:scatterChart>
      <c:valAx>
        <c:axId val="64524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PFOA in aqeuous</a:t>
                </a:r>
                <a:r>
                  <a:rPr lang="en-US" baseline="0"/>
                  <a:t> phase</a:t>
                </a:r>
                <a:r>
                  <a:rPr lang="en-US"/>
                  <a:t>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6304"/>
        <c:crosses val="autoZero"/>
        <c:crossBetween val="midCat"/>
      </c:valAx>
      <c:valAx>
        <c:axId val="64524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PFOA</a:t>
            </a:r>
            <a:r>
              <a:rPr lang="en-US" baseline="0"/>
              <a:t> in n-hexane</a:t>
            </a:r>
          </a:p>
          <a:p>
            <a:pPr>
              <a:defRPr/>
            </a:pPr>
            <a:r>
              <a:rPr lang="en-US" baseline="0"/>
              <a:t>Calibration Stds. and Samples 05.07.21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Calibr. Std. 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886135957331375"/>
                  <c:y val="0.13331266832616276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Printable!$O$13:$O$20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2.5</c:v>
                </c:pt>
                <c:pt idx="5">
                  <c:v>2.5</c:v>
                </c:pt>
                <c:pt idx="6">
                  <c:v>5</c:v>
                </c:pt>
                <c:pt idx="7">
                  <c:v>5</c:v>
                </c:pt>
              </c:numCache>
            </c:numRef>
          </c:xVal>
          <c:yVal>
            <c:numRef>
              <c:f>Printable!$L$13:$L$20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109206</c:v>
                </c:pt>
                <c:pt idx="3">
                  <c:v>117140</c:v>
                </c:pt>
                <c:pt idx="4">
                  <c:v>853878</c:v>
                </c:pt>
                <c:pt idx="5">
                  <c:v>985732</c:v>
                </c:pt>
                <c:pt idx="6">
                  <c:v>2317099</c:v>
                </c:pt>
                <c:pt idx="7">
                  <c:v>2155583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C0-49D2-B080-E37952C6BBE9}"/>
            </c:ext>
          </c:extLst>
        </c:ser>
        <c:ser>
          <c:idx val="1"/>
          <c:order val="1"/>
          <c:tx>
            <c:v>Samples 05.07.21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Printable!$O$25:$O$36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">
                  <c:v>0.49149010722689601</c:v>
                </c:pt>
                <c:pt idx="5" formatCode="0.0000">
                  <c:v>0.55315299320617817</c:v>
                </c:pt>
                <c:pt idx="6" formatCode="0.0000">
                  <c:v>0.52385352622276293</c:v>
                </c:pt>
                <c:pt idx="7" formatCode="0.0000">
                  <c:v>0.70739083847050077</c:v>
                </c:pt>
                <c:pt idx="8" formatCode="0.0000">
                  <c:v>1.7680905964594018</c:v>
                </c:pt>
                <c:pt idx="9" formatCode="0.0000">
                  <c:v>1.5945446295806596</c:v>
                </c:pt>
                <c:pt idx="10" formatCode="0.0000">
                  <c:v>1.3726045740960544</c:v>
                </c:pt>
                <c:pt idx="11" formatCode="0.0000">
                  <c:v>1.4812397295857251</c:v>
                </c:pt>
              </c:numCache>
            </c:numRef>
          </c:xVal>
          <c:yVal>
            <c:numRef>
              <c:f>Printable!$L$25:$L$36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180679</c:v>
                </c:pt>
                <c:pt idx="5">
                  <c:v>207828</c:v>
                </c:pt>
                <c:pt idx="6">
                  <c:v>194928</c:v>
                </c:pt>
                <c:pt idx="7">
                  <c:v>275736</c:v>
                </c:pt>
                <c:pt idx="8">
                  <c:v>742742</c:v>
                </c:pt>
                <c:pt idx="9">
                  <c:v>666333</c:v>
                </c:pt>
                <c:pt idx="10">
                  <c:v>568617</c:v>
                </c:pt>
                <c:pt idx="11">
                  <c:v>616447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C0-49D2-B080-E37952C6B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45976"/>
        <c:axId val="645246304"/>
        <c:extLst/>
      </c:scatterChart>
      <c:valAx>
        <c:axId val="64524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PFOA in n-hexane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6304"/>
        <c:crosses val="autoZero"/>
        <c:crossBetween val="midCat"/>
      </c:valAx>
      <c:valAx>
        <c:axId val="64524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PFOA</a:t>
            </a:r>
            <a:r>
              <a:rPr lang="en-US" baseline="0"/>
              <a:t> in aqueous solution</a:t>
            </a:r>
          </a:p>
          <a:p>
            <a:pPr>
              <a:defRPr/>
            </a:pPr>
            <a:r>
              <a:rPr lang="en-US"/>
              <a:t>Calibration 07.07.21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Calibr. Std. 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886135957331375"/>
                  <c:y val="0.13331266832616276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(Printable!$M$55:$M$56,Printable!$M$58,Printable!$M$59:$M$64)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</c:numCache>
            </c:numRef>
          </c:xVal>
          <c:yVal>
            <c:numRef>
              <c:f>(Printable!$L$55:$L$56,Printable!$L$58:$L$64)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844407</c:v>
                </c:pt>
                <c:pt idx="4">
                  <c:v>803690</c:v>
                </c:pt>
                <c:pt idx="5">
                  <c:v>8946010</c:v>
                </c:pt>
                <c:pt idx="6">
                  <c:v>9017042</c:v>
                </c:pt>
                <c:pt idx="7">
                  <c:v>21292759</c:v>
                </c:pt>
                <c:pt idx="8">
                  <c:v>21344369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0-4FB8-BD82-0F0873F34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45976"/>
        <c:axId val="645246304"/>
        <c:extLst/>
      </c:scatterChart>
      <c:valAx>
        <c:axId val="64524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PFOA in aqeuous</a:t>
                </a:r>
                <a:r>
                  <a:rPr lang="en-US" baseline="0"/>
                  <a:t> phase</a:t>
                </a:r>
                <a:r>
                  <a:rPr lang="en-US"/>
                  <a:t>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6304"/>
        <c:crosses val="autoZero"/>
        <c:crossBetween val="midCat"/>
      </c:valAx>
      <c:valAx>
        <c:axId val="64524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PFOA</a:t>
            </a:r>
            <a:r>
              <a:rPr lang="en-US" baseline="0"/>
              <a:t> in n-hexane</a:t>
            </a:r>
          </a:p>
          <a:p>
            <a:pPr>
              <a:defRPr/>
            </a:pPr>
            <a:r>
              <a:rPr lang="en-US" baseline="0"/>
              <a:t>Calibration Stds. and Samples 07.07.21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Calibr. Std. Single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886135957331375"/>
                  <c:y val="0.13331266832616276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(Printable!$O$55:$O$56,Printable!$O$58:$O$64)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</c:v>
                </c:pt>
                <c:pt idx="4">
                  <c:v>1.25</c:v>
                </c:pt>
                <c:pt idx="5">
                  <c:v>10</c:v>
                </c:pt>
                <c:pt idx="6">
                  <c:v>10</c:v>
                </c:pt>
                <c:pt idx="7">
                  <c:v>25</c:v>
                </c:pt>
                <c:pt idx="8">
                  <c:v>25</c:v>
                </c:pt>
              </c:numCache>
            </c:numRef>
          </c:xVal>
          <c:yVal>
            <c:numRef>
              <c:f>(Printable!$L$55:$L$56,Printable!$L$58:$L$64)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844407</c:v>
                </c:pt>
                <c:pt idx="4">
                  <c:v>803690</c:v>
                </c:pt>
                <c:pt idx="5">
                  <c:v>8946010</c:v>
                </c:pt>
                <c:pt idx="6">
                  <c:v>9017042</c:v>
                </c:pt>
                <c:pt idx="7">
                  <c:v>21292759</c:v>
                </c:pt>
                <c:pt idx="8">
                  <c:v>21344369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7-4393-AE0C-59BC96677E05}"/>
            </c:ext>
          </c:extLst>
        </c:ser>
        <c:ser>
          <c:idx val="1"/>
          <c:order val="1"/>
          <c:tx>
            <c:v>Samples 05.07.21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Printable!$O$70:$O$81</c:f>
              <c:numCache>
                <c:formatCode>0.0000</c:formatCode>
                <c:ptCount val="12"/>
                <c:pt idx="0">
                  <c:v>1.7952839841585939</c:v>
                </c:pt>
                <c:pt idx="1">
                  <c:v>2.3222210077481238</c:v>
                </c:pt>
                <c:pt idx="2">
                  <c:v>1.4249134871664917</c:v>
                </c:pt>
                <c:pt idx="3">
                  <c:v>1.5076342197863026</c:v>
                </c:pt>
                <c:pt idx="4">
                  <c:v>3.3054606026807662</c:v>
                </c:pt>
                <c:pt idx="5">
                  <c:v>4.2384544624644196</c:v>
                </c:pt>
                <c:pt idx="6">
                  <c:v>4.3295981585278795</c:v>
                </c:pt>
                <c:pt idx="7">
                  <c:v>4.2586936800730992</c:v>
                </c:pt>
                <c:pt idx="8">
                  <c:v>9.4811964057008424</c:v>
                </c:pt>
                <c:pt idx="9">
                  <c:v>11.164296417364699</c:v>
                </c:pt>
                <c:pt idx="10">
                  <c:v>5.9309787364733175</c:v>
                </c:pt>
                <c:pt idx="11">
                  <c:v>5.9947396889695588</c:v>
                </c:pt>
              </c:numCache>
            </c:numRef>
          </c:xVal>
          <c:yVal>
            <c:numRef>
              <c:f>Printable!$L$70:$L$81</c:f>
              <c:numCache>
                <c:formatCode>General</c:formatCode>
                <c:ptCount val="12"/>
                <c:pt idx="0">
                  <c:v>1537277</c:v>
                </c:pt>
                <c:pt idx="1">
                  <c:v>1991960</c:v>
                </c:pt>
                <c:pt idx="2">
                  <c:v>1217692</c:v>
                </c:pt>
                <c:pt idx="3">
                  <c:v>1289070</c:v>
                </c:pt>
                <c:pt idx="4">
                  <c:v>2840377</c:v>
                </c:pt>
                <c:pt idx="5">
                  <c:v>3645438</c:v>
                </c:pt>
                <c:pt idx="6">
                  <c:v>3724084</c:v>
                </c:pt>
                <c:pt idx="7">
                  <c:v>3662902</c:v>
                </c:pt>
                <c:pt idx="8">
                  <c:v>8169291</c:v>
                </c:pt>
                <c:pt idx="9">
                  <c:v>9621603</c:v>
                </c:pt>
                <c:pt idx="10">
                  <c:v>5105882</c:v>
                </c:pt>
                <c:pt idx="11">
                  <c:v>5160900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7-4393-AE0C-59BC96677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45976"/>
        <c:axId val="645246304"/>
        <c:extLst/>
      </c:scatterChart>
      <c:valAx>
        <c:axId val="64524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PFOA in n-hexane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6304"/>
        <c:crosses val="autoZero"/>
        <c:crossBetween val="midCat"/>
      </c:valAx>
      <c:valAx>
        <c:axId val="64524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PFOA</a:t>
            </a:r>
            <a:r>
              <a:rPr lang="en-US" baseline="0"/>
              <a:t> phase distribution</a:t>
            </a:r>
          </a:p>
          <a:p>
            <a:pPr>
              <a:defRPr/>
            </a:pPr>
            <a:r>
              <a:rPr lang="en-US" baseline="0"/>
              <a:t>aqueous - solid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Samples 05.07.21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Printable!$P$25:$P$36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">
                  <c:v>0.9829802144537918</c:v>
                </c:pt>
                <c:pt idx="5" formatCode="0.0000">
                  <c:v>1.1063059864123563</c:v>
                </c:pt>
                <c:pt idx="6" formatCode="0.0000">
                  <c:v>1.0477070524455259</c:v>
                </c:pt>
                <c:pt idx="7" formatCode="0.0000">
                  <c:v>1.4147816769410015</c:v>
                </c:pt>
                <c:pt idx="8" formatCode="0.0000">
                  <c:v>3.5361811929188036</c:v>
                </c:pt>
                <c:pt idx="9" formatCode="0.0000">
                  <c:v>3.1890892591613191</c:v>
                </c:pt>
                <c:pt idx="10" formatCode="0.0000">
                  <c:v>2.7452091481921088</c:v>
                </c:pt>
                <c:pt idx="11" formatCode="0.0000">
                  <c:v>2.9624794591714503</c:v>
                </c:pt>
              </c:numCache>
            </c:numRef>
          </c:xVal>
          <c:yVal>
            <c:numRef>
              <c:f>Printable!$S$25:$S$36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">
                  <c:v>0.60680791421848324</c:v>
                </c:pt>
                <c:pt idx="5" formatCode="0.0000">
                  <c:v>0.55747760543505742</c:v>
                </c:pt>
                <c:pt idx="6" formatCode="0.0000">
                  <c:v>0.58091717902178963</c:v>
                </c:pt>
                <c:pt idx="7" formatCode="0.0000">
                  <c:v>0.43408732922359938</c:v>
                </c:pt>
                <c:pt idx="8" formatCode="0.0000">
                  <c:v>1.5855275228324786</c:v>
                </c:pt>
                <c:pt idx="9" formatCode="0.0000">
                  <c:v>1.7243642963354724</c:v>
                </c:pt>
                <c:pt idx="10" formatCode="0.0000">
                  <c:v>1.9019163407231567</c:v>
                </c:pt>
                <c:pt idx="11" formatCode="0.0000">
                  <c:v>1.8150082163314198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9-4F50-B5D0-A0A26489DC1F}"/>
            </c:ext>
          </c:extLst>
        </c:ser>
        <c:ser>
          <c:idx val="1"/>
          <c:order val="1"/>
          <c:tx>
            <c:v>Samples 07.07.21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Printable!$P$70:$P$81</c:f>
              <c:numCache>
                <c:formatCode>0.0000</c:formatCode>
                <c:ptCount val="12"/>
                <c:pt idx="0">
                  <c:v>3.5905679683171878</c:v>
                </c:pt>
                <c:pt idx="1">
                  <c:v>4.6444420154962476</c:v>
                </c:pt>
                <c:pt idx="2">
                  <c:v>2.8498269743329834</c:v>
                </c:pt>
                <c:pt idx="3">
                  <c:v>3.0152684395726053</c:v>
                </c:pt>
                <c:pt idx="4">
                  <c:v>6.6109212053615325</c:v>
                </c:pt>
                <c:pt idx="5">
                  <c:v>8.4769089249288392</c:v>
                </c:pt>
                <c:pt idx="6">
                  <c:v>8.6591963170557591</c:v>
                </c:pt>
                <c:pt idx="7">
                  <c:v>8.5173873601461985</c:v>
                </c:pt>
                <c:pt idx="8">
                  <c:v>18.962392811401685</c:v>
                </c:pt>
                <c:pt idx="9">
                  <c:v>22.328592834729399</c:v>
                </c:pt>
                <c:pt idx="10">
                  <c:v>11.861957472946635</c:v>
                </c:pt>
                <c:pt idx="11">
                  <c:v>11.989479377939118</c:v>
                </c:pt>
              </c:numCache>
            </c:numRef>
          </c:xVal>
          <c:yVal>
            <c:numRef>
              <c:f>Printable!$S$70:$S$81</c:f>
              <c:numCache>
                <c:formatCode>0.0000</c:formatCode>
                <c:ptCount val="12"/>
                <c:pt idx="0">
                  <c:v>3.5637728126731245</c:v>
                </c:pt>
                <c:pt idx="1">
                  <c:v>3.1422231938015011</c:v>
                </c:pt>
                <c:pt idx="2">
                  <c:v>3.8600692102668064</c:v>
                </c:pt>
                <c:pt idx="3">
                  <c:v>3.7938926241709581</c:v>
                </c:pt>
                <c:pt idx="4">
                  <c:v>7.3556315178553877</c:v>
                </c:pt>
                <c:pt idx="5">
                  <c:v>6.6092364300284645</c:v>
                </c:pt>
                <c:pt idx="6">
                  <c:v>6.5363214731776962</c:v>
                </c:pt>
                <c:pt idx="7">
                  <c:v>6.5930450559415208</c:v>
                </c:pt>
                <c:pt idx="8">
                  <c:v>12.415042875439326</c:v>
                </c:pt>
                <c:pt idx="9">
                  <c:v>11.068562866108241</c:v>
                </c:pt>
                <c:pt idx="10">
                  <c:v>15.255217010821346</c:v>
                </c:pt>
                <c:pt idx="11">
                  <c:v>15.204208248824353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A9-4F50-B5D0-A0A26489DC1F}"/>
            </c:ext>
          </c:extLst>
        </c:ser>
        <c:ser>
          <c:idx val="2"/>
          <c:order val="2"/>
          <c:tx>
            <c:v>All samples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640990315439331"/>
                  <c:y val="5.117632248986493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(Printable!$P$25:$P$36,Printable!$P$70:$P$81)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">
                  <c:v>0.9829802144537918</c:v>
                </c:pt>
                <c:pt idx="5" formatCode="0.0000">
                  <c:v>1.1063059864123563</c:v>
                </c:pt>
                <c:pt idx="6" formatCode="0.0000">
                  <c:v>1.0477070524455259</c:v>
                </c:pt>
                <c:pt idx="7" formatCode="0.0000">
                  <c:v>1.4147816769410015</c:v>
                </c:pt>
                <c:pt idx="8" formatCode="0.0000">
                  <c:v>3.5361811929188036</c:v>
                </c:pt>
                <c:pt idx="9" formatCode="0.0000">
                  <c:v>3.1890892591613191</c:v>
                </c:pt>
                <c:pt idx="10" formatCode="0.0000">
                  <c:v>2.7452091481921088</c:v>
                </c:pt>
                <c:pt idx="11" formatCode="0.0000">
                  <c:v>2.9624794591714503</c:v>
                </c:pt>
                <c:pt idx="12" formatCode="0.0000">
                  <c:v>3.5905679683171878</c:v>
                </c:pt>
                <c:pt idx="13" formatCode="0.0000">
                  <c:v>4.6444420154962476</c:v>
                </c:pt>
                <c:pt idx="14" formatCode="0.0000">
                  <c:v>2.8498269743329834</c:v>
                </c:pt>
                <c:pt idx="15" formatCode="0.0000">
                  <c:v>3.0152684395726053</c:v>
                </c:pt>
                <c:pt idx="16" formatCode="0.0000">
                  <c:v>6.6109212053615325</c:v>
                </c:pt>
                <c:pt idx="17" formatCode="0.0000">
                  <c:v>8.4769089249288392</c:v>
                </c:pt>
                <c:pt idx="18" formatCode="0.0000">
                  <c:v>8.6591963170557591</c:v>
                </c:pt>
                <c:pt idx="19" formatCode="0.0000">
                  <c:v>8.5173873601461985</c:v>
                </c:pt>
                <c:pt idx="20" formatCode="0.0000">
                  <c:v>18.962392811401685</c:v>
                </c:pt>
                <c:pt idx="21" formatCode="0.0000">
                  <c:v>22.328592834729399</c:v>
                </c:pt>
                <c:pt idx="22" formatCode="0.0000">
                  <c:v>11.861957472946635</c:v>
                </c:pt>
                <c:pt idx="23" formatCode="0.0000">
                  <c:v>11.989479377939118</c:v>
                </c:pt>
              </c:numCache>
            </c:numRef>
          </c:xVal>
          <c:yVal>
            <c:numRef>
              <c:f>(Printable!$S$25:$S$36,Printable!$S$70:$S$81)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">
                  <c:v>0.60680791421848324</c:v>
                </c:pt>
                <c:pt idx="5" formatCode="0.0000">
                  <c:v>0.55747760543505742</c:v>
                </c:pt>
                <c:pt idx="6" formatCode="0.0000">
                  <c:v>0.58091717902178963</c:v>
                </c:pt>
                <c:pt idx="7" formatCode="0.0000">
                  <c:v>0.43408732922359938</c:v>
                </c:pt>
                <c:pt idx="8" formatCode="0.0000">
                  <c:v>1.5855275228324786</c:v>
                </c:pt>
                <c:pt idx="9" formatCode="0.0000">
                  <c:v>1.7243642963354724</c:v>
                </c:pt>
                <c:pt idx="10" formatCode="0.0000">
                  <c:v>1.9019163407231567</c:v>
                </c:pt>
                <c:pt idx="11" formatCode="0.0000">
                  <c:v>1.8150082163314198</c:v>
                </c:pt>
                <c:pt idx="12" formatCode="0.0000">
                  <c:v>3.5637728126731245</c:v>
                </c:pt>
                <c:pt idx="13" formatCode="0.0000">
                  <c:v>3.1422231938015011</c:v>
                </c:pt>
                <c:pt idx="14" formatCode="0.0000">
                  <c:v>3.8600692102668064</c:v>
                </c:pt>
                <c:pt idx="15" formatCode="0.0000">
                  <c:v>3.7938926241709581</c:v>
                </c:pt>
                <c:pt idx="16" formatCode="0.0000">
                  <c:v>7.3556315178553877</c:v>
                </c:pt>
                <c:pt idx="17" formatCode="0.0000">
                  <c:v>6.6092364300284645</c:v>
                </c:pt>
                <c:pt idx="18" formatCode="0.0000">
                  <c:v>6.5363214731776962</c:v>
                </c:pt>
                <c:pt idx="19" formatCode="0.0000">
                  <c:v>6.5930450559415208</c:v>
                </c:pt>
                <c:pt idx="20" formatCode="0.0000">
                  <c:v>12.415042875439326</c:v>
                </c:pt>
                <c:pt idx="21" formatCode="0.0000">
                  <c:v>11.068562866108241</c:v>
                </c:pt>
                <c:pt idx="22" formatCode="0.0000">
                  <c:v>15.255217010821346</c:v>
                </c:pt>
                <c:pt idx="23" formatCode="0.0000">
                  <c:v>15.204208248824353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A9-4F50-B5D0-A0A26489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45976"/>
        <c:axId val="645246304"/>
        <c:extLst/>
      </c:scatterChart>
      <c:valAx>
        <c:axId val="64524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PFOA aqeuous</a:t>
                </a:r>
                <a:r>
                  <a:rPr lang="en-US" baseline="0"/>
                  <a:t> phase</a:t>
                </a:r>
                <a:r>
                  <a:rPr lang="en-US"/>
                  <a:t>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6304"/>
        <c:crosses val="autoZero"/>
        <c:crossBetween val="midCat"/>
      </c:valAx>
      <c:valAx>
        <c:axId val="64524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PFOA</a:t>
                </a:r>
                <a:r>
                  <a:rPr lang="en-US" baseline="0"/>
                  <a:t> solid phase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PFOA</a:t>
            </a:r>
            <a:r>
              <a:rPr lang="en-US" baseline="0"/>
              <a:t> phase distribution</a:t>
            </a:r>
          </a:p>
          <a:p>
            <a:pPr>
              <a:defRPr/>
            </a:pPr>
            <a:r>
              <a:rPr lang="en-US" baseline="0"/>
              <a:t>aqueous - solid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Samples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(Printable!$P$25:$P$36,Printable!$P$70:$P$81)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">
                  <c:v>0.9829802144537918</c:v>
                </c:pt>
                <c:pt idx="5" formatCode="0.0000">
                  <c:v>1.1063059864123563</c:v>
                </c:pt>
                <c:pt idx="6" formatCode="0.0000">
                  <c:v>1.0477070524455259</c:v>
                </c:pt>
                <c:pt idx="7" formatCode="0.0000">
                  <c:v>1.4147816769410015</c:v>
                </c:pt>
                <c:pt idx="8" formatCode="0.0000">
                  <c:v>3.5361811929188036</c:v>
                </c:pt>
                <c:pt idx="9" formatCode="0.0000">
                  <c:v>3.1890892591613191</c:v>
                </c:pt>
                <c:pt idx="10" formatCode="0.0000">
                  <c:v>2.7452091481921088</c:v>
                </c:pt>
                <c:pt idx="11" formatCode="0.0000">
                  <c:v>2.9624794591714503</c:v>
                </c:pt>
                <c:pt idx="12" formatCode="0.0000">
                  <c:v>3.5905679683171878</c:v>
                </c:pt>
                <c:pt idx="13" formatCode="0.0000">
                  <c:v>4.6444420154962476</c:v>
                </c:pt>
                <c:pt idx="14" formatCode="0.0000">
                  <c:v>2.8498269743329834</c:v>
                </c:pt>
                <c:pt idx="15" formatCode="0.0000">
                  <c:v>3.0152684395726053</c:v>
                </c:pt>
                <c:pt idx="16" formatCode="0.0000">
                  <c:v>6.6109212053615325</c:v>
                </c:pt>
                <c:pt idx="17" formatCode="0.0000">
                  <c:v>8.4769089249288392</c:v>
                </c:pt>
                <c:pt idx="18" formatCode="0.0000">
                  <c:v>8.6591963170557591</c:v>
                </c:pt>
                <c:pt idx="19" formatCode="0.0000">
                  <c:v>8.5173873601461985</c:v>
                </c:pt>
                <c:pt idx="20" formatCode="0.0000">
                  <c:v>18.962392811401685</c:v>
                </c:pt>
                <c:pt idx="21" formatCode="0.0000">
                  <c:v>22.328592834729399</c:v>
                </c:pt>
                <c:pt idx="22" formatCode="0.0000">
                  <c:v>11.861957472946635</c:v>
                </c:pt>
                <c:pt idx="23" formatCode="0.0000">
                  <c:v>11.989479377939118</c:v>
                </c:pt>
              </c:numCache>
            </c:numRef>
          </c:xVal>
          <c:yVal>
            <c:numRef>
              <c:f>(Printable!$S$25:$S$36,Printable!$S$70:$S$81)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">
                  <c:v>0.60680791421848324</c:v>
                </c:pt>
                <c:pt idx="5" formatCode="0.0000">
                  <c:v>0.55747760543505742</c:v>
                </c:pt>
                <c:pt idx="6" formatCode="0.0000">
                  <c:v>0.58091717902178963</c:v>
                </c:pt>
                <c:pt idx="7" formatCode="0.0000">
                  <c:v>0.43408732922359938</c:v>
                </c:pt>
                <c:pt idx="8" formatCode="0.0000">
                  <c:v>1.5855275228324786</c:v>
                </c:pt>
                <c:pt idx="9" formatCode="0.0000">
                  <c:v>1.7243642963354724</c:v>
                </c:pt>
                <c:pt idx="10" formatCode="0.0000">
                  <c:v>1.9019163407231567</c:v>
                </c:pt>
                <c:pt idx="11" formatCode="0.0000">
                  <c:v>1.8150082163314198</c:v>
                </c:pt>
                <c:pt idx="12" formatCode="0.0000">
                  <c:v>3.5637728126731245</c:v>
                </c:pt>
                <c:pt idx="13" formatCode="0.0000">
                  <c:v>3.1422231938015011</c:v>
                </c:pt>
                <c:pt idx="14" formatCode="0.0000">
                  <c:v>3.8600692102668064</c:v>
                </c:pt>
                <c:pt idx="15" formatCode="0.0000">
                  <c:v>3.7938926241709581</c:v>
                </c:pt>
                <c:pt idx="16" formatCode="0.0000">
                  <c:v>7.3556315178553877</c:v>
                </c:pt>
                <c:pt idx="17" formatCode="0.0000">
                  <c:v>6.6092364300284645</c:v>
                </c:pt>
                <c:pt idx="18" formatCode="0.0000">
                  <c:v>6.5363214731776962</c:v>
                </c:pt>
                <c:pt idx="19" formatCode="0.0000">
                  <c:v>6.5930450559415208</c:v>
                </c:pt>
                <c:pt idx="20" formatCode="0.0000">
                  <c:v>12.415042875439326</c:v>
                </c:pt>
                <c:pt idx="21" formatCode="0.0000">
                  <c:v>11.068562866108241</c:v>
                </c:pt>
                <c:pt idx="22" formatCode="0.0000">
                  <c:v>15.255217010821346</c:v>
                </c:pt>
                <c:pt idx="23" formatCode="0.0000">
                  <c:v>15.204208248824353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B-4CB4-90EB-357FB6F4E9ED}"/>
            </c:ext>
          </c:extLst>
        </c:ser>
        <c:ser>
          <c:idx val="0"/>
          <c:order val="1"/>
          <c:tx>
            <c:v>Theoretical Soil 1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Printable!$A$103:$A$126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Printable!$B$103:$B$126</c:f>
              <c:numCache>
                <c:formatCode>General</c:formatCode>
                <c:ptCount val="24"/>
                <c:pt idx="0">
                  <c:v>1.1114999999999999</c:v>
                </c:pt>
                <c:pt idx="1">
                  <c:v>2.2229999999999999</c:v>
                </c:pt>
                <c:pt idx="2">
                  <c:v>4.4459999999999997</c:v>
                </c:pt>
                <c:pt idx="3">
                  <c:v>6.6689999999999996</c:v>
                </c:pt>
                <c:pt idx="4">
                  <c:v>8.8919999999999995</c:v>
                </c:pt>
                <c:pt idx="5">
                  <c:v>11.114999999999998</c:v>
                </c:pt>
                <c:pt idx="6">
                  <c:v>13.337999999999999</c:v>
                </c:pt>
                <c:pt idx="7">
                  <c:v>15.561</c:v>
                </c:pt>
                <c:pt idx="8">
                  <c:v>17.783999999999999</c:v>
                </c:pt>
                <c:pt idx="9">
                  <c:v>20.006999999999998</c:v>
                </c:pt>
                <c:pt idx="10">
                  <c:v>22.229999999999997</c:v>
                </c:pt>
                <c:pt idx="11">
                  <c:v>24.452999999999999</c:v>
                </c:pt>
                <c:pt idx="12">
                  <c:v>26.675999999999998</c:v>
                </c:pt>
                <c:pt idx="13">
                  <c:v>28.898999999999997</c:v>
                </c:pt>
                <c:pt idx="14">
                  <c:v>31.122</c:v>
                </c:pt>
                <c:pt idx="15">
                  <c:v>33.344999999999999</c:v>
                </c:pt>
                <c:pt idx="16">
                  <c:v>35.567999999999998</c:v>
                </c:pt>
                <c:pt idx="17">
                  <c:v>37.790999999999997</c:v>
                </c:pt>
                <c:pt idx="18">
                  <c:v>40.013999999999996</c:v>
                </c:pt>
                <c:pt idx="19">
                  <c:v>42.236999999999995</c:v>
                </c:pt>
                <c:pt idx="20">
                  <c:v>44.459999999999994</c:v>
                </c:pt>
                <c:pt idx="21">
                  <c:v>46.683</c:v>
                </c:pt>
                <c:pt idx="22">
                  <c:v>48.905999999999999</c:v>
                </c:pt>
                <c:pt idx="23">
                  <c:v>51.128999999999998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B-4CB4-90EB-357FB6F4E9ED}"/>
            </c:ext>
          </c:extLst>
        </c:ser>
        <c:ser>
          <c:idx val="1"/>
          <c:order val="2"/>
          <c:tx>
            <c:v>Theoretical Soil 2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Printable!$A$103:$A$126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Printable!$C$103:$C$126</c:f>
              <c:numCache>
                <c:formatCode>General</c:formatCode>
                <c:ptCount val="24"/>
                <c:pt idx="0">
                  <c:v>3.7166999999999999</c:v>
                </c:pt>
                <c:pt idx="1">
                  <c:v>7.4333999999999998</c:v>
                </c:pt>
                <c:pt idx="2">
                  <c:v>14.8668</c:v>
                </c:pt>
                <c:pt idx="3">
                  <c:v>22.3002</c:v>
                </c:pt>
                <c:pt idx="4">
                  <c:v>29.733599999999999</c:v>
                </c:pt>
                <c:pt idx="5">
                  <c:v>37.167000000000002</c:v>
                </c:pt>
                <c:pt idx="6">
                  <c:v>44.6004</c:v>
                </c:pt>
                <c:pt idx="7">
                  <c:v>52.033799999999999</c:v>
                </c:pt>
                <c:pt idx="8">
                  <c:v>59.467199999999998</c:v>
                </c:pt>
                <c:pt idx="9">
                  <c:v>66.900599999999997</c:v>
                </c:pt>
                <c:pt idx="10">
                  <c:v>74.334000000000003</c:v>
                </c:pt>
                <c:pt idx="11">
                  <c:v>81.767399999999995</c:v>
                </c:pt>
                <c:pt idx="12">
                  <c:v>89.200800000000001</c:v>
                </c:pt>
                <c:pt idx="13">
                  <c:v>96.634199999999993</c:v>
                </c:pt>
                <c:pt idx="14">
                  <c:v>104.0676</c:v>
                </c:pt>
                <c:pt idx="15">
                  <c:v>111.50099999999999</c:v>
                </c:pt>
                <c:pt idx="16">
                  <c:v>118.9344</c:v>
                </c:pt>
                <c:pt idx="17">
                  <c:v>126.3678</c:v>
                </c:pt>
                <c:pt idx="18">
                  <c:v>133.80119999999999</c:v>
                </c:pt>
                <c:pt idx="19">
                  <c:v>141.2346</c:v>
                </c:pt>
                <c:pt idx="20">
                  <c:v>148.66800000000001</c:v>
                </c:pt>
                <c:pt idx="21">
                  <c:v>156.10139999999998</c:v>
                </c:pt>
                <c:pt idx="22">
                  <c:v>163.53479999999999</c:v>
                </c:pt>
                <c:pt idx="23">
                  <c:v>170.9682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DB-4CB4-90EB-357FB6F4E9ED}"/>
            </c:ext>
          </c:extLst>
        </c:ser>
        <c:ser>
          <c:idx val="3"/>
          <c:order val="3"/>
          <c:tx>
            <c:v>Theoretical Soil 3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Printable!$A$103:$A$126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Printable!$D$103:$D$126</c:f>
              <c:numCache>
                <c:formatCode>General</c:formatCode>
                <c:ptCount val="24"/>
                <c:pt idx="0">
                  <c:v>0.31979999999999997</c:v>
                </c:pt>
                <c:pt idx="1">
                  <c:v>0.63959999999999995</c:v>
                </c:pt>
                <c:pt idx="2">
                  <c:v>1.2791999999999999</c:v>
                </c:pt>
                <c:pt idx="3">
                  <c:v>1.9187999999999998</c:v>
                </c:pt>
                <c:pt idx="4">
                  <c:v>2.5583999999999998</c:v>
                </c:pt>
                <c:pt idx="5">
                  <c:v>3.1979999999999995</c:v>
                </c:pt>
                <c:pt idx="6">
                  <c:v>3.8375999999999997</c:v>
                </c:pt>
                <c:pt idx="7">
                  <c:v>4.4771999999999998</c:v>
                </c:pt>
                <c:pt idx="8">
                  <c:v>5.1167999999999996</c:v>
                </c:pt>
                <c:pt idx="9">
                  <c:v>5.7563999999999993</c:v>
                </c:pt>
                <c:pt idx="10">
                  <c:v>6.395999999999999</c:v>
                </c:pt>
                <c:pt idx="11">
                  <c:v>7.0355999999999996</c:v>
                </c:pt>
                <c:pt idx="12">
                  <c:v>7.6751999999999994</c:v>
                </c:pt>
                <c:pt idx="13">
                  <c:v>8.3148</c:v>
                </c:pt>
                <c:pt idx="14">
                  <c:v>8.9543999999999997</c:v>
                </c:pt>
                <c:pt idx="15">
                  <c:v>9.5939999999999994</c:v>
                </c:pt>
                <c:pt idx="16">
                  <c:v>10.233599999999999</c:v>
                </c:pt>
                <c:pt idx="17">
                  <c:v>10.873199999999999</c:v>
                </c:pt>
                <c:pt idx="18">
                  <c:v>11.512799999999999</c:v>
                </c:pt>
                <c:pt idx="19">
                  <c:v>12.152399999999998</c:v>
                </c:pt>
                <c:pt idx="20">
                  <c:v>12.791999999999998</c:v>
                </c:pt>
                <c:pt idx="21">
                  <c:v>13.4316</c:v>
                </c:pt>
                <c:pt idx="22">
                  <c:v>14.071199999999999</c:v>
                </c:pt>
                <c:pt idx="23">
                  <c:v>14.710799999999999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DB-4CB4-90EB-357FB6F4E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45976"/>
        <c:axId val="645246304"/>
        <c:extLst/>
      </c:scatterChart>
      <c:valAx>
        <c:axId val="645245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PFOA aqeuous</a:t>
                </a:r>
                <a:r>
                  <a:rPr lang="en-US" baseline="0"/>
                  <a:t> phase</a:t>
                </a:r>
                <a:r>
                  <a:rPr lang="en-US"/>
                  <a:t>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6304"/>
        <c:crosses val="autoZero"/>
        <c:crossBetween val="midCat"/>
      </c:valAx>
      <c:valAx>
        <c:axId val="64524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PFOA</a:t>
                </a:r>
                <a:r>
                  <a:rPr lang="en-US" baseline="0"/>
                  <a:t> solid phase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distribution PFOA</a:t>
            </a:r>
          </a:p>
          <a:p>
            <a:pPr>
              <a:defRPr/>
            </a:pPr>
            <a:r>
              <a:rPr lang="en-US"/>
              <a:t>(with consideration of dilution during extraction - scen.1)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Samples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0319737113883989"/>
                  <c:y val="-0.31827330094376499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(Printable!$P$25:$P$36,Printable!$P$70:$P$81)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">
                  <c:v>0.9829802144537918</c:v>
                </c:pt>
                <c:pt idx="5" formatCode="0.0000">
                  <c:v>1.1063059864123563</c:v>
                </c:pt>
                <c:pt idx="6" formatCode="0.0000">
                  <c:v>1.0477070524455259</c:v>
                </c:pt>
                <c:pt idx="7" formatCode="0.0000">
                  <c:v>1.4147816769410015</c:v>
                </c:pt>
                <c:pt idx="8" formatCode="0.0000">
                  <c:v>3.5361811929188036</c:v>
                </c:pt>
                <c:pt idx="9" formatCode="0.0000">
                  <c:v>3.1890892591613191</c:v>
                </c:pt>
                <c:pt idx="10" formatCode="0.0000">
                  <c:v>2.7452091481921088</c:v>
                </c:pt>
                <c:pt idx="11" formatCode="0.0000">
                  <c:v>2.9624794591714503</c:v>
                </c:pt>
                <c:pt idx="12" formatCode="0.0000">
                  <c:v>3.5905679683171878</c:v>
                </c:pt>
                <c:pt idx="13" formatCode="0.0000">
                  <c:v>4.6444420154962476</c:v>
                </c:pt>
                <c:pt idx="14" formatCode="0.0000">
                  <c:v>2.8498269743329834</c:v>
                </c:pt>
                <c:pt idx="15" formatCode="0.0000">
                  <c:v>3.0152684395726053</c:v>
                </c:pt>
                <c:pt idx="16" formatCode="0.0000">
                  <c:v>6.6109212053615325</c:v>
                </c:pt>
                <c:pt idx="17" formatCode="0.0000">
                  <c:v>8.4769089249288392</c:v>
                </c:pt>
                <c:pt idx="18" formatCode="0.0000">
                  <c:v>8.6591963170557591</c:v>
                </c:pt>
                <c:pt idx="19" formatCode="0.0000">
                  <c:v>8.5173873601461985</c:v>
                </c:pt>
                <c:pt idx="20" formatCode="0.0000">
                  <c:v>18.962392811401685</c:v>
                </c:pt>
                <c:pt idx="21" formatCode="0.0000">
                  <c:v>22.328592834729399</c:v>
                </c:pt>
                <c:pt idx="22" formatCode="0.0000">
                  <c:v>11.861957472946635</c:v>
                </c:pt>
                <c:pt idx="23" formatCode="0.0000">
                  <c:v>11.989479377939118</c:v>
                </c:pt>
              </c:numCache>
            </c:numRef>
          </c:xVal>
          <c:yVal>
            <c:numRef>
              <c:f>(Printable!$S$25:$S$36,Printable!$S$70:$S$81)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0">
                  <c:v>0.60680791421848324</c:v>
                </c:pt>
                <c:pt idx="5" formatCode="0.0000">
                  <c:v>0.55747760543505742</c:v>
                </c:pt>
                <c:pt idx="6" formatCode="0.0000">
                  <c:v>0.58091717902178963</c:v>
                </c:pt>
                <c:pt idx="7" formatCode="0.0000">
                  <c:v>0.43408732922359938</c:v>
                </c:pt>
                <c:pt idx="8" formatCode="0.0000">
                  <c:v>1.5855275228324786</c:v>
                </c:pt>
                <c:pt idx="9" formatCode="0.0000">
                  <c:v>1.7243642963354724</c:v>
                </c:pt>
                <c:pt idx="10" formatCode="0.0000">
                  <c:v>1.9019163407231567</c:v>
                </c:pt>
                <c:pt idx="11" formatCode="0.0000">
                  <c:v>1.8150082163314198</c:v>
                </c:pt>
                <c:pt idx="12" formatCode="0.0000">
                  <c:v>3.5637728126731245</c:v>
                </c:pt>
                <c:pt idx="13" formatCode="0.0000">
                  <c:v>3.1422231938015011</c:v>
                </c:pt>
                <c:pt idx="14" formatCode="0.0000">
                  <c:v>3.8600692102668064</c:v>
                </c:pt>
                <c:pt idx="15" formatCode="0.0000">
                  <c:v>3.7938926241709581</c:v>
                </c:pt>
                <c:pt idx="16" formatCode="0.0000">
                  <c:v>7.3556315178553877</c:v>
                </c:pt>
                <c:pt idx="17" formatCode="0.0000">
                  <c:v>6.6092364300284645</c:v>
                </c:pt>
                <c:pt idx="18" formatCode="0.0000">
                  <c:v>6.5363214731776962</c:v>
                </c:pt>
                <c:pt idx="19" formatCode="0.0000">
                  <c:v>6.5930450559415208</c:v>
                </c:pt>
                <c:pt idx="20" formatCode="0.0000">
                  <c:v>12.415042875439326</c:v>
                </c:pt>
                <c:pt idx="21" formatCode="0.0000">
                  <c:v>11.068562866108241</c:v>
                </c:pt>
                <c:pt idx="22" formatCode="0.0000">
                  <c:v>15.255217010821346</c:v>
                </c:pt>
                <c:pt idx="23" formatCode="0.0000">
                  <c:v>15.204208248824353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B-43D6-97DE-44E62C40FB0A}"/>
            </c:ext>
          </c:extLst>
        </c:ser>
        <c:ser>
          <c:idx val="0"/>
          <c:order val="1"/>
          <c:tx>
            <c:v>Calc. from average Kd from 05.07.21</c:v>
          </c:tx>
          <c:spPr>
            <a:ln w="2540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Printable!$F$104:$F$127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Printable!$G$104:$G$127</c:f>
              <c:numCache>
                <c:formatCode>General</c:formatCode>
                <c:ptCount val="24"/>
                <c:pt idx="0">
                  <c:v>0.26731687891619521</c:v>
                </c:pt>
                <c:pt idx="1">
                  <c:v>0.53463375783239042</c:v>
                </c:pt>
                <c:pt idx="2">
                  <c:v>1.0692675156647808</c:v>
                </c:pt>
                <c:pt idx="3">
                  <c:v>1.6039012734971712</c:v>
                </c:pt>
                <c:pt idx="4">
                  <c:v>2.1385350313295617</c:v>
                </c:pt>
                <c:pt idx="5">
                  <c:v>2.6731687891619522</c:v>
                </c:pt>
                <c:pt idx="6">
                  <c:v>3.2078025469943423</c:v>
                </c:pt>
                <c:pt idx="7">
                  <c:v>3.7424363048267328</c:v>
                </c:pt>
                <c:pt idx="8">
                  <c:v>4.2770700626591234</c:v>
                </c:pt>
                <c:pt idx="9">
                  <c:v>4.8117038204915135</c:v>
                </c:pt>
                <c:pt idx="10">
                  <c:v>5.3463375783239044</c:v>
                </c:pt>
                <c:pt idx="11">
                  <c:v>5.8809713361562945</c:v>
                </c:pt>
                <c:pt idx="12">
                  <c:v>6.4156050939886846</c:v>
                </c:pt>
                <c:pt idx="13">
                  <c:v>6.9502388518210756</c:v>
                </c:pt>
                <c:pt idx="14">
                  <c:v>7.4848726096534657</c:v>
                </c:pt>
                <c:pt idx="15">
                  <c:v>8.0195063674858567</c:v>
                </c:pt>
                <c:pt idx="16">
                  <c:v>8.5541401253182467</c:v>
                </c:pt>
                <c:pt idx="17">
                  <c:v>9.0887738831506368</c:v>
                </c:pt>
                <c:pt idx="18">
                  <c:v>9.6234076409830269</c:v>
                </c:pt>
                <c:pt idx="19">
                  <c:v>10.158041398815419</c:v>
                </c:pt>
                <c:pt idx="20">
                  <c:v>10.692675156647809</c:v>
                </c:pt>
                <c:pt idx="21">
                  <c:v>11.227308914480199</c:v>
                </c:pt>
                <c:pt idx="22">
                  <c:v>11.761942672312589</c:v>
                </c:pt>
                <c:pt idx="23">
                  <c:v>12.296576430144979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9B-43D6-97DE-44E62C40FB0A}"/>
            </c:ext>
          </c:extLst>
        </c:ser>
        <c:ser>
          <c:idx val="1"/>
          <c:order val="2"/>
          <c:tx>
            <c:v>Calc from average Kd from 07.07.21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Printable!$F$104:$F$127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Printable!$H$104:$H$127</c:f>
              <c:numCache>
                <c:formatCode>General</c:formatCode>
                <c:ptCount val="24"/>
                <c:pt idx="0">
                  <c:v>0.47531958814542463</c:v>
                </c:pt>
                <c:pt idx="1">
                  <c:v>0.95063917629084926</c:v>
                </c:pt>
                <c:pt idx="2">
                  <c:v>1.9012783525816985</c:v>
                </c:pt>
                <c:pt idx="3">
                  <c:v>2.8519175288725478</c:v>
                </c:pt>
                <c:pt idx="4">
                  <c:v>3.8025567051633971</c:v>
                </c:pt>
                <c:pt idx="5">
                  <c:v>4.7531958814542463</c:v>
                </c:pt>
                <c:pt idx="6">
                  <c:v>5.7038350577450956</c:v>
                </c:pt>
                <c:pt idx="7">
                  <c:v>6.6544742340359448</c:v>
                </c:pt>
                <c:pt idx="8">
                  <c:v>7.6051134103267941</c:v>
                </c:pt>
                <c:pt idx="9">
                  <c:v>8.5557525866176434</c:v>
                </c:pt>
                <c:pt idx="10">
                  <c:v>9.5063917629084926</c:v>
                </c:pt>
                <c:pt idx="11">
                  <c:v>10.457030939199342</c:v>
                </c:pt>
                <c:pt idx="12">
                  <c:v>11.407670115490191</c:v>
                </c:pt>
                <c:pt idx="13">
                  <c:v>12.35830929178104</c:v>
                </c:pt>
                <c:pt idx="14">
                  <c:v>13.30894846807189</c:v>
                </c:pt>
                <c:pt idx="15">
                  <c:v>14.259587644362739</c:v>
                </c:pt>
                <c:pt idx="16">
                  <c:v>15.210226820653588</c:v>
                </c:pt>
                <c:pt idx="17">
                  <c:v>16.160865996944437</c:v>
                </c:pt>
                <c:pt idx="18">
                  <c:v>17.111505173235287</c:v>
                </c:pt>
                <c:pt idx="19">
                  <c:v>18.062144349526136</c:v>
                </c:pt>
                <c:pt idx="20">
                  <c:v>19.012783525816985</c:v>
                </c:pt>
                <c:pt idx="21">
                  <c:v>19.963422702107835</c:v>
                </c:pt>
                <c:pt idx="22">
                  <c:v>20.914061878398684</c:v>
                </c:pt>
                <c:pt idx="23">
                  <c:v>21.864701054689533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9B-43D6-97DE-44E62C40FB0A}"/>
            </c:ext>
          </c:extLst>
        </c:ser>
        <c:ser>
          <c:idx val="4"/>
          <c:order val="4"/>
          <c:tx>
            <c:v>Calc from minimum Koc by literature</c:v>
          </c:tx>
          <c:spPr>
            <a:ln w="254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Printable!$A$103:$A$126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Printable!$B$103:$B$126</c:f>
              <c:numCache>
                <c:formatCode>General</c:formatCode>
                <c:ptCount val="24"/>
                <c:pt idx="0">
                  <c:v>1.1114999999999999</c:v>
                </c:pt>
                <c:pt idx="1">
                  <c:v>2.2229999999999999</c:v>
                </c:pt>
                <c:pt idx="2">
                  <c:v>4.4459999999999997</c:v>
                </c:pt>
                <c:pt idx="3">
                  <c:v>6.6689999999999996</c:v>
                </c:pt>
                <c:pt idx="4">
                  <c:v>8.8919999999999995</c:v>
                </c:pt>
                <c:pt idx="5">
                  <c:v>11.114999999999998</c:v>
                </c:pt>
                <c:pt idx="6">
                  <c:v>13.337999999999999</c:v>
                </c:pt>
                <c:pt idx="7">
                  <c:v>15.561</c:v>
                </c:pt>
                <c:pt idx="8">
                  <c:v>17.783999999999999</c:v>
                </c:pt>
                <c:pt idx="9">
                  <c:v>20.006999999999998</c:v>
                </c:pt>
                <c:pt idx="10">
                  <c:v>22.229999999999997</c:v>
                </c:pt>
                <c:pt idx="11">
                  <c:v>24.452999999999999</c:v>
                </c:pt>
                <c:pt idx="12">
                  <c:v>26.675999999999998</c:v>
                </c:pt>
                <c:pt idx="13">
                  <c:v>28.898999999999997</c:v>
                </c:pt>
                <c:pt idx="14">
                  <c:v>31.122</c:v>
                </c:pt>
                <c:pt idx="15">
                  <c:v>33.344999999999999</c:v>
                </c:pt>
                <c:pt idx="16">
                  <c:v>35.567999999999998</c:v>
                </c:pt>
                <c:pt idx="17">
                  <c:v>37.790999999999997</c:v>
                </c:pt>
                <c:pt idx="18">
                  <c:v>40.013999999999996</c:v>
                </c:pt>
                <c:pt idx="19">
                  <c:v>42.236999999999995</c:v>
                </c:pt>
                <c:pt idx="20">
                  <c:v>44.459999999999994</c:v>
                </c:pt>
                <c:pt idx="21">
                  <c:v>46.683</c:v>
                </c:pt>
                <c:pt idx="22">
                  <c:v>48.905999999999999</c:v>
                </c:pt>
                <c:pt idx="23">
                  <c:v>51.128999999999998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9B-43D6-97DE-44E62C40F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45976"/>
        <c:axId val="64524630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Empirical Calculated all</c:v>
                </c:tx>
                <c:spPr>
                  <a:ln w="2540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Printable!$F$104:$F$127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Printable!$I$104:$I$127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0.39211850445373286</c:v>
                      </c:pt>
                      <c:pt idx="1">
                        <c:v>0.78423700890746573</c:v>
                      </c:pt>
                      <c:pt idx="2">
                        <c:v>1.5684740178149315</c:v>
                      </c:pt>
                      <c:pt idx="3">
                        <c:v>2.352711026722397</c:v>
                      </c:pt>
                      <c:pt idx="4">
                        <c:v>3.1369480356298629</c:v>
                      </c:pt>
                      <c:pt idx="5">
                        <c:v>3.9211850445373289</c:v>
                      </c:pt>
                      <c:pt idx="6">
                        <c:v>4.7054220534447939</c:v>
                      </c:pt>
                      <c:pt idx="7">
                        <c:v>5.4896590623522599</c:v>
                      </c:pt>
                      <c:pt idx="8">
                        <c:v>6.2738960712597258</c:v>
                      </c:pt>
                      <c:pt idx="9">
                        <c:v>7.0581330801671918</c:v>
                      </c:pt>
                      <c:pt idx="10">
                        <c:v>7.8423700890746577</c:v>
                      </c:pt>
                      <c:pt idx="11">
                        <c:v>8.6266070979821237</c:v>
                      </c:pt>
                      <c:pt idx="12">
                        <c:v>9.4108441068895878</c:v>
                      </c:pt>
                      <c:pt idx="13">
                        <c:v>10.195081115797054</c:v>
                      </c:pt>
                      <c:pt idx="14">
                        <c:v>10.97931812470452</c:v>
                      </c:pt>
                      <c:pt idx="15">
                        <c:v>11.763555133611986</c:v>
                      </c:pt>
                      <c:pt idx="16">
                        <c:v>12.547792142519452</c:v>
                      </c:pt>
                      <c:pt idx="17">
                        <c:v>13.332029151426918</c:v>
                      </c:pt>
                      <c:pt idx="18">
                        <c:v>14.116266160334384</c:v>
                      </c:pt>
                      <c:pt idx="19">
                        <c:v>14.900503169241849</c:v>
                      </c:pt>
                      <c:pt idx="20">
                        <c:v>15.684740178149315</c:v>
                      </c:pt>
                      <c:pt idx="21">
                        <c:v>16.46897718705678</c:v>
                      </c:pt>
                      <c:pt idx="22">
                        <c:v>17.253214195964247</c:v>
                      </c:pt>
                      <c:pt idx="23">
                        <c:v>18.037451204871711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49B-43D6-97DE-44E62C40FB0A}"/>
                  </c:ext>
                </c:extLst>
              </c15:ser>
            </c15:filteredScatterSeries>
          </c:ext>
        </c:extLst>
      </c:scatterChart>
      <c:valAx>
        <c:axId val="645245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PFOA aqeuous phase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6304"/>
        <c:crosses val="autoZero"/>
        <c:crossBetween val="midCat"/>
      </c:valAx>
      <c:valAx>
        <c:axId val="64524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PFOA solid phase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phase distribution PFOA</a:t>
            </a:r>
          </a:p>
          <a:p>
            <a:pPr>
              <a:defRPr/>
            </a:pPr>
            <a:r>
              <a:rPr lang="en-US"/>
              <a:t>(without considering dilution during extraction - scen.2)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Samples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6602807915922602"/>
                  <c:y val="-0.15055906337166494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Printable!$O$128:$O$151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0.4914901072268959</c:v>
                </c:pt>
                <c:pt idx="5">
                  <c:v>0.55315299320617817</c:v>
                </c:pt>
                <c:pt idx="6">
                  <c:v>0.52385352622276293</c:v>
                </c:pt>
                <c:pt idx="7">
                  <c:v>0.70739083847050077</c:v>
                </c:pt>
                <c:pt idx="8">
                  <c:v>1.7680905964594018</c:v>
                </c:pt>
                <c:pt idx="9">
                  <c:v>1.5945446295806596</c:v>
                </c:pt>
                <c:pt idx="10">
                  <c:v>1.3726045740960544</c:v>
                </c:pt>
                <c:pt idx="11">
                  <c:v>1.4812397295857251</c:v>
                </c:pt>
                <c:pt idx="12">
                  <c:v>1.7952839841585939</c:v>
                </c:pt>
                <c:pt idx="13">
                  <c:v>2.3222210077481238</c:v>
                </c:pt>
                <c:pt idx="14">
                  <c:v>1.4249134871664917</c:v>
                </c:pt>
                <c:pt idx="15">
                  <c:v>1.5076342197863026</c:v>
                </c:pt>
                <c:pt idx="16">
                  <c:v>3.3054606026807662</c:v>
                </c:pt>
                <c:pt idx="17">
                  <c:v>4.2384544624644196</c:v>
                </c:pt>
                <c:pt idx="18">
                  <c:v>4.3295981585278795</c:v>
                </c:pt>
                <c:pt idx="19">
                  <c:v>4.2586936800730992</c:v>
                </c:pt>
                <c:pt idx="20">
                  <c:v>9.4811964057008424</c:v>
                </c:pt>
                <c:pt idx="21">
                  <c:v>11.164296417364699</c:v>
                </c:pt>
                <c:pt idx="22">
                  <c:v>5.9309787364733175</c:v>
                </c:pt>
                <c:pt idx="23">
                  <c:v>5.9947396889695588</c:v>
                </c:pt>
              </c:numCache>
            </c:numRef>
          </c:xVal>
          <c:yVal>
            <c:numRef>
              <c:f>Printable!$P$128:$P$151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0.80340395710924162</c:v>
                </c:pt>
                <c:pt idx="5">
                  <c:v>0.77873880271752882</c:v>
                </c:pt>
                <c:pt idx="6">
                  <c:v>0.79045858951089476</c:v>
                </c:pt>
                <c:pt idx="7">
                  <c:v>0.71704366461179969</c:v>
                </c:pt>
                <c:pt idx="8">
                  <c:v>2.2927637614162393</c:v>
                </c:pt>
                <c:pt idx="9">
                  <c:v>2.3621821481677361</c:v>
                </c:pt>
                <c:pt idx="10">
                  <c:v>2.4509581703615781</c:v>
                </c:pt>
                <c:pt idx="11">
                  <c:v>2.4075041081657096</c:v>
                </c:pt>
                <c:pt idx="12">
                  <c:v>4.2818864063365627</c:v>
                </c:pt>
                <c:pt idx="13">
                  <c:v>4.0711115969007512</c:v>
                </c:pt>
                <c:pt idx="14">
                  <c:v>4.430034605133403</c:v>
                </c:pt>
                <c:pt idx="15">
                  <c:v>4.396946312085479</c:v>
                </c:pt>
                <c:pt idx="16">
                  <c:v>8.677815758927693</c:v>
                </c:pt>
                <c:pt idx="17">
                  <c:v>8.3046182150142336</c:v>
                </c:pt>
                <c:pt idx="18">
                  <c:v>8.2681607365888485</c:v>
                </c:pt>
                <c:pt idx="19">
                  <c:v>8.29652252797076</c:v>
                </c:pt>
                <c:pt idx="20">
                  <c:v>16.207521437719663</c:v>
                </c:pt>
                <c:pt idx="21">
                  <c:v>15.534281433054122</c:v>
                </c:pt>
                <c:pt idx="22">
                  <c:v>17.62760850541067</c:v>
                </c:pt>
                <c:pt idx="23">
                  <c:v>17.602104124412175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0-4D8E-84CB-3C2D24B99D75}"/>
            </c:ext>
          </c:extLst>
        </c:ser>
        <c:ser>
          <c:idx val="0"/>
          <c:order val="1"/>
          <c:tx>
            <c:v>Calc. from average Kd from 05.07.21</c:v>
          </c:tx>
          <c:spPr>
            <a:ln w="2540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Printable!$U$131:$U$154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Printable!$V$131:$V$154</c:f>
              <c:numCache>
                <c:formatCode>General</c:formatCode>
                <c:ptCount val="24"/>
                <c:pt idx="0">
                  <c:v>0.73463375783239038</c:v>
                </c:pt>
                <c:pt idx="1">
                  <c:v>1.4692675156647808</c:v>
                </c:pt>
                <c:pt idx="2">
                  <c:v>2.9385350313295615</c:v>
                </c:pt>
                <c:pt idx="3">
                  <c:v>4.4078025469943425</c:v>
                </c:pt>
                <c:pt idx="4">
                  <c:v>5.877070062659123</c:v>
                </c:pt>
                <c:pt idx="5">
                  <c:v>7.3463375783239035</c:v>
                </c:pt>
                <c:pt idx="6">
                  <c:v>8.815605093988685</c:v>
                </c:pt>
                <c:pt idx="7">
                  <c:v>10.284872609653466</c:v>
                </c:pt>
                <c:pt idx="8">
                  <c:v>11.754140125318246</c:v>
                </c:pt>
                <c:pt idx="9">
                  <c:v>13.223407640983027</c:v>
                </c:pt>
                <c:pt idx="10">
                  <c:v>14.692675156647807</c:v>
                </c:pt>
                <c:pt idx="11">
                  <c:v>16.161942672312588</c:v>
                </c:pt>
                <c:pt idx="12">
                  <c:v>17.63121018797737</c:v>
                </c:pt>
                <c:pt idx="13">
                  <c:v>19.100477703642149</c:v>
                </c:pt>
                <c:pt idx="14">
                  <c:v>20.569745219306931</c:v>
                </c:pt>
                <c:pt idx="15">
                  <c:v>22.03901273497171</c:v>
                </c:pt>
                <c:pt idx="16">
                  <c:v>23.508280250636492</c:v>
                </c:pt>
                <c:pt idx="17">
                  <c:v>24.977547766301274</c:v>
                </c:pt>
                <c:pt idx="18">
                  <c:v>26.446815281966053</c:v>
                </c:pt>
                <c:pt idx="19">
                  <c:v>27.916082797630835</c:v>
                </c:pt>
                <c:pt idx="20">
                  <c:v>29.385350313295614</c:v>
                </c:pt>
                <c:pt idx="21">
                  <c:v>30.854617828960397</c:v>
                </c:pt>
                <c:pt idx="22">
                  <c:v>32.323885344625175</c:v>
                </c:pt>
                <c:pt idx="23">
                  <c:v>33.793152860289958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50-4D8E-84CB-3C2D24B99D75}"/>
            </c:ext>
          </c:extLst>
        </c:ser>
        <c:ser>
          <c:idx val="1"/>
          <c:order val="2"/>
          <c:tx>
            <c:v>Calc from average Kd from 07.07.21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Printable!$U$131:$U$154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Printable!$W$131:$W$154</c:f>
              <c:numCache>
                <c:formatCode>General</c:formatCode>
                <c:ptCount val="24"/>
                <c:pt idx="0">
                  <c:v>1.1506391762908492</c:v>
                </c:pt>
                <c:pt idx="1">
                  <c:v>2.3012783525816984</c:v>
                </c:pt>
                <c:pt idx="2">
                  <c:v>4.6025567051633969</c:v>
                </c:pt>
                <c:pt idx="3">
                  <c:v>6.9038350577450949</c:v>
                </c:pt>
                <c:pt idx="4">
                  <c:v>9.2051134103267938</c:v>
                </c:pt>
                <c:pt idx="5">
                  <c:v>11.506391762908493</c:v>
                </c:pt>
                <c:pt idx="6">
                  <c:v>13.80767011549019</c:v>
                </c:pt>
                <c:pt idx="7">
                  <c:v>16.10894846807189</c:v>
                </c:pt>
                <c:pt idx="8">
                  <c:v>18.410226820653588</c:v>
                </c:pt>
                <c:pt idx="9">
                  <c:v>20.711505173235285</c:v>
                </c:pt>
                <c:pt idx="10">
                  <c:v>23.012783525816985</c:v>
                </c:pt>
                <c:pt idx="11">
                  <c:v>25.314061878398682</c:v>
                </c:pt>
                <c:pt idx="12">
                  <c:v>27.615340230980379</c:v>
                </c:pt>
                <c:pt idx="13">
                  <c:v>29.91661858356208</c:v>
                </c:pt>
                <c:pt idx="14">
                  <c:v>32.217896936143781</c:v>
                </c:pt>
                <c:pt idx="15">
                  <c:v>34.519175288725478</c:v>
                </c:pt>
                <c:pt idx="16">
                  <c:v>36.820453641307175</c:v>
                </c:pt>
                <c:pt idx="17">
                  <c:v>39.121731993888872</c:v>
                </c:pt>
                <c:pt idx="18">
                  <c:v>41.423010346470569</c:v>
                </c:pt>
                <c:pt idx="19">
                  <c:v>43.724288699052273</c:v>
                </c:pt>
                <c:pt idx="20">
                  <c:v>46.025567051633971</c:v>
                </c:pt>
                <c:pt idx="21">
                  <c:v>48.326845404215668</c:v>
                </c:pt>
                <c:pt idx="22">
                  <c:v>50.628123756797365</c:v>
                </c:pt>
                <c:pt idx="23">
                  <c:v>52.929402109379062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50-4D8E-84CB-3C2D24B99D75}"/>
            </c:ext>
          </c:extLst>
        </c:ser>
        <c:ser>
          <c:idx val="4"/>
          <c:order val="4"/>
          <c:tx>
            <c:v>Calc from minimum Koc by literature</c:v>
          </c:tx>
          <c:spPr>
            <a:ln w="254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Printable!$A$103:$A$126</c:f>
              <c:numCache>
                <c:formatCode>General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Printable!$B$103:$B$126</c:f>
              <c:numCache>
                <c:formatCode>General</c:formatCode>
                <c:ptCount val="24"/>
                <c:pt idx="0">
                  <c:v>1.1114999999999999</c:v>
                </c:pt>
                <c:pt idx="1">
                  <c:v>2.2229999999999999</c:v>
                </c:pt>
                <c:pt idx="2">
                  <c:v>4.4459999999999997</c:v>
                </c:pt>
                <c:pt idx="3">
                  <c:v>6.6689999999999996</c:v>
                </c:pt>
                <c:pt idx="4">
                  <c:v>8.8919999999999995</c:v>
                </c:pt>
                <c:pt idx="5">
                  <c:v>11.114999999999998</c:v>
                </c:pt>
                <c:pt idx="6">
                  <c:v>13.337999999999999</c:v>
                </c:pt>
                <c:pt idx="7">
                  <c:v>15.561</c:v>
                </c:pt>
                <c:pt idx="8">
                  <c:v>17.783999999999999</c:v>
                </c:pt>
                <c:pt idx="9">
                  <c:v>20.006999999999998</c:v>
                </c:pt>
                <c:pt idx="10">
                  <c:v>22.229999999999997</c:v>
                </c:pt>
                <c:pt idx="11">
                  <c:v>24.452999999999999</c:v>
                </c:pt>
                <c:pt idx="12">
                  <c:v>26.675999999999998</c:v>
                </c:pt>
                <c:pt idx="13">
                  <c:v>28.898999999999997</c:v>
                </c:pt>
                <c:pt idx="14">
                  <c:v>31.122</c:v>
                </c:pt>
                <c:pt idx="15">
                  <c:v>33.344999999999999</c:v>
                </c:pt>
                <c:pt idx="16">
                  <c:v>35.567999999999998</c:v>
                </c:pt>
                <c:pt idx="17">
                  <c:v>37.790999999999997</c:v>
                </c:pt>
                <c:pt idx="18">
                  <c:v>40.013999999999996</c:v>
                </c:pt>
                <c:pt idx="19">
                  <c:v>42.236999999999995</c:v>
                </c:pt>
                <c:pt idx="20">
                  <c:v>44.459999999999994</c:v>
                </c:pt>
                <c:pt idx="21">
                  <c:v>46.683</c:v>
                </c:pt>
                <c:pt idx="22">
                  <c:v>48.905999999999999</c:v>
                </c:pt>
                <c:pt idx="23">
                  <c:v>51.128999999999998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50-4D8E-84CB-3C2D24B99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45976"/>
        <c:axId val="64524630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Empirical Calculated all</c:v>
                </c:tx>
                <c:spPr>
                  <a:ln w="2540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Printable!$F$104:$F$127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Printable!$I$104:$I$127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0.39211850445373286</c:v>
                      </c:pt>
                      <c:pt idx="1">
                        <c:v>0.78423700890746573</c:v>
                      </c:pt>
                      <c:pt idx="2">
                        <c:v>1.5684740178149315</c:v>
                      </c:pt>
                      <c:pt idx="3">
                        <c:v>2.352711026722397</c:v>
                      </c:pt>
                      <c:pt idx="4">
                        <c:v>3.1369480356298629</c:v>
                      </c:pt>
                      <c:pt idx="5">
                        <c:v>3.9211850445373289</c:v>
                      </c:pt>
                      <c:pt idx="6">
                        <c:v>4.7054220534447939</c:v>
                      </c:pt>
                      <c:pt idx="7">
                        <c:v>5.4896590623522599</c:v>
                      </c:pt>
                      <c:pt idx="8">
                        <c:v>6.2738960712597258</c:v>
                      </c:pt>
                      <c:pt idx="9">
                        <c:v>7.0581330801671918</c:v>
                      </c:pt>
                      <c:pt idx="10">
                        <c:v>7.8423700890746577</c:v>
                      </c:pt>
                      <c:pt idx="11">
                        <c:v>8.6266070979821237</c:v>
                      </c:pt>
                      <c:pt idx="12">
                        <c:v>9.4108441068895878</c:v>
                      </c:pt>
                      <c:pt idx="13">
                        <c:v>10.195081115797054</c:v>
                      </c:pt>
                      <c:pt idx="14">
                        <c:v>10.97931812470452</c:v>
                      </c:pt>
                      <c:pt idx="15">
                        <c:v>11.763555133611986</c:v>
                      </c:pt>
                      <c:pt idx="16">
                        <c:v>12.547792142519452</c:v>
                      </c:pt>
                      <c:pt idx="17">
                        <c:v>13.332029151426918</c:v>
                      </c:pt>
                      <c:pt idx="18">
                        <c:v>14.116266160334384</c:v>
                      </c:pt>
                      <c:pt idx="19">
                        <c:v>14.900503169241849</c:v>
                      </c:pt>
                      <c:pt idx="20">
                        <c:v>15.684740178149315</c:v>
                      </c:pt>
                      <c:pt idx="21">
                        <c:v>16.46897718705678</c:v>
                      </c:pt>
                      <c:pt idx="22">
                        <c:v>17.253214195964247</c:v>
                      </c:pt>
                      <c:pt idx="23">
                        <c:v>18.037451204871711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A50-4D8E-84CB-3C2D24B99D75}"/>
                  </c:ext>
                </c:extLst>
              </c15:ser>
            </c15:filteredScatterSeries>
          </c:ext>
        </c:extLst>
      </c:scatterChart>
      <c:valAx>
        <c:axId val="645245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PFOA aqeuous phase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6304"/>
        <c:crosses val="autoZero"/>
        <c:crossBetween val="midCat"/>
      </c:valAx>
      <c:valAx>
        <c:axId val="645246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PFOA solid phase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4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Int. Std Calibration</a:t>
            </a:r>
          </a:p>
          <a:p>
            <a:pPr>
              <a:defRPr/>
            </a:pPr>
            <a:r>
              <a:rPr lang="en-US"/>
              <a:t>05.07.21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Int. Std. Calibration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7885783027121608"/>
                  <c:y val="-1.8935185185185208E-2"/>
                </c:manualLayout>
              </c:layout>
              <c:numFmt formatCode="#,##0.0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 w. Int. Std.'!$R$8:$R$15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</c:numCache>
            </c:numRef>
          </c:xVal>
          <c:yVal>
            <c:numRef>
              <c:f>'Calc w. Int. Std.'!$Q$8:$Q$15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0.31066972388327196</c:v>
                </c:pt>
                <c:pt idx="3">
                  <c:v>0.28268056661598978</c:v>
                </c:pt>
                <c:pt idx="4">
                  <c:v>1.6658986309975554</c:v>
                </c:pt>
                <c:pt idx="5">
                  <c:v>3.2862662732743244</c:v>
                </c:pt>
                <c:pt idx="6">
                  <c:v>8.0079453948505268</c:v>
                </c:pt>
                <c:pt idx="7">
                  <c:v>6.6082649948650349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8-4003-9384-B125D6A1AE03}"/>
            </c:ext>
          </c:extLst>
        </c:ser>
        <c:ser>
          <c:idx val="1"/>
          <c:order val="1"/>
          <c:tx>
            <c:v>Int.Std. Calibr. 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134514435695536E-2"/>
                  <c:y val="0.36509405074365703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 w. Int. Std.'!$R$19:$R$21</c:f>
              <c:numCache>
                <c:formatCode>General</c:formatCode>
                <c:ptCount val="3"/>
                <c:pt idx="0">
                  <c:v>5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'Calc w. Int. Std.'!$Q$19:$Q$21</c:f>
              <c:numCache>
                <c:formatCode>General</c:formatCode>
                <c:ptCount val="3"/>
                <c:pt idx="0">
                  <c:v>0.29552635564584778</c:v>
                </c:pt>
                <c:pt idx="1">
                  <c:v>2.2640852264195992</c:v>
                </c:pt>
                <c:pt idx="2">
                  <c:v>7.2662144928478014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48-4003-9384-B125D6A1A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43720"/>
        <c:axId val="477545360"/>
      </c:scatterChart>
      <c:valAx>
        <c:axId val="47754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C_sam/C_Istd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5360"/>
        <c:crosses val="autoZero"/>
        <c:crossBetween val="midCat"/>
      </c:valAx>
      <c:valAx>
        <c:axId val="4775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A_sam/A_IStd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Eq.</a:t>
            </a:r>
            <a:r>
              <a:rPr lang="en-US" baseline="0"/>
              <a:t> Conc aq w/ init. Conc aq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Raw_data!$P$6</c:f>
              <c:strCache>
                <c:ptCount val="1"/>
                <c:pt idx="0">
                  <c:v>SIM_525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187467191601048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(Raw_data!$R$19,Raw_data!$R$27,Raw_data!$R$33)</c:f>
              <c:numCache>
                <c:formatCode>General</c:formatCode>
                <c:ptCount val="3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</c:numCache>
            </c:numRef>
          </c:xVal>
          <c:yVal>
            <c:numRef>
              <c:f>(Raw_data!$P$19,Raw_data!$P$27,Raw_data!$P$33)</c:f>
              <c:numCache>
                <c:formatCode>0.0000</c:formatCode>
                <c:ptCount val="3"/>
                <c:pt idx="0" formatCode="0.0">
                  <c:v>0</c:v>
                </c:pt>
                <c:pt idx="1">
                  <c:v>1.1379437325631689</c:v>
                </c:pt>
                <c:pt idx="2">
                  <c:v>3.1082397648609206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5-4BA7-9AE4-861E9A27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206216"/>
        <c:axId val="8242085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Raw_data!$Q$6</c15:sqref>
                        </c15:formulaRef>
                      </c:ext>
                    </c:extLst>
                    <c:strCache>
                      <c:ptCount val="1"/>
                      <c:pt idx="0">
                        <c:v>SIM_525_auto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(Raw_data!$R$19,Raw_data!$R$27,Raw_data!$R$33)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2.5</c:v>
                      </c:pt>
                      <c:pt idx="2">
                        <c:v>7.5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(Raw_data!$Q$19,Raw_data!$Q$27,Raw_data!$Q$33)</c15:sqref>
                        </c15:formulaRef>
                      </c:ext>
                    </c:extLst>
                    <c:numCache>
                      <c:formatCode>0.0000</c:formatCode>
                      <c:ptCount val="3"/>
                      <c:pt idx="0">
                        <c:v>0.22266454600263358</c:v>
                      </c:pt>
                      <c:pt idx="1">
                        <c:v>1.1348964533425054</c:v>
                      </c:pt>
                      <c:pt idx="2">
                        <c:v>3.1075082263968388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B15-4BA7-9AE4-861E9A27536E}"/>
                  </c:ext>
                </c:extLst>
              </c15:ser>
            </c15:filteredScatterSeries>
          </c:ext>
        </c:extLst>
      </c:scatterChart>
      <c:valAx>
        <c:axId val="82420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Init. Conc.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08512"/>
        <c:crosses val="autoZero"/>
        <c:crossBetween val="midCat"/>
      </c:valAx>
      <c:valAx>
        <c:axId val="8242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Eq.</a:t>
                </a:r>
                <a:r>
                  <a:rPr lang="en-US" baseline="0"/>
                  <a:t> Conc.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0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Int.</a:t>
            </a:r>
            <a:r>
              <a:rPr lang="en-US" baseline="0"/>
              <a:t> Std. Calibration</a:t>
            </a:r>
          </a:p>
          <a:p>
            <a:pPr>
              <a:defRPr/>
            </a:pPr>
            <a:r>
              <a:rPr lang="en-US" baseline="0"/>
              <a:t>07.07.21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Int. Std. Calibration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7885783027121608"/>
                  <c:y val="-1.8935185185185208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 w. Int. Std.'!$R$52:$R$61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25</c:v>
                </c:pt>
                <c:pt idx="6">
                  <c:v>200</c:v>
                </c:pt>
                <c:pt idx="7">
                  <c:v>200</c:v>
                </c:pt>
                <c:pt idx="8">
                  <c:v>500</c:v>
                </c:pt>
                <c:pt idx="9">
                  <c:v>500</c:v>
                </c:pt>
              </c:numCache>
            </c:numRef>
          </c:xVal>
          <c:yVal>
            <c:numRef>
              <c:f>'Calc w. Int. Std.'!$Q$52:$Q$61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0.95228547493815219</c:v>
                </c:pt>
                <c:pt idx="3">
                  <c:v>0</c:v>
                </c:pt>
                <c:pt idx="4">
                  <c:v>6.4489563683298075</c:v>
                </c:pt>
                <c:pt idx="5">
                  <c:v>8.2091274948417805</c:v>
                </c:pt>
                <c:pt idx="6">
                  <c:v>31.962135665644851</c:v>
                </c:pt>
                <c:pt idx="7">
                  <c:v>31.957307759100367</c:v>
                </c:pt>
                <c:pt idx="8">
                  <c:v>43.708565892029817</c:v>
                </c:pt>
                <c:pt idx="9">
                  <c:v>36.290319235032882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9-4AAC-B703-23724530E68D}"/>
            </c:ext>
          </c:extLst>
        </c:ser>
        <c:ser>
          <c:idx val="1"/>
          <c:order val="1"/>
          <c:tx>
            <c:v>Int.Std. Calibr. 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3134514435695536E-2"/>
                  <c:y val="0.36509405074365703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 w. Int. Std.'!$R$65:$R$67</c:f>
              <c:numCache>
                <c:formatCode>General</c:formatCode>
                <c:ptCount val="3"/>
                <c:pt idx="0">
                  <c:v>25</c:v>
                </c:pt>
                <c:pt idx="1">
                  <c:v>200</c:v>
                </c:pt>
                <c:pt idx="2">
                  <c:v>500</c:v>
                </c:pt>
              </c:numCache>
            </c:numRef>
          </c:xVal>
          <c:yVal>
            <c:numRef>
              <c:f>'Calc w. Int. Std.'!$Q$65:$Q$67</c:f>
              <c:numCache>
                <c:formatCode>General</c:formatCode>
                <c:ptCount val="3"/>
                <c:pt idx="0">
                  <c:v>7.3290419315857935</c:v>
                </c:pt>
                <c:pt idx="1">
                  <c:v>31.959721712372609</c:v>
                </c:pt>
                <c:pt idx="2">
                  <c:v>39.999442563531346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59-4AAC-B703-23724530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43720"/>
        <c:axId val="477545360"/>
      </c:scatterChart>
      <c:valAx>
        <c:axId val="47754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C_sam/C_Istd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5360"/>
        <c:crosses val="autoZero"/>
        <c:crossBetween val="midCat"/>
      </c:valAx>
      <c:valAx>
        <c:axId val="4775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A_sam/A_IStd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4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Partitioning computed</a:t>
            </a:r>
          </a:p>
          <a:p>
            <a:pPr>
              <a:defRPr/>
            </a:pPr>
            <a:r>
              <a:rPr lang="en-US"/>
              <a:t>w/ Int. Std. Calibr.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w/ Extract.Dil 05.07.21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5580390977577101E-2"/>
                  <c:y val="-5.0559375618645326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 w. Int. Std.'!$Q$31:$Q$42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0.76960002096349589</c:v>
                </c:pt>
                <c:pt idx="5">
                  <c:v>0.88446264336514346</c:v>
                </c:pt>
                <c:pt idx="6">
                  <c:v>0.73588297485539889</c:v>
                </c:pt>
                <c:pt idx="7">
                  <c:v>1.1650577785606351</c:v>
                </c:pt>
                <c:pt idx="8">
                  <c:v>2.4141023082323407</c:v>
                </c:pt>
                <c:pt idx="9">
                  <c:v>2.7624929890131606</c:v>
                </c:pt>
                <c:pt idx="10">
                  <c:v>1.9180273257089473</c:v>
                </c:pt>
                <c:pt idx="11">
                  <c:v>2.351880626237457</c:v>
                </c:pt>
              </c:numCache>
            </c:numRef>
          </c:xVal>
          <c:yVal>
            <c:numRef>
              <c:f>'Calc w. Int. Std.'!$V$31:$V$42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0.69215999161460162</c:v>
                </c:pt>
                <c:pt idx="5">
                  <c:v>0.64621494265394264</c:v>
                </c:pt>
                <c:pt idx="6">
                  <c:v>0.70564681005784047</c:v>
                </c:pt>
                <c:pt idx="7">
                  <c:v>0.53397688857574599</c:v>
                </c:pt>
                <c:pt idx="8">
                  <c:v>2.0343590767070636</c:v>
                </c:pt>
                <c:pt idx="9">
                  <c:v>1.8950028043947356</c:v>
                </c:pt>
                <c:pt idx="10">
                  <c:v>2.232789069716421</c:v>
                </c:pt>
                <c:pt idx="11">
                  <c:v>2.0592477495050172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7-4373-8A07-B9D992A475DC}"/>
            </c:ext>
          </c:extLst>
        </c:ser>
        <c:ser>
          <c:idx val="1"/>
          <c:order val="1"/>
          <c:tx>
            <c:v>w/o Extr.Dil 05.07.21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0164729015498621E-2"/>
                  <c:y val="-5.326434069169766E-3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 w. Int. Std.'!$Z$31:$Z$42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0.38480001048174794</c:v>
                </c:pt>
                <c:pt idx="5">
                  <c:v>0.44223132168257173</c:v>
                </c:pt>
                <c:pt idx="6">
                  <c:v>0.36794148742769944</c:v>
                </c:pt>
                <c:pt idx="7">
                  <c:v>0.58252888928031754</c:v>
                </c:pt>
                <c:pt idx="8">
                  <c:v>1.2070511541161704</c:v>
                </c:pt>
                <c:pt idx="9">
                  <c:v>1.3812464945065803</c:v>
                </c:pt>
                <c:pt idx="10">
                  <c:v>0.95901366285447365</c:v>
                </c:pt>
                <c:pt idx="11">
                  <c:v>1.1759403131187285</c:v>
                </c:pt>
              </c:numCache>
            </c:numRef>
          </c:xVal>
          <c:yVal>
            <c:numRef>
              <c:f>'Calc w. Int. Std.'!$AE$31:$AE$42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0.84607999580730076</c:v>
                </c:pt>
                <c:pt idx="5">
                  <c:v>0.82310747132697126</c:v>
                </c:pt>
                <c:pt idx="6">
                  <c:v>0.85282340502892018</c:v>
                </c:pt>
                <c:pt idx="7">
                  <c:v>0.76698844428787294</c:v>
                </c:pt>
                <c:pt idx="8">
                  <c:v>2.517179538353532</c:v>
                </c:pt>
                <c:pt idx="9">
                  <c:v>2.4475014021973678</c:v>
                </c:pt>
                <c:pt idx="10">
                  <c:v>2.6163945348582103</c:v>
                </c:pt>
                <c:pt idx="11">
                  <c:v>2.5296238747525086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E7-4373-8A07-B9D992A47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00"/>
        <c:axId val="433223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w/ Extr.Dil 07.07.21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7"/>
                  <c:spPr>
                    <a:solidFill>
                      <a:schemeClr val="accent1"/>
                    </a:solidFill>
                    <a:ln w="2540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'Calc w. Int. Std.'!$Q$74:$Q$85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6.2263901538338713</c:v>
                      </c:pt>
                      <c:pt idx="1">
                        <c:v>9.1864630542782475</c:v>
                      </c:pt>
                      <c:pt idx="2">
                        <c:v>3.0578252899979752</c:v>
                      </c:pt>
                      <c:pt idx="3">
                        <c:v>3.4439369269589464</c:v>
                      </c:pt>
                      <c:pt idx="4">
                        <c:v>8.3072924047001475</c:v>
                      </c:pt>
                      <c:pt idx="5">
                        <c:v>8.0835426645417865</c:v>
                      </c:pt>
                      <c:pt idx="6">
                        <c:v>23.545977630965922</c:v>
                      </c:pt>
                      <c:pt idx="7">
                        <c:v>20.470398994342812</c:v>
                      </c:pt>
                      <c:pt idx="8">
                        <c:v>65.408605630758942</c:v>
                      </c:pt>
                      <c:pt idx="9">
                        <c:v>46.513423219809219</c:v>
                      </c:pt>
                      <c:pt idx="10">
                        <c:v>21.395922347483776</c:v>
                      </c:pt>
                      <c:pt idx="11">
                        <c:v>24.578634695680606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'Calc w. Int. Std.'!$V$74:$V$85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2.5094439384664513</c:v>
                      </c:pt>
                      <c:pt idx="1">
                        <c:v>1.3254147782887009</c:v>
                      </c:pt>
                      <c:pt idx="2">
                        <c:v>3.7768698840008099</c:v>
                      </c:pt>
                      <c:pt idx="3">
                        <c:v>3.6224252292164216</c:v>
                      </c:pt>
                      <c:pt idx="4">
                        <c:v>6.6770830381199406</c:v>
                      </c:pt>
                      <c:pt idx="5">
                        <c:v>6.766582934183285</c:v>
                      </c:pt>
                      <c:pt idx="6">
                        <c:v>0.58160894761363124</c:v>
                      </c:pt>
                      <c:pt idx="7">
                        <c:v>1.8118404022628751</c:v>
                      </c:pt>
                      <c:pt idx="8">
                        <c:v>-6.163442252303577</c:v>
                      </c:pt>
                      <c:pt idx="9">
                        <c:v>1.3946307120763124</c:v>
                      </c:pt>
                      <c:pt idx="10">
                        <c:v>11.44163106100649</c:v>
                      </c:pt>
                      <c:pt idx="11">
                        <c:v>10.168546121727758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2E7-4373-8A07-B9D992A475D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w/o Extr.Dil 07.07.21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7"/>
                  <c:spPr>
                    <a:solidFill>
                      <a:schemeClr val="accent2"/>
                    </a:solidFill>
                    <a:ln w="2540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 w. Int. Std.'!$Z$74:$Z$85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3.1131950769169356</c:v>
                      </c:pt>
                      <c:pt idx="1">
                        <c:v>4.5932315271391237</c:v>
                      </c:pt>
                      <c:pt idx="2">
                        <c:v>1.5289126449989876</c:v>
                      </c:pt>
                      <c:pt idx="3">
                        <c:v>1.7219684634794732</c:v>
                      </c:pt>
                      <c:pt idx="4">
                        <c:v>4.1536462023500738</c:v>
                      </c:pt>
                      <c:pt idx="5">
                        <c:v>4.0417713322708932</c:v>
                      </c:pt>
                      <c:pt idx="6">
                        <c:v>11.772988815482961</c:v>
                      </c:pt>
                      <c:pt idx="7">
                        <c:v>10.235199497171406</c:v>
                      </c:pt>
                      <c:pt idx="8">
                        <c:v>32.704302815379471</c:v>
                      </c:pt>
                      <c:pt idx="9">
                        <c:v>23.25671160990461</c:v>
                      </c:pt>
                      <c:pt idx="10">
                        <c:v>10.697961173741888</c:v>
                      </c:pt>
                      <c:pt idx="11">
                        <c:v>12.289317347840303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'Calc w. Int. Std.'!$AE$74:$AE$85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3.7547219692332257</c:v>
                      </c:pt>
                      <c:pt idx="1">
                        <c:v>3.1627073891443507</c:v>
                      </c:pt>
                      <c:pt idx="2">
                        <c:v>4.388434942000405</c:v>
                      </c:pt>
                      <c:pt idx="3">
                        <c:v>4.3112126146082108</c:v>
                      </c:pt>
                      <c:pt idx="4">
                        <c:v>8.3385415190599694</c:v>
                      </c:pt>
                      <c:pt idx="5">
                        <c:v>8.3832914670916416</c:v>
                      </c:pt>
                      <c:pt idx="6">
                        <c:v>5.2908044738068156</c:v>
                      </c:pt>
                      <c:pt idx="7">
                        <c:v>5.9059202011314378</c:v>
                      </c:pt>
                      <c:pt idx="8">
                        <c:v>6.9182788738482115</c:v>
                      </c:pt>
                      <c:pt idx="9">
                        <c:v>10.697315356038157</c:v>
                      </c:pt>
                      <c:pt idx="10">
                        <c:v>15.720815530503245</c:v>
                      </c:pt>
                      <c:pt idx="11">
                        <c:v>15.084273060863879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E7-4373-8A07-B9D992A475DC}"/>
                  </c:ext>
                </c:extLst>
              </c15:ser>
            </c15:filteredScatterSeries>
          </c:ext>
        </c:extLst>
      </c:scatterChart>
      <c:valAx>
        <c:axId val="2020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C_aqueous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23016"/>
        <c:crosses val="autoZero"/>
        <c:crossBetween val="midCat"/>
      </c:valAx>
      <c:valAx>
        <c:axId val="43322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C_solid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n-Hex conc.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Raw_data!$G$44</c:f>
              <c:strCache>
                <c:ptCount val="1"/>
                <c:pt idx="0">
                  <c:v>SIM_525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591163604549432"/>
                  <c:y val="2.2731481481481481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Raw_data!$L$46:$L$52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1.25</c:v>
                </c:pt>
                <c:pt idx="3">
                  <c:v>1.25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</c:numCache>
            </c:numRef>
          </c:xVal>
          <c:yVal>
            <c:numRef>
              <c:f>Raw_data!$G$46:$G$52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844407</c:v>
                </c:pt>
                <c:pt idx="3">
                  <c:v>803690</c:v>
                </c:pt>
                <c:pt idx="4">
                  <c:v>8946010</c:v>
                </c:pt>
                <c:pt idx="5">
                  <c:v>9017042</c:v>
                </c:pt>
                <c:pt idx="6">
                  <c:v>21292759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BEA-46FB-A9E3-689AAD68FA4B}"/>
            </c:ext>
          </c:extLst>
        </c:ser>
        <c:ser>
          <c:idx val="1"/>
          <c:order val="1"/>
          <c:tx>
            <c:strRef>
              <c:f>Raw_data!$H$44</c:f>
              <c:strCache>
                <c:ptCount val="1"/>
                <c:pt idx="0">
                  <c:v>SIM_525_auto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934903596472513E-2"/>
                  <c:y val="0.34423558689839773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Raw_data!$L$46:$L$52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1.25</c:v>
                </c:pt>
                <c:pt idx="3">
                  <c:v>1.25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</c:numCache>
            </c:numRef>
          </c:xVal>
          <c:yVal>
            <c:numRef>
              <c:f>Raw_data!$H$46:$H$52</c:f>
              <c:numCache>
                <c:formatCode>General</c:formatCode>
                <c:ptCount val="7"/>
                <c:pt idx="0">
                  <c:v>45132</c:v>
                </c:pt>
                <c:pt idx="1">
                  <c:v>50110</c:v>
                </c:pt>
                <c:pt idx="2">
                  <c:v>844407</c:v>
                </c:pt>
                <c:pt idx="3">
                  <c:v>803690</c:v>
                </c:pt>
                <c:pt idx="4">
                  <c:v>8918872</c:v>
                </c:pt>
                <c:pt idx="5">
                  <c:v>8990727</c:v>
                </c:pt>
                <c:pt idx="6">
                  <c:v>21232349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BEA-46FB-A9E3-689AAD68F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83440"/>
        <c:axId val="484081800"/>
      </c:scatterChart>
      <c:valAx>
        <c:axId val="48408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81800"/>
        <c:crosses val="autoZero"/>
        <c:crossBetween val="midCat"/>
      </c:valAx>
      <c:valAx>
        <c:axId val="48408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8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Conc</a:t>
            </a:r>
            <a:r>
              <a:rPr lang="en-US" baseline="0"/>
              <a:t> vs. Eq. Conc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Single Measurements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(Raw_data!$R$23:$R$26,Raw_data!$R$29:$R$32,Raw_data!$R$56:$R$59,Raw_data!$R$62:$R$65,Raw_data!$R$68:$R$71)</c:f>
              <c:numCache>
                <c:formatCode>General</c:formatCode>
                <c:ptCount val="2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xVal>
          <c:yVal>
            <c:numRef>
              <c:f>(Raw_data!$N$23:$N$26,Raw_data!$N$29:$N$32,Raw_data!$N$56:$N$59,Raw_data!$N$62:$N$65,Raw_data!$N$68:$N$71)</c:f>
              <c:numCache>
                <c:formatCode>0.0000</c:formatCode>
                <c:ptCount val="20"/>
                <c:pt idx="0">
                  <c:v>0.4914901072268959</c:v>
                </c:pt>
                <c:pt idx="1">
                  <c:v>0.55315299320617817</c:v>
                </c:pt>
                <c:pt idx="2">
                  <c:v>0.52385352622276293</c:v>
                </c:pt>
                <c:pt idx="3">
                  <c:v>0.70739083847050077</c:v>
                </c:pt>
                <c:pt idx="4">
                  <c:v>1.7680905964594018</c:v>
                </c:pt>
                <c:pt idx="5">
                  <c:v>1.5945446295806596</c:v>
                </c:pt>
                <c:pt idx="6">
                  <c:v>1.3726045740960544</c:v>
                </c:pt>
                <c:pt idx="7">
                  <c:v>1.4812397295857251</c:v>
                </c:pt>
                <c:pt idx="8" formatCode="General">
                  <c:v>1.7952839841585939</c:v>
                </c:pt>
                <c:pt idx="9" formatCode="General">
                  <c:v>2.3222210077481238</c:v>
                </c:pt>
                <c:pt idx="10" formatCode="General">
                  <c:v>1.4249134871664917</c:v>
                </c:pt>
                <c:pt idx="11" formatCode="General">
                  <c:v>1.5076342197863026</c:v>
                </c:pt>
                <c:pt idx="12" formatCode="General">
                  <c:v>3.3054606026807662</c:v>
                </c:pt>
                <c:pt idx="13" formatCode="General">
                  <c:v>4.2384544624644196</c:v>
                </c:pt>
                <c:pt idx="14" formatCode="General">
                  <c:v>4.3295981585278795</c:v>
                </c:pt>
                <c:pt idx="15" formatCode="General">
                  <c:v>4.2586936800730992</c:v>
                </c:pt>
                <c:pt idx="16" formatCode="General">
                  <c:v>9.4811964057008424</c:v>
                </c:pt>
                <c:pt idx="17" formatCode="General">
                  <c:v>11.164296417364699</c:v>
                </c:pt>
                <c:pt idx="18" formatCode="General">
                  <c:v>5.9309787364733175</c:v>
                </c:pt>
                <c:pt idx="19" formatCode="General">
                  <c:v>5.9947396889695588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D-43DB-9D95-522947E24234}"/>
            </c:ext>
          </c:extLst>
        </c:ser>
        <c:ser>
          <c:idx val="2"/>
          <c:order val="2"/>
          <c:tx>
            <c:v>Means of 05.07.21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38100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914650012529012E-2"/>
                  <c:y val="-7.9269030479179325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(Raw_data!$R$19,Raw_data!$R$27,Raw_data!$R$33)</c:f>
              <c:numCache>
                <c:formatCode>General</c:formatCode>
                <c:ptCount val="3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</c:numCache>
            </c:numRef>
          </c:xVal>
          <c:yVal>
            <c:numRef>
              <c:f>(Raw_data!$N$19,Raw_data!$N$27,Raw_data!$N$33)</c:f>
              <c:numCache>
                <c:formatCode>0.0000</c:formatCode>
                <c:ptCount val="3"/>
                <c:pt idx="0" formatCode="0.0">
                  <c:v>0</c:v>
                </c:pt>
                <c:pt idx="1">
                  <c:v>0.56897186628158447</c:v>
                </c:pt>
                <c:pt idx="2">
                  <c:v>1.5541198824304603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DD-43DB-9D95-522947E24234}"/>
            </c:ext>
          </c:extLst>
        </c:ser>
        <c:ser>
          <c:idx val="3"/>
          <c:order val="3"/>
          <c:tx>
            <c:v>Means of 07.07.21</c:v>
          </c:tx>
          <c:spPr>
            <a:ln w="2540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3810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67571516593479"/>
                  <c:y val="6.7318934054236904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(Raw_data!$R$60,Raw_data!$R$66,Raw_data!$R$72)</c:f>
              <c:numCache>
                <c:formatCode>General</c:formatCode>
                <c:ptCount val="3"/>
                <c:pt idx="0">
                  <c:v>12.5</c:v>
                </c:pt>
                <c:pt idx="1">
                  <c:v>25</c:v>
                </c:pt>
                <c:pt idx="2">
                  <c:v>50</c:v>
                </c:pt>
              </c:numCache>
            </c:numRef>
          </c:xVal>
          <c:yVal>
            <c:numRef>
              <c:f>(Raw_data!$N$60,Raw_data!$N$66,Raw_data!$N$72)</c:f>
              <c:numCache>
                <c:formatCode>General</c:formatCode>
                <c:ptCount val="3"/>
                <c:pt idx="0">
                  <c:v>1.7625131747148779</c:v>
                </c:pt>
                <c:pt idx="1">
                  <c:v>4.0330517259365415</c:v>
                </c:pt>
                <c:pt idx="2">
                  <c:v>8.1428028121271048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DD-43DB-9D95-522947E24234}"/>
            </c:ext>
          </c:extLst>
        </c:ser>
        <c:ser>
          <c:idx val="4"/>
          <c:order val="4"/>
          <c:tx>
            <c:v>All 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00B0F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29217562643324"/>
                  <c:y val="-8.761371422128396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y = 0.1603x + 0.0716</a:t>
                    </a:r>
                    <a:br>
                      <a:rPr lang="en-US" sz="1000" baseline="0"/>
                    </a:br>
                    <a:r>
                      <a:rPr lang="en-US" sz="1000" baseline="0"/>
                      <a:t>R² = 0.9957</a:t>
                    </a:r>
                    <a:endParaRPr lang="en-US" sz="1000"/>
                  </a:p>
                </c:rich>
              </c:tx>
              <c:numFmt formatCode="General" sourceLinked="0"/>
              <c:spPr>
                <a:noFill/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(Raw_data!$R$19,Raw_data!$R$27,Raw_data!$R$33,Raw_data!$R$60,Raw_data!$R$66,Raw_data!$R$72)</c:f>
              <c:numCache>
                <c:formatCode>General</c:formatCode>
                <c:ptCount val="6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12.5</c:v>
                </c:pt>
                <c:pt idx="4">
                  <c:v>25</c:v>
                </c:pt>
                <c:pt idx="5">
                  <c:v>50</c:v>
                </c:pt>
              </c:numCache>
            </c:numRef>
          </c:xVal>
          <c:yVal>
            <c:numRef>
              <c:f>(Raw_data!$N$19,Raw_data!$N$27,Raw_data!$N$33,Raw_data!$N$60,Raw_data!$N$66,Raw_data!$N$72)</c:f>
              <c:numCache>
                <c:formatCode>0.0000</c:formatCode>
                <c:ptCount val="6"/>
                <c:pt idx="0" formatCode="0.0">
                  <c:v>0</c:v>
                </c:pt>
                <c:pt idx="1">
                  <c:v>0.56897186628158447</c:v>
                </c:pt>
                <c:pt idx="2">
                  <c:v>1.5541198824304603</c:v>
                </c:pt>
                <c:pt idx="3" formatCode="General">
                  <c:v>1.7625131747148779</c:v>
                </c:pt>
                <c:pt idx="4" formatCode="General">
                  <c:v>4.0330517259365415</c:v>
                </c:pt>
                <c:pt idx="5" formatCode="General">
                  <c:v>8.1428028121271048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DD-43DB-9D95-522947E24234}"/>
            </c:ext>
          </c:extLst>
        </c:ser>
        <c:ser>
          <c:idx val="5"/>
          <c:order val="5"/>
          <c:tx>
            <c:v>Max. Range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(Raw_data!$R$19,Raw_data!$R$69)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(Raw_data!$N$19,Raw_data!$N$69)</c:f>
              <c:numCache>
                <c:formatCode>General</c:formatCode>
                <c:ptCount val="2"/>
                <c:pt idx="0" formatCode="0.0">
                  <c:v>0</c:v>
                </c:pt>
                <c:pt idx="1">
                  <c:v>11.164296417364699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0DD-43DB-9D95-522947E24234}"/>
            </c:ext>
          </c:extLst>
        </c:ser>
        <c:ser>
          <c:idx val="6"/>
          <c:order val="6"/>
          <c:tx>
            <c:v>Min. Range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>
                    <a:alpha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(Raw_data!$R$19,Raw_data!$R$70)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(Raw_data!$N$19,Raw_data!$N$70)</c:f>
              <c:numCache>
                <c:formatCode>General</c:formatCode>
                <c:ptCount val="2"/>
                <c:pt idx="0" formatCode="0.0">
                  <c:v>0</c:v>
                </c:pt>
                <c:pt idx="1">
                  <c:v>5.9309787364733175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0DD-43DB-9D95-522947E2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11240"/>
        <c:axId val="531414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SIM_525_auto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(Raw_data!$R$9:$R$10,Raw_data!$R$17:$R$18,Raw_data!$R$23:$R$26,Raw_data!$R$29:$R$32,Raw_data!$R$56:$R$59,Raw_data!$R$62:$R$65,Raw_data!$R$68:$R$71)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2.5</c:v>
                      </c:pt>
                      <c:pt idx="5">
                        <c:v>2.5</c:v>
                      </c:pt>
                      <c:pt idx="6">
                        <c:v>2.5</c:v>
                      </c:pt>
                      <c:pt idx="7">
                        <c:v>2.5</c:v>
                      </c:pt>
                      <c:pt idx="8">
                        <c:v>7.5</c:v>
                      </c:pt>
                      <c:pt idx="9">
                        <c:v>7.5</c:v>
                      </c:pt>
                      <c:pt idx="10">
                        <c:v>7.5</c:v>
                      </c:pt>
                      <c:pt idx="11">
                        <c:v>7.5</c:v>
                      </c:pt>
                      <c:pt idx="12">
                        <c:v>12.5</c:v>
                      </c:pt>
                      <c:pt idx="13">
                        <c:v>12.5</c:v>
                      </c:pt>
                      <c:pt idx="14">
                        <c:v>12.5</c:v>
                      </c:pt>
                      <c:pt idx="15">
                        <c:v>12.5</c:v>
                      </c:pt>
                      <c:pt idx="16">
                        <c:v>25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(Raw_data!$O$9:$O$10,Raw_data!$O$17:$O$18,Raw_data!$O$23:$O$26,Raw_data!$O$29:$O$32,Raw_data!$O$56:$O$59,Raw_data!$O$62:$O$65,Raw_data!$O$68:$O$71)</c15:sqref>
                        </c15:formulaRef>
                      </c:ext>
                    </c:extLst>
                    <c:numCache>
                      <c:formatCode>0.0000</c:formatCode>
                      <c:ptCount val="24"/>
                      <c:pt idx="0">
                        <c:v>0.1598370452809626</c:v>
                      </c:pt>
                      <c:pt idx="1">
                        <c:v>0.13329636427855654</c:v>
                      </c:pt>
                      <c:pt idx="2">
                        <c:v>0.15219568244574799</c:v>
                      </c:pt>
                      <c:pt idx="3">
                        <c:v>0</c:v>
                      </c:pt>
                      <c:pt idx="4">
                        <c:v>0.4887326121113631</c:v>
                      </c:pt>
                      <c:pt idx="5">
                        <c:v>0.55215751986984085</c:v>
                      </c:pt>
                      <c:pt idx="6">
                        <c:v>0.52399324879322617</c:v>
                      </c:pt>
                      <c:pt idx="7">
                        <c:v>0.70490952591058098</c:v>
                      </c:pt>
                      <c:pt idx="8">
                        <c:v>1.7696562480595164</c:v>
                      </c:pt>
                      <c:pt idx="9">
                        <c:v>1.5913098951186126</c:v>
                      </c:pt>
                      <c:pt idx="10">
                        <c:v>1.3725949816668748</c:v>
                      </c:pt>
                      <c:pt idx="11">
                        <c:v>1.4814553279486742</c:v>
                      </c:pt>
                      <c:pt idx="12" formatCode="General">
                        <c:v>1.7742144223629424</c:v>
                      </c:pt>
                      <c:pt idx="13" formatCode="General">
                        <c:v>2.3056115083430573</c:v>
                      </c:pt>
                      <c:pt idx="14" formatCode="General">
                        <c:v>1.402703469928825</c:v>
                      </c:pt>
                      <c:pt idx="15" formatCode="General">
                        <c:v>1.484501996214858</c:v>
                      </c:pt>
                      <c:pt idx="16" formatCode="General">
                        <c:v>3.2770726064192228</c:v>
                      </c:pt>
                      <c:pt idx="17" formatCode="General">
                        <c:v>4.2144859060284814</c:v>
                      </c:pt>
                      <c:pt idx="18" formatCode="General">
                        <c:v>4.3156654868264459</c:v>
                      </c:pt>
                      <c:pt idx="19" formatCode="General">
                        <c:v>4.2450101938643003</c:v>
                      </c:pt>
                      <c:pt idx="20" formatCode="General">
                        <c:v>9.4551882315834455</c:v>
                      </c:pt>
                      <c:pt idx="21" formatCode="General">
                        <c:v>11.121728442204546</c:v>
                      </c:pt>
                      <c:pt idx="22" formatCode="General">
                        <c:v>5.890615373530621</c:v>
                      </c:pt>
                      <c:pt idx="23" formatCode="General">
                        <c:v>5.9695049955989177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0DD-43DB-9D95-522947E24234}"/>
                  </c:ext>
                </c:extLst>
              </c15:ser>
            </c15:filteredScatterSeries>
          </c:ext>
        </c:extLst>
      </c:scatterChart>
      <c:valAx>
        <c:axId val="53141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</a:t>
                </a:r>
                <a:r>
                  <a:rPr lang="en-US" baseline="0"/>
                  <a:t> Aq. Conc.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14192"/>
        <c:crosses val="autoZero"/>
        <c:crossBetween val="midCat"/>
      </c:valAx>
      <c:valAx>
        <c:axId val="531414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Aq.</a:t>
                </a:r>
                <a:r>
                  <a:rPr lang="en-US" baseline="0"/>
                  <a:t> Conc. in Equilibrium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11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Instrumental Drift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Blk_SIM_293_05.07.21_correct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644102323030516E-2"/>
                  <c:y val="0.15177623660507769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(Processing_final!$A$8,Processing_final!$A$19,Processing_final!$A$28)</c:f>
              <c:numCache>
                <c:formatCode>General</c:formatCode>
                <c:ptCount val="3"/>
                <c:pt idx="0">
                  <c:v>2</c:v>
                </c:pt>
                <c:pt idx="1">
                  <c:v>13</c:v>
                </c:pt>
                <c:pt idx="2">
                  <c:v>22</c:v>
                </c:pt>
              </c:numCache>
            </c:numRef>
          </c:xVal>
          <c:yVal>
            <c:numRef>
              <c:f>(Processing_final!$H$8,Processing_final!$H$19,Processing_final!$H$28)</c:f>
              <c:numCache>
                <c:formatCode>General</c:formatCode>
                <c:ptCount val="3"/>
                <c:pt idx="0">
                  <c:v>371280</c:v>
                </c:pt>
                <c:pt idx="1">
                  <c:v>363610</c:v>
                </c:pt>
                <c:pt idx="2">
                  <c:v>354679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F1-4D01-B173-8CC17D6102E2}"/>
            </c:ext>
          </c:extLst>
        </c:ser>
        <c:ser>
          <c:idx val="3"/>
          <c:order val="3"/>
          <c:tx>
            <c:v>Blk_SIM_293_07.07.21_correct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998824773768947E-3"/>
                  <c:y val="-0.19795652819592838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(Processing_final!$A$40,Processing_final!$A$47,Processing_final!$A$60)</c:f>
              <c:numCache>
                <c:formatCode>General</c:formatCode>
                <c:ptCount val="3"/>
                <c:pt idx="0">
                  <c:v>3</c:v>
                </c:pt>
                <c:pt idx="1">
                  <c:v>10</c:v>
                </c:pt>
                <c:pt idx="2">
                  <c:v>23</c:v>
                </c:pt>
              </c:numCache>
            </c:numRef>
          </c:xVal>
          <c:yVal>
            <c:numRef>
              <c:f>(Processing_final!$H$40,Processing_final!$H$47,Processing_final!$H$60)</c:f>
              <c:numCache>
                <c:formatCode>General</c:formatCode>
                <c:ptCount val="3"/>
                <c:pt idx="0">
                  <c:v>607250</c:v>
                </c:pt>
                <c:pt idx="1">
                  <c:v>505768</c:v>
                </c:pt>
                <c:pt idx="2">
                  <c:v>241496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F1-4D01-B173-8CC17D610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42080"/>
        <c:axId val="6534470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Blk_SIM_293_auto_05.07.21_all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(Processing_final!$A$7:$A$8,Processing_final!$A$19,Processing_final!$A$28)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13</c:v>
                      </c:pt>
                      <c:pt idx="3">
                        <c:v>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(Processing_final!$H$7:$H$8,Processing_final!$H$19,Processing_final!$H$28)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236336</c:v>
                      </c:pt>
                      <c:pt idx="1">
                        <c:v>371280</c:v>
                      </c:pt>
                      <c:pt idx="2">
                        <c:v>363610</c:v>
                      </c:pt>
                      <c:pt idx="3">
                        <c:v>354679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2F1-4D01-B173-8CC17D6102E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Blk_SIM_293_auto_07.07.21_all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(Processing_final!$A$39:$A$40,Processing_final!$A$47,Processing_final!$A$60)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</c:v>
                      </c:pt>
                      <c:pt idx="1">
                        <c:v>3</c:v>
                      </c:pt>
                      <c:pt idx="2">
                        <c:v>10</c:v>
                      </c:pt>
                      <c:pt idx="3">
                        <c:v>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(Processing_final!$H$39:$H$40,Processing_final!$H$47,Processing_final!$H$60)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341416</c:v>
                      </c:pt>
                      <c:pt idx="1">
                        <c:v>607250</c:v>
                      </c:pt>
                      <c:pt idx="2">
                        <c:v>505768</c:v>
                      </c:pt>
                      <c:pt idx="3">
                        <c:v>241496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2F1-4D01-B173-8CC17D6102E2}"/>
                  </c:ext>
                </c:extLst>
              </c15:ser>
            </c15:filteredScatterSeries>
          </c:ext>
        </c:extLst>
      </c:scatterChart>
      <c:valAx>
        <c:axId val="65344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. measurement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47000"/>
        <c:crosses val="autoZero"/>
        <c:crossBetween val="midCat"/>
      </c:valAx>
      <c:valAx>
        <c:axId val="65344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area SIM293_auto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4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Calibration PFOA</a:t>
            </a:r>
            <a:r>
              <a:rPr lang="en-US" sz="1100" baseline="0"/>
              <a:t> in n-hex [ppm] 05.07.21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SIM_293_auto_all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33984777349009"/>
                  <c:y val="-2.8466144665922545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Processing_final!$S$8:$S$17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  <c:pt idx="4">
                  <c:v>0.25</c:v>
                </c:pt>
                <c:pt idx="5">
                  <c:v>0.25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Processing_final!$N$8:$N$17</c:f>
              <c:numCache>
                <c:formatCode>General</c:formatCode>
                <c:ptCount val="10"/>
                <c:pt idx="0">
                  <c:v>6254</c:v>
                </c:pt>
                <c:pt idx="1">
                  <c:v>0</c:v>
                </c:pt>
                <c:pt idx="2">
                  <c:v>853878</c:v>
                </c:pt>
                <c:pt idx="3">
                  <c:v>984415</c:v>
                </c:pt>
                <c:pt idx="4">
                  <c:v>110241</c:v>
                </c:pt>
                <c:pt idx="5">
                  <c:v>117133</c:v>
                </c:pt>
                <c:pt idx="6">
                  <c:v>2313151</c:v>
                </c:pt>
                <c:pt idx="7">
                  <c:v>2145706</c:v>
                </c:pt>
                <c:pt idx="8">
                  <c:v>0</c:v>
                </c:pt>
                <c:pt idx="9">
                  <c:v>42100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B-4591-B005-6A586A6D7609}"/>
            </c:ext>
          </c:extLst>
        </c:ser>
        <c:ser>
          <c:idx val="1"/>
          <c:order val="1"/>
          <c:tx>
            <c:v>SIM_293_auto_drift-corr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4169728783902"/>
                  <c:y val="0.22830467813711131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Processing_final!$S$8:$S$17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  <c:pt idx="4">
                  <c:v>0.25</c:v>
                </c:pt>
                <c:pt idx="5">
                  <c:v>0.25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Processing_final!$O$8:$O$17</c:f>
              <c:numCache>
                <c:formatCode>General</c:formatCode>
                <c:ptCount val="10"/>
                <c:pt idx="0">
                  <c:v>6267.8529067335221</c:v>
                </c:pt>
                <c:pt idx="1">
                  <c:v>0</c:v>
                </c:pt>
                <c:pt idx="2">
                  <c:v>863419.44039246545</c:v>
                </c:pt>
                <c:pt idx="3">
                  <c:v>997644.67741108756</c:v>
                </c:pt>
                <c:pt idx="4">
                  <c:v>111973.34670004278</c:v>
                </c:pt>
                <c:pt idx="5">
                  <c:v>119241.33160260993</c:v>
                </c:pt>
                <c:pt idx="6">
                  <c:v>2360096.5458454136</c:v>
                </c:pt>
                <c:pt idx="7">
                  <c:v>2194201.1780561814</c:v>
                </c:pt>
                <c:pt idx="8">
                  <c:v>0</c:v>
                </c:pt>
                <c:pt idx="9">
                  <c:v>44251.663727587664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9B-4591-B005-6A586A6D7609}"/>
            </c:ext>
          </c:extLst>
        </c:ser>
        <c:ser>
          <c:idx val="2"/>
          <c:order val="2"/>
          <c:tx>
            <c:v>SIM_193_auto_drift+blk_corr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528083989501311E-2"/>
                  <c:y val="0.36997133899395757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Processing_final!$S$8:$S$17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  <c:pt idx="4">
                  <c:v>0.25</c:v>
                </c:pt>
                <c:pt idx="5">
                  <c:v>0.25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Processing_final!$P$8:$P$17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850789.56123388512</c:v>
                </c:pt>
                <c:pt idx="3">
                  <c:v>985014.79825250723</c:v>
                </c:pt>
                <c:pt idx="4">
                  <c:v>99343.46754146248</c:v>
                </c:pt>
                <c:pt idx="5">
                  <c:v>106611.45244402964</c:v>
                </c:pt>
                <c:pt idx="6">
                  <c:v>2347466.6666868334</c:v>
                </c:pt>
                <c:pt idx="7">
                  <c:v>2181571.2988976012</c:v>
                </c:pt>
                <c:pt idx="8">
                  <c:v>0</c:v>
                </c:pt>
                <c:pt idx="9">
                  <c:v>31621.784569007366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9B-4591-B005-6A586A6D7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99784"/>
        <c:axId val="653500112"/>
      </c:scatterChart>
      <c:valAx>
        <c:axId val="65349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00112"/>
        <c:crosses val="autoZero"/>
        <c:crossBetween val="midCat"/>
      </c:valAx>
      <c:valAx>
        <c:axId val="6535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9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Calibration PFOA</a:t>
            </a:r>
            <a:r>
              <a:rPr lang="en-US" sz="1100" baseline="0"/>
              <a:t> in n-hex [ppm] 07.07.21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SIM_293_auto_all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08942663365083E-2"/>
                  <c:y val="0.28642393473168853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Processing_final!$S$23:$S$32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1.25</c:v>
                </c:pt>
                <c:pt idx="3">
                  <c:v>1.25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Processing_final!$N$23:$N$32</c:f>
              <c:numCache>
                <c:formatCode>General</c:formatCode>
                <c:ptCount val="10"/>
                <c:pt idx="0">
                  <c:v>45132</c:v>
                </c:pt>
                <c:pt idx="1">
                  <c:v>50110</c:v>
                </c:pt>
                <c:pt idx="2">
                  <c:v>844407</c:v>
                </c:pt>
                <c:pt idx="3">
                  <c:v>803690</c:v>
                </c:pt>
                <c:pt idx="4">
                  <c:v>8918872</c:v>
                </c:pt>
                <c:pt idx="5">
                  <c:v>8990727</c:v>
                </c:pt>
                <c:pt idx="6">
                  <c:v>21232349</c:v>
                </c:pt>
                <c:pt idx="7">
                  <c:v>21268193</c:v>
                </c:pt>
                <c:pt idx="8">
                  <c:v>486020</c:v>
                </c:pt>
                <c:pt idx="9">
                  <c:v>133944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D-4FDC-9637-AFF86679684B}"/>
            </c:ext>
          </c:extLst>
        </c:ser>
        <c:ser>
          <c:idx val="1"/>
          <c:order val="1"/>
          <c:tx>
            <c:v>SIM_293_auto_drift-correct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454221092579736"/>
                  <c:y val="-3.2356066578176482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Processing_final!$S$23:$S$32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1.25</c:v>
                </c:pt>
                <c:pt idx="3">
                  <c:v>1.25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Processing_final!$O$23:$O$32</c:f>
              <c:numCache>
                <c:formatCode>General</c:formatCode>
                <c:ptCount val="10"/>
                <c:pt idx="0">
                  <c:v>47760.074771987172</c:v>
                </c:pt>
                <c:pt idx="1">
                  <c:v>54618.179487406662</c:v>
                </c:pt>
                <c:pt idx="2">
                  <c:v>948828.63739394117</c:v>
                </c:pt>
                <c:pt idx="3">
                  <c:v>931886.35620272812</c:v>
                </c:pt>
                <c:pt idx="4">
                  <c:v>10682304.922161601</c:v>
                </c:pt>
                <c:pt idx="5">
                  <c:v>11135311.324565962</c:v>
                </c:pt>
                <c:pt idx="6">
                  <c:v>27224674.687339086</c:v>
                </c:pt>
                <c:pt idx="7">
                  <c:v>28267876.821497321</c:v>
                </c:pt>
                <c:pt idx="8">
                  <c:v>670495.43841093243</c:v>
                </c:pt>
                <c:pt idx="9">
                  <c:v>364777.16067666904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6D-4FDC-9637-AFF86679684B}"/>
            </c:ext>
          </c:extLst>
        </c:ser>
        <c:ser>
          <c:idx val="2"/>
          <c:order val="2"/>
          <c:tx>
            <c:v>SIM_293_auto_drift+blk_corr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03425611731976"/>
                  <c:y val="9.3932753175136843E-2"/>
                </c:manualLayout>
              </c:layout>
              <c:numFmt formatCode="#,##0.000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Processing_final!$S$23:$S$32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1.25</c:v>
                </c:pt>
                <c:pt idx="3">
                  <c:v>1.25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Processing_final!$P$23:$P$32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664415.9240571924</c:v>
                </c:pt>
                <c:pt idx="3">
                  <c:v>647473.64286597935</c:v>
                </c:pt>
                <c:pt idx="4">
                  <c:v>10397892.208824852</c:v>
                </c:pt>
                <c:pt idx="5">
                  <c:v>10850898.611229213</c:v>
                </c:pt>
                <c:pt idx="6">
                  <c:v>26940261.974002339</c:v>
                </c:pt>
                <c:pt idx="7">
                  <c:v>27983464.108160574</c:v>
                </c:pt>
                <c:pt idx="8">
                  <c:v>386082.7250741836</c:v>
                </c:pt>
                <c:pt idx="9">
                  <c:v>80364.447339920211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6D-4FDC-9637-AFF866796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99784"/>
        <c:axId val="653500112"/>
      </c:scatterChart>
      <c:valAx>
        <c:axId val="65349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00112"/>
        <c:crosses val="autoZero"/>
        <c:crossBetween val="midCat"/>
      </c:valAx>
      <c:valAx>
        <c:axId val="6535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9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Partitioning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6473793662097487E-2"/>
                  <c:y val="-2.3956905743027689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(Processing_final!$AN$17:$AN$24,Processing_final!$AN$33:$AN$44)</c:f>
              <c:numCache>
                <c:formatCode>General</c:formatCode>
                <c:ptCount val="20"/>
                <c:pt idx="0">
                  <c:v>0.67608027106889046</c:v>
                </c:pt>
                <c:pt idx="1">
                  <c:v>0.80787209223149392</c:v>
                </c:pt>
                <c:pt idx="2">
                  <c:v>0.75230677633910237</c:v>
                </c:pt>
                <c:pt idx="3">
                  <c:v>1.1265506815436712</c:v>
                </c:pt>
                <c:pt idx="4">
                  <c:v>3.3246808116619428</c:v>
                </c:pt>
                <c:pt idx="5">
                  <c:v>2.9641976307722082</c:v>
                </c:pt>
                <c:pt idx="6">
                  <c:v>2.5184359125392763</c:v>
                </c:pt>
                <c:pt idx="7">
                  <c:v>2.7506545839332586</c:v>
                </c:pt>
                <c:pt idx="8">
                  <c:v>3.2505744573159028</c:v>
                </c:pt>
                <c:pt idx="9">
                  <c:v>4.6470226269660131</c:v>
                </c:pt>
                <c:pt idx="10">
                  <c:v>2.6929548306695796</c:v>
                </c:pt>
                <c:pt idx="11">
                  <c:v>3.0530001669306177</c:v>
                </c:pt>
                <c:pt idx="12">
                  <c:v>7.9736105242387714</c:v>
                </c:pt>
                <c:pt idx="13">
                  <c:v>11.003886355102098</c:v>
                </c:pt>
                <c:pt idx="14">
                  <c:v>11.905942595413093</c:v>
                </c:pt>
                <c:pt idx="15">
                  <c:v>12.377296920201838</c:v>
                </c:pt>
                <c:pt idx="16">
                  <c:v>30.098762652942003</c:v>
                </c:pt>
                <c:pt idx="17">
                  <c:v>37.743590410793857</c:v>
                </c:pt>
                <c:pt idx="18">
                  <c:v>20.996984918777066</c:v>
                </c:pt>
                <c:pt idx="19">
                  <c:v>22.822247610057843</c:v>
                </c:pt>
              </c:numCache>
            </c:numRef>
          </c:xVal>
          <c:yVal>
            <c:numRef>
              <c:f>(Processing_final!$AU$17:$AU$24,Processing_final!$AU$33:$AU$44)</c:f>
              <c:numCache>
                <c:formatCode>General</c:formatCode>
                <c:ptCount val="20"/>
                <c:pt idx="0">
                  <c:v>0.72956789157244384</c:v>
                </c:pt>
                <c:pt idx="1">
                  <c:v>0.67685116310740245</c:v>
                </c:pt>
                <c:pt idx="2">
                  <c:v>0.6990772894643591</c:v>
                </c:pt>
                <c:pt idx="3">
                  <c:v>0.54937972738253149</c:v>
                </c:pt>
                <c:pt idx="4">
                  <c:v>1.6701276753352228</c:v>
                </c:pt>
                <c:pt idx="5">
                  <c:v>1.8143209476911166</c:v>
                </c:pt>
                <c:pt idx="6">
                  <c:v>1.9926256349842895</c:v>
                </c:pt>
                <c:pt idx="7">
                  <c:v>1.8997381664266968</c:v>
                </c:pt>
                <c:pt idx="8">
                  <c:v>3.6997702170736391</c:v>
                </c:pt>
                <c:pt idx="9">
                  <c:v>3.1411909492135948</c:v>
                </c:pt>
                <c:pt idx="10">
                  <c:v>3.9228180677321682</c:v>
                </c:pt>
                <c:pt idx="11">
                  <c:v>3.7787999332277531</c:v>
                </c:pt>
                <c:pt idx="12">
                  <c:v>6.8105557903044911</c:v>
                </c:pt>
                <c:pt idx="13">
                  <c:v>5.5984454579591603</c:v>
                </c:pt>
                <c:pt idx="14">
                  <c:v>5.2376229618347629</c:v>
                </c:pt>
                <c:pt idx="15">
                  <c:v>5.0490812319192653</c:v>
                </c:pt>
                <c:pt idx="16">
                  <c:v>7.9604949388231985</c:v>
                </c:pt>
                <c:pt idx="17">
                  <c:v>4.9025638356824572</c:v>
                </c:pt>
                <c:pt idx="18">
                  <c:v>11.601206032489173</c:v>
                </c:pt>
                <c:pt idx="19">
                  <c:v>10.871100955976862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0D-4660-A580-AAE42EBE460D}"/>
            </c:ext>
          </c:extLst>
        </c:ser>
        <c:ser>
          <c:idx val="1"/>
          <c:order val="1"/>
          <c:tx>
            <c:v>Calibration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4823596088463845E-2"/>
                  <c:y val="0.10062244497309279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(Processing_final!$AO$17:$AO$24,Processing_final!$AO$33:$AO$44)</c:f>
              <c:numCache>
                <c:formatCode>General</c:formatCode>
                <c:ptCount val="20"/>
                <c:pt idx="0">
                  <c:v>0.67802352661039589</c:v>
                </c:pt>
                <c:pt idx="1">
                  <c:v>0.81019415661827787</c:v>
                </c:pt>
                <c:pt idx="2">
                  <c:v>0.75446912950128187</c:v>
                </c:pt>
                <c:pt idx="3">
                  <c:v>1.1297887228656509</c:v>
                </c:pt>
                <c:pt idx="4">
                  <c:v>3.3342369319740834</c:v>
                </c:pt>
                <c:pt idx="5">
                  <c:v>2.9727176153341133</c:v>
                </c:pt>
                <c:pt idx="6">
                  <c:v>2.5256746455010162</c:v>
                </c:pt>
                <c:pt idx="7">
                  <c:v>2.7585607823415401</c:v>
                </c:pt>
                <c:pt idx="8">
                  <c:v>3.611015350495804</c:v>
                </c:pt>
                <c:pt idx="9">
                  <c:v>5.0120839414283953</c:v>
                </c:pt>
                <c:pt idx="10">
                  <c:v>3.0515507304967158</c:v>
                </c:pt>
                <c:pt idx="11">
                  <c:v>3.4127873470146755</c:v>
                </c:pt>
                <c:pt idx="12">
                  <c:v>8.3496785039341734</c:v>
                </c:pt>
                <c:pt idx="13">
                  <c:v>11.389980593734286</c:v>
                </c:pt>
                <c:pt idx="14">
                  <c:v>12.295021463150256</c:v>
                </c:pt>
                <c:pt idx="15">
                  <c:v>12.767935355706122</c:v>
                </c:pt>
                <c:pt idx="16">
                  <c:v>30.548036016120562</c:v>
                </c:pt>
                <c:pt idx="17">
                  <c:v>38.218158178477331</c:v>
                </c:pt>
                <c:pt idx="18">
                  <c:v>21.416143274134118</c:v>
                </c:pt>
                <c:pt idx="19">
                  <c:v>23.247445203224217</c:v>
                </c:pt>
              </c:numCache>
            </c:numRef>
          </c:xVal>
          <c:yVal>
            <c:numRef>
              <c:f>(Processing_final!$AW$17:$AW$24,Processing_final!$AW$33:$AW$44)</c:f>
              <c:numCache>
                <c:formatCode>General</c:formatCode>
                <c:ptCount val="20"/>
                <c:pt idx="0">
                  <c:v>0.72879058935584173</c:v>
                </c:pt>
                <c:pt idx="1">
                  <c:v>0.67592233735268881</c:v>
                </c:pt>
                <c:pt idx="2">
                  <c:v>0.69821234819948719</c:v>
                </c:pt>
                <c:pt idx="3">
                  <c:v>0.54808451085373966</c:v>
                </c:pt>
                <c:pt idx="4">
                  <c:v>1.6663052272103667</c:v>
                </c:pt>
                <c:pt idx="5">
                  <c:v>1.8109129538663544</c:v>
                </c:pt>
                <c:pt idx="6">
                  <c:v>1.9897301417995934</c:v>
                </c:pt>
                <c:pt idx="7">
                  <c:v>1.8965756870633839</c:v>
                </c:pt>
                <c:pt idx="8">
                  <c:v>3.5555938598016779</c:v>
                </c:pt>
                <c:pt idx="9">
                  <c:v>2.9951664234286417</c:v>
                </c:pt>
                <c:pt idx="10">
                  <c:v>3.7793797078013136</c:v>
                </c:pt>
                <c:pt idx="11">
                  <c:v>3.6348850611941304</c:v>
                </c:pt>
                <c:pt idx="12">
                  <c:v>6.660128598426331</c:v>
                </c:pt>
                <c:pt idx="13">
                  <c:v>5.4440077625062857</c:v>
                </c:pt>
                <c:pt idx="14">
                  <c:v>5.0819914147398979</c:v>
                </c:pt>
                <c:pt idx="15">
                  <c:v>4.8928258577175514</c:v>
                </c:pt>
                <c:pt idx="16">
                  <c:v>7.7807855935517747</c:v>
                </c:pt>
                <c:pt idx="17">
                  <c:v>4.7127367286090678</c:v>
                </c:pt>
                <c:pt idx="18">
                  <c:v>11.433542690346354</c:v>
                </c:pt>
                <c:pt idx="19">
                  <c:v>10.701021918710314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0D-4660-A580-AAE42EBE460D}"/>
            </c:ext>
          </c:extLst>
        </c:ser>
        <c:ser>
          <c:idx val="2"/>
          <c:order val="2"/>
          <c:tx>
            <c:v>Means_Calibration A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Processing_final!$BB$3:$BB$7</c:f>
              <c:numCache>
                <c:formatCode>General</c:formatCode>
                <c:ptCount val="5"/>
                <c:pt idx="0">
                  <c:v>0.84070245529578946</c:v>
                </c:pt>
                <c:pt idx="1">
                  <c:v>2.8894922347266716</c:v>
                </c:pt>
                <c:pt idx="2">
                  <c:v>3.4108880204705283</c:v>
                </c:pt>
                <c:pt idx="3">
                  <c:v>10.81518409873895</c:v>
                </c:pt>
                <c:pt idx="4">
                  <c:v>27.91539639814269</c:v>
                </c:pt>
              </c:numCache>
            </c:numRef>
          </c:xVal>
          <c:yVal>
            <c:numRef>
              <c:f>Processing_final!$BC$3:$BC$7</c:f>
              <c:numCache>
                <c:formatCode>General</c:formatCode>
                <c:ptCount val="5"/>
                <c:pt idx="0">
                  <c:v>0.66371901788168419</c:v>
                </c:pt>
                <c:pt idx="1">
                  <c:v>1.8442031061093314</c:v>
                </c:pt>
                <c:pt idx="2">
                  <c:v>3.6356447918117887</c:v>
                </c:pt>
                <c:pt idx="3">
                  <c:v>5.6739263605044208</c:v>
                </c:pt>
                <c:pt idx="4">
                  <c:v>8.8338414407429227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0D-4660-A580-AAE42EBE460D}"/>
            </c:ext>
          </c:extLst>
        </c:ser>
        <c:ser>
          <c:idx val="3"/>
          <c:order val="3"/>
          <c:tx>
            <c:v>Means_Calibration B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Processing_final!$BB$11:$BB$15</c:f>
              <c:numCache>
                <c:formatCode>General</c:formatCode>
                <c:ptCount val="5"/>
                <c:pt idx="0">
                  <c:v>0.84311888389890166</c:v>
                </c:pt>
                <c:pt idx="1">
                  <c:v>2.8977974937876882</c:v>
                </c:pt>
                <c:pt idx="2">
                  <c:v>3.7718593423588977</c:v>
                </c:pt>
                <c:pt idx="3">
                  <c:v>11.200653979131209</c:v>
                </c:pt>
                <c:pt idx="4">
                  <c:v>28.357445667989055</c:v>
                </c:pt>
              </c:numCache>
            </c:numRef>
          </c:xVal>
          <c:yVal>
            <c:numRef>
              <c:f>Processing_final!$BC$11:$BC$15</c:f>
              <c:numCache>
                <c:formatCode>General</c:formatCode>
                <c:ptCount val="5"/>
                <c:pt idx="0">
                  <c:v>0.66275244644043929</c:v>
                </c:pt>
                <c:pt idx="1">
                  <c:v>1.8408810024849247</c:v>
                </c:pt>
                <c:pt idx="2">
                  <c:v>3.4912562630564405</c:v>
                </c:pt>
                <c:pt idx="3">
                  <c:v>5.5197384083475169</c:v>
                </c:pt>
                <c:pt idx="4">
                  <c:v>8.6570217328043775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20D-4660-A580-AAE42EBE4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80112"/>
        <c:axId val="689580440"/>
      </c:scatterChart>
      <c:valAx>
        <c:axId val="6895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aqueous</a:t>
                </a:r>
                <a:r>
                  <a:rPr lang="en-US" baseline="0"/>
                  <a:t>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80440"/>
        <c:crosses val="autoZero"/>
        <c:crossBetween val="midCat"/>
      </c:valAx>
      <c:valAx>
        <c:axId val="6895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solid [ppm]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8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478390</xdr:colOff>
      <xdr:row>20</xdr:row>
      <xdr:rowOff>70775</xdr:rowOff>
    </xdr:from>
    <xdr:to>
      <xdr:col>30</xdr:col>
      <xdr:colOff>568446</xdr:colOff>
      <xdr:row>35</xdr:row>
      <xdr:rowOff>166051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EF1BE3-E0DA-4E7D-8E01-5D09E22E1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462643</xdr:colOff>
      <xdr:row>7</xdr:row>
      <xdr:rowOff>105293</xdr:rowOff>
    </xdr:from>
    <xdr:to>
      <xdr:col>34</xdr:col>
      <xdr:colOff>476251</xdr:colOff>
      <xdr:row>50</xdr:row>
      <xdr:rowOff>81642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6CD5694-27A5-4503-B880-803273846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361791</xdr:colOff>
      <xdr:row>0</xdr:row>
      <xdr:rowOff>140392</xdr:rowOff>
    </xdr:from>
    <xdr:to>
      <xdr:col>25</xdr:col>
      <xdr:colOff>725979</xdr:colOff>
      <xdr:row>20</xdr:row>
      <xdr:rowOff>13607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C230884-B4B8-4231-920D-308BC3D2A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573662</xdr:colOff>
      <xdr:row>38</xdr:row>
      <xdr:rowOff>153039</xdr:rowOff>
    </xdr:from>
    <xdr:to>
      <xdr:col>26</xdr:col>
      <xdr:colOff>663869</xdr:colOff>
      <xdr:row>57</xdr:row>
      <xdr:rowOff>47144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D25E50A-996D-474C-A5D5-5C17E9523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535780</xdr:colOff>
      <xdr:row>57</xdr:row>
      <xdr:rowOff>95250</xdr:rowOff>
    </xdr:from>
    <xdr:to>
      <xdr:col>30</xdr:col>
      <xdr:colOff>35718</xdr:colOff>
      <xdr:row>84</xdr:row>
      <xdr:rowOff>59530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5A60BF6-9295-43A9-BADF-6894E4A14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33</xdr:row>
      <xdr:rowOff>9524</xdr:rowOff>
    </xdr:from>
    <xdr:to>
      <xdr:col>17</xdr:col>
      <xdr:colOff>34636</xdr:colOff>
      <xdr:row>52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A61B10C-5ED5-47CF-8CCC-CE9E15714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26</xdr:col>
      <xdr:colOff>750794</xdr:colOff>
      <xdr:row>19</xdr:row>
      <xdr:rowOff>11206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D1751DE-92CB-4B76-9D37-0BE88B57E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27</xdr:col>
      <xdr:colOff>0</xdr:colOff>
      <xdr:row>35</xdr:row>
      <xdr:rowOff>11206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81DFEDD7-FE96-4299-A017-5DE8FC584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476250</xdr:colOff>
      <xdr:row>46</xdr:row>
      <xdr:rowOff>34638</xdr:rowOff>
    </xdr:from>
    <xdr:to>
      <xdr:col>38</xdr:col>
      <xdr:colOff>720587</xdr:colOff>
      <xdr:row>64</xdr:row>
      <xdr:rowOff>40823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F29BD84-3EDA-4224-95D1-91CF090EF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0</xdr:colOff>
      <xdr:row>46</xdr:row>
      <xdr:rowOff>0</xdr:rowOff>
    </xdr:from>
    <xdr:to>
      <xdr:col>46</xdr:col>
      <xdr:colOff>207818</xdr:colOff>
      <xdr:row>65</xdr:row>
      <xdr:rowOff>121227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DF620067-2F77-43E4-B3DF-6D0306B8A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65</xdr:row>
      <xdr:rowOff>0</xdr:rowOff>
    </xdr:from>
    <xdr:to>
      <xdr:col>38</xdr:col>
      <xdr:colOff>244337</xdr:colOff>
      <xdr:row>83</xdr:row>
      <xdr:rowOff>47006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11BBA213-CFF4-453C-8CF0-30A3D1D4D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62193</xdr:colOff>
      <xdr:row>0</xdr:row>
      <xdr:rowOff>0</xdr:rowOff>
    </xdr:from>
    <xdr:to>
      <xdr:col>34</xdr:col>
      <xdr:colOff>62193</xdr:colOff>
      <xdr:row>20</xdr:row>
      <xdr:rowOff>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93C861E8-AF56-43CF-96A3-93F29A831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20</xdr:row>
      <xdr:rowOff>9525</xdr:rowOff>
    </xdr:from>
    <xdr:to>
      <xdr:col>34</xdr:col>
      <xdr:colOff>0</xdr:colOff>
      <xdr:row>40</xdr:row>
      <xdr:rowOff>9525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3BDB5ABC-D89E-4674-87C4-25F7721B7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18488</xdr:colOff>
      <xdr:row>0</xdr:row>
      <xdr:rowOff>78443</xdr:rowOff>
    </xdr:from>
    <xdr:to>
      <xdr:col>30</xdr:col>
      <xdr:colOff>459440</xdr:colOff>
      <xdr:row>17</xdr:row>
      <xdr:rowOff>168089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1CD830-889A-4359-B40E-D7892E4FC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616323</xdr:colOff>
      <xdr:row>0</xdr:row>
      <xdr:rowOff>123265</xdr:rowOff>
    </xdr:from>
    <xdr:to>
      <xdr:col>37</xdr:col>
      <xdr:colOff>448234</xdr:colOff>
      <xdr:row>18</xdr:row>
      <xdr:rowOff>89647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EED3C9E-2F29-4E15-BD89-D45E0164B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485857</xdr:colOff>
      <xdr:row>38</xdr:row>
      <xdr:rowOff>112862</xdr:rowOff>
    </xdr:from>
    <xdr:to>
      <xdr:col>30</xdr:col>
      <xdr:colOff>723900</xdr:colOff>
      <xdr:row>63</xdr:row>
      <xdr:rowOff>95251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E90E28B-40A8-4DF0-B25F-4C8A66400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0</xdr:row>
      <xdr:rowOff>0</xdr:rowOff>
    </xdr:from>
    <xdr:to>
      <xdr:col>20</xdr:col>
      <xdr:colOff>228600</xdr:colOff>
      <xdr:row>28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22A831-2723-4ED1-8443-D5CA1831C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224118</xdr:colOff>
      <xdr:row>40</xdr:row>
      <xdr:rowOff>0</xdr:rowOff>
    </xdr:from>
    <xdr:to>
      <xdr:col>25</xdr:col>
      <xdr:colOff>541885</xdr:colOff>
      <xdr:row>63</xdr:row>
      <xdr:rowOff>179294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83BB2C9-E3B7-453E-82A3-0F43342B5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295274</xdr:colOff>
      <xdr:row>61</xdr:row>
      <xdr:rowOff>109536</xdr:rowOff>
    </xdr:from>
    <xdr:to>
      <xdr:col>14</xdr:col>
      <xdr:colOff>876299</xdr:colOff>
      <xdr:row>79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A5ECA2-3FEC-4406-96EC-B62F5D9D7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1209675</xdr:colOff>
      <xdr:row>61</xdr:row>
      <xdr:rowOff>147637</xdr:rowOff>
    </xdr:from>
    <xdr:to>
      <xdr:col>20</xdr:col>
      <xdr:colOff>228600</xdr:colOff>
      <xdr:row>76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088C5F-5692-4210-A3DC-F2C56066F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16</xdr:row>
      <xdr:rowOff>0</xdr:rowOff>
    </xdr:from>
    <xdr:to>
      <xdr:col>31</xdr:col>
      <xdr:colOff>11206</xdr:colOff>
      <xdr:row>38</xdr:row>
      <xdr:rowOff>179294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A9BADF1-0C70-440D-8DBB-BF0D150B3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40</xdr:col>
      <xdr:colOff>549088</xdr:colOff>
      <xdr:row>38</xdr:row>
      <xdr:rowOff>179294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D7DD0E0-A7A5-413B-9D87-83E5676FE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41</xdr:row>
      <xdr:rowOff>0</xdr:rowOff>
    </xdr:from>
    <xdr:to>
      <xdr:col>31</xdr:col>
      <xdr:colOff>11206</xdr:colOff>
      <xdr:row>63</xdr:row>
      <xdr:rowOff>179294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B870930-54DB-4EC1-82DD-DCF5820E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41</xdr:row>
      <xdr:rowOff>0</xdr:rowOff>
    </xdr:from>
    <xdr:to>
      <xdr:col>40</xdr:col>
      <xdr:colOff>549088</xdr:colOff>
      <xdr:row>63</xdr:row>
      <xdr:rowOff>179294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02F69EB-B6A2-491C-86BA-AEA07043D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66</xdr:row>
      <xdr:rowOff>0</xdr:rowOff>
    </xdr:from>
    <xdr:to>
      <xdr:col>31</xdr:col>
      <xdr:colOff>11206</xdr:colOff>
      <xdr:row>88</xdr:row>
      <xdr:rowOff>179293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7EDED43-3AF0-48C5-BB57-389D41B26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93</xdr:row>
      <xdr:rowOff>0</xdr:rowOff>
    </xdr:from>
    <xdr:to>
      <xdr:col>31</xdr:col>
      <xdr:colOff>1309</xdr:colOff>
      <xdr:row>116</xdr:row>
      <xdr:rowOff>49334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03A46939-8B26-4023-BDBD-F99DEBA71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207817</xdr:colOff>
      <xdr:row>93</xdr:row>
      <xdr:rowOff>0</xdr:rowOff>
    </xdr:from>
    <xdr:to>
      <xdr:col>41</xdr:col>
      <xdr:colOff>0</xdr:colOff>
      <xdr:row>116</xdr:row>
      <xdr:rowOff>95250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0C7840C0-C658-4A6D-9AE7-6953F41BC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206375</xdr:colOff>
      <xdr:row>116</xdr:row>
      <xdr:rowOff>158749</xdr:rowOff>
    </xdr:from>
    <xdr:to>
      <xdr:col>41</xdr:col>
      <xdr:colOff>31750</xdr:colOff>
      <xdr:row>143</xdr:row>
      <xdr:rowOff>15874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F9A9D420-4D93-44AC-9FD4-3E3258395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711573</xdr:colOff>
      <xdr:row>5</xdr:row>
      <xdr:rowOff>1120</xdr:rowOff>
    </xdr:from>
    <xdr:to>
      <xdr:col>24</xdr:col>
      <xdr:colOff>711573</xdr:colOff>
      <xdr:row>19</xdr:row>
      <xdr:rowOff>66114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0F071B-C1C3-493C-9AE5-35F8606EC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49</xdr:row>
      <xdr:rowOff>0</xdr:rowOff>
    </xdr:from>
    <xdr:to>
      <xdr:col>25</xdr:col>
      <xdr:colOff>42583</xdr:colOff>
      <xdr:row>63</xdr:row>
      <xdr:rowOff>64994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E91F959-E0E4-4432-A336-8C6884F26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173182</xdr:colOff>
      <xdr:row>17</xdr:row>
      <xdr:rowOff>86589</xdr:rowOff>
    </xdr:from>
    <xdr:to>
      <xdr:col>43</xdr:col>
      <xdr:colOff>155864</xdr:colOff>
      <xdr:row>45</xdr:row>
      <xdr:rowOff>69273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AC77674-4E52-4B67-A545-A1CAE37A0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ABDC-B3CA-45E0-9041-005E5FB1D31F}">
  <dimension ref="A1:R73"/>
  <sheetViews>
    <sheetView topLeftCell="A31" zoomScale="70" zoomScaleNormal="70" workbookViewId="0">
      <selection activeCell="D68" activeCellId="3" sqref="D45:E54 D56:E59 D62:E65 D68:E72"/>
    </sheetView>
  </sheetViews>
  <sheetFormatPr baseColWidth="10" defaultRowHeight="15" x14ac:dyDescent="0.25"/>
  <cols>
    <col min="2" max="2" width="36" bestFit="1" customWidth="1"/>
    <col min="5" max="5" width="16.28515625" bestFit="1" customWidth="1"/>
    <col min="8" max="8" width="15.7109375" customWidth="1"/>
    <col min="11" max="11" width="16" bestFit="1" customWidth="1"/>
    <col min="12" max="12" width="11.7109375" customWidth="1"/>
    <col min="14" max="14" width="15" customWidth="1"/>
    <col min="15" max="15" width="13.7109375" bestFit="1" customWidth="1"/>
  </cols>
  <sheetData>
    <row r="1" spans="1:18" x14ac:dyDescent="0.25">
      <c r="A1" t="s">
        <v>5</v>
      </c>
      <c r="G1" t="s">
        <v>44</v>
      </c>
      <c r="H1" s="11" t="s">
        <v>45</v>
      </c>
    </row>
    <row r="2" spans="1:18" x14ac:dyDescent="0.25">
      <c r="A2" t="s">
        <v>6</v>
      </c>
    </row>
    <row r="3" spans="1:18" x14ac:dyDescent="0.25">
      <c r="A3" t="s">
        <v>7</v>
      </c>
      <c r="C3" t="s">
        <v>0</v>
      </c>
    </row>
    <row r="4" spans="1:18" x14ac:dyDescent="0.25">
      <c r="A4" t="s">
        <v>8</v>
      </c>
      <c r="C4" t="s">
        <v>1</v>
      </c>
      <c r="L4" t="s">
        <v>41</v>
      </c>
      <c r="N4" t="s">
        <v>50</v>
      </c>
      <c r="P4" t="s">
        <v>52</v>
      </c>
    </row>
    <row r="5" spans="1:18" x14ac:dyDescent="0.25">
      <c r="A5" s="1"/>
      <c r="B5" s="2"/>
      <c r="C5" s="3" t="s">
        <v>9</v>
      </c>
      <c r="D5" s="3" t="s">
        <v>10</v>
      </c>
      <c r="E5" s="4"/>
      <c r="F5" s="3" t="s">
        <v>11</v>
      </c>
      <c r="G5" s="3"/>
      <c r="H5" s="4"/>
      <c r="I5" s="3" t="s">
        <v>14</v>
      </c>
      <c r="J5" s="3"/>
      <c r="K5" s="4"/>
      <c r="L5" t="s">
        <v>42</v>
      </c>
      <c r="N5" t="s">
        <v>48</v>
      </c>
      <c r="P5" t="s">
        <v>47</v>
      </c>
    </row>
    <row r="6" spans="1:18" x14ac:dyDescent="0.25">
      <c r="A6" s="5" t="s">
        <v>2</v>
      </c>
      <c r="B6" s="6" t="s">
        <v>3</v>
      </c>
      <c r="C6" s="7" t="s">
        <v>4</v>
      </c>
      <c r="D6" s="7" t="s">
        <v>17</v>
      </c>
      <c r="E6" s="6" t="s">
        <v>18</v>
      </c>
      <c r="F6" s="7" t="s">
        <v>4</v>
      </c>
      <c r="G6" s="7" t="s">
        <v>12</v>
      </c>
      <c r="H6" s="6" t="s">
        <v>13</v>
      </c>
      <c r="I6" s="7" t="s">
        <v>4</v>
      </c>
      <c r="J6" s="7" t="s">
        <v>15</v>
      </c>
      <c r="K6" s="6" t="s">
        <v>16</v>
      </c>
      <c r="L6" s="10" t="s">
        <v>43</v>
      </c>
      <c r="M6" s="10" t="s">
        <v>49</v>
      </c>
      <c r="N6" t="s">
        <v>12</v>
      </c>
      <c r="O6" t="s">
        <v>13</v>
      </c>
      <c r="P6" t="s">
        <v>12</v>
      </c>
      <c r="Q6" t="s">
        <v>13</v>
      </c>
    </row>
    <row r="7" spans="1:18" x14ac:dyDescent="0.25">
      <c r="A7">
        <v>1</v>
      </c>
      <c r="B7" s="4" t="s">
        <v>19</v>
      </c>
      <c r="C7">
        <v>15.859</v>
      </c>
      <c r="D7" s="8">
        <v>236336</v>
      </c>
      <c r="E7" s="9">
        <v>236336</v>
      </c>
      <c r="F7">
        <v>10.8</v>
      </c>
      <c r="G7">
        <v>0</v>
      </c>
      <c r="H7" s="9">
        <v>6254</v>
      </c>
      <c r="I7" s="10">
        <v>0</v>
      </c>
      <c r="J7" s="10">
        <v>0</v>
      </c>
      <c r="K7" s="4">
        <v>0</v>
      </c>
      <c r="L7" s="10">
        <v>0</v>
      </c>
    </row>
    <row r="8" spans="1:18" x14ac:dyDescent="0.25">
      <c r="A8">
        <v>2</v>
      </c>
      <c r="B8" s="9" t="s">
        <v>20</v>
      </c>
      <c r="C8">
        <v>15.859</v>
      </c>
      <c r="D8" s="8">
        <v>361174</v>
      </c>
      <c r="E8" s="9">
        <v>371280</v>
      </c>
      <c r="F8" s="10">
        <v>0</v>
      </c>
      <c r="G8">
        <v>0</v>
      </c>
      <c r="H8" s="9">
        <v>0</v>
      </c>
      <c r="I8" s="10">
        <v>0</v>
      </c>
      <c r="J8" s="10">
        <v>0</v>
      </c>
      <c r="K8" s="9">
        <v>0</v>
      </c>
      <c r="L8" s="10">
        <v>0</v>
      </c>
    </row>
    <row r="9" spans="1:18" x14ac:dyDescent="0.25">
      <c r="A9">
        <v>3</v>
      </c>
      <c r="B9" s="16" t="s">
        <v>21</v>
      </c>
      <c r="C9">
        <v>15.859</v>
      </c>
      <c r="D9" s="8">
        <v>433796</v>
      </c>
      <c r="E9" s="9">
        <v>430719</v>
      </c>
      <c r="F9">
        <v>10.807</v>
      </c>
      <c r="G9">
        <v>0</v>
      </c>
      <c r="H9" s="9">
        <v>36781</v>
      </c>
      <c r="I9">
        <v>0</v>
      </c>
      <c r="J9">
        <v>0</v>
      </c>
      <c r="K9" s="9">
        <v>0</v>
      </c>
      <c r="N9" s="20">
        <v>0</v>
      </c>
      <c r="O9" s="25">
        <f>(H9+33313.033)/438534.339</f>
        <v>0.1598370452809626</v>
      </c>
      <c r="P9" s="20">
        <f>N9*2</f>
        <v>0</v>
      </c>
      <c r="Q9" s="25">
        <f>O9*2</f>
        <v>0.31967409056192519</v>
      </c>
      <c r="R9">
        <v>0</v>
      </c>
    </row>
    <row r="10" spans="1:18" x14ac:dyDescent="0.25">
      <c r="A10">
        <v>4</v>
      </c>
      <c r="B10" s="14" t="s">
        <v>22</v>
      </c>
      <c r="C10">
        <v>15.86</v>
      </c>
      <c r="D10" s="8">
        <v>378102</v>
      </c>
      <c r="E10" s="9">
        <v>378002</v>
      </c>
      <c r="F10" s="10">
        <v>10.808999999999999</v>
      </c>
      <c r="G10" s="10">
        <v>0</v>
      </c>
      <c r="H10" s="9">
        <v>25142</v>
      </c>
      <c r="I10" s="10">
        <v>0</v>
      </c>
      <c r="J10" s="10">
        <v>0</v>
      </c>
      <c r="K10" s="9">
        <v>0</v>
      </c>
      <c r="N10" s="21">
        <v>0</v>
      </c>
      <c r="O10" s="27">
        <f>(H10+33313.033)/438534.339</f>
        <v>0.13329636427855654</v>
      </c>
      <c r="P10" s="21">
        <f t="shared" ref="P10:P33" si="0">N10*2</f>
        <v>0</v>
      </c>
      <c r="Q10" s="27">
        <f t="shared" ref="Q10:Q33" si="1">O10*2</f>
        <v>0.26659272855711308</v>
      </c>
      <c r="R10">
        <v>0</v>
      </c>
    </row>
    <row r="11" spans="1:18" x14ac:dyDescent="0.25">
      <c r="A11">
        <v>5</v>
      </c>
      <c r="B11" s="9" t="s">
        <v>23</v>
      </c>
      <c r="C11">
        <v>15.86</v>
      </c>
      <c r="D11" s="8">
        <v>512563</v>
      </c>
      <c r="E11" s="9">
        <v>509270</v>
      </c>
      <c r="F11">
        <v>10.787000000000001</v>
      </c>
      <c r="G11">
        <v>853878</v>
      </c>
      <c r="H11" s="9">
        <v>853878</v>
      </c>
      <c r="I11">
        <v>10.787000000000001</v>
      </c>
      <c r="J11" s="10">
        <v>0</v>
      </c>
      <c r="K11" s="9">
        <v>127562</v>
      </c>
      <c r="L11" s="10">
        <v>2.5</v>
      </c>
      <c r="M11">
        <f t="shared" ref="M11:M16" si="2">L11/5</f>
        <v>0.5</v>
      </c>
      <c r="N11" s="22"/>
      <c r="O11" s="28"/>
      <c r="P11" s="22"/>
      <c r="Q11" s="28"/>
    </row>
    <row r="12" spans="1:18" x14ac:dyDescent="0.25">
      <c r="A12">
        <v>6</v>
      </c>
      <c r="B12" s="9" t="s">
        <v>24</v>
      </c>
      <c r="C12">
        <v>15.861000000000001</v>
      </c>
      <c r="D12" s="8">
        <v>299955</v>
      </c>
      <c r="E12" s="9">
        <v>299955</v>
      </c>
      <c r="F12">
        <v>10.813000000000001</v>
      </c>
      <c r="G12">
        <v>985732</v>
      </c>
      <c r="H12" s="9">
        <v>984415</v>
      </c>
      <c r="I12">
        <v>10.813000000000001</v>
      </c>
      <c r="J12">
        <v>148744</v>
      </c>
      <c r="K12" s="9">
        <v>148677</v>
      </c>
      <c r="L12" s="10">
        <v>2.5</v>
      </c>
      <c r="M12">
        <f t="shared" si="2"/>
        <v>0.5</v>
      </c>
      <c r="N12" s="23"/>
      <c r="O12" s="29"/>
      <c r="P12" s="23"/>
      <c r="Q12" s="29"/>
    </row>
    <row r="13" spans="1:18" x14ac:dyDescent="0.25">
      <c r="A13">
        <v>7</v>
      </c>
      <c r="B13" s="9" t="s">
        <v>25</v>
      </c>
      <c r="C13">
        <v>15.861000000000001</v>
      </c>
      <c r="D13" s="8">
        <v>351518</v>
      </c>
      <c r="E13" s="9">
        <v>350977</v>
      </c>
      <c r="F13">
        <v>10.807</v>
      </c>
      <c r="G13">
        <v>109206</v>
      </c>
      <c r="H13" s="9">
        <v>110241</v>
      </c>
      <c r="I13">
        <v>10.807</v>
      </c>
      <c r="J13">
        <v>0</v>
      </c>
      <c r="K13" s="9">
        <v>16872</v>
      </c>
      <c r="L13" s="10">
        <v>0.25</v>
      </c>
      <c r="M13">
        <f t="shared" si="2"/>
        <v>0.05</v>
      </c>
      <c r="N13" s="23"/>
      <c r="O13" s="29"/>
      <c r="P13" s="23"/>
      <c r="Q13" s="29"/>
    </row>
    <row r="14" spans="1:18" x14ac:dyDescent="0.25">
      <c r="A14">
        <v>8</v>
      </c>
      <c r="B14" s="9" t="s">
        <v>26</v>
      </c>
      <c r="C14">
        <v>15.862</v>
      </c>
      <c r="D14" s="8">
        <v>414390</v>
      </c>
      <c r="E14" s="9">
        <v>412871</v>
      </c>
      <c r="F14">
        <v>10.808999999999999</v>
      </c>
      <c r="G14">
        <v>117140</v>
      </c>
      <c r="H14" s="9">
        <v>117133</v>
      </c>
      <c r="I14">
        <v>10.808</v>
      </c>
      <c r="K14" s="9">
        <v>18301</v>
      </c>
      <c r="L14" s="10">
        <v>0.25</v>
      </c>
      <c r="M14">
        <f t="shared" si="2"/>
        <v>0.05</v>
      </c>
      <c r="N14" s="23"/>
      <c r="O14" s="29"/>
      <c r="P14" s="23"/>
      <c r="Q14" s="29"/>
    </row>
    <row r="15" spans="1:18" x14ac:dyDescent="0.25">
      <c r="A15">
        <v>9</v>
      </c>
      <c r="B15" s="9" t="s">
        <v>27</v>
      </c>
      <c r="C15">
        <v>15.863</v>
      </c>
      <c r="D15" s="8">
        <v>289350</v>
      </c>
      <c r="E15" s="9">
        <v>289350</v>
      </c>
      <c r="F15">
        <v>10.814</v>
      </c>
      <c r="G15">
        <v>2317099</v>
      </c>
      <c r="H15" s="9">
        <v>2313151</v>
      </c>
      <c r="I15">
        <v>10.814</v>
      </c>
      <c r="J15">
        <v>353493</v>
      </c>
      <c r="K15" s="9">
        <v>353493</v>
      </c>
      <c r="L15" s="10">
        <v>5</v>
      </c>
      <c r="M15">
        <f t="shared" si="2"/>
        <v>1</v>
      </c>
      <c r="N15" s="23"/>
      <c r="O15" s="29"/>
      <c r="P15" s="23"/>
      <c r="Q15" s="29"/>
    </row>
    <row r="16" spans="1:18" x14ac:dyDescent="0.25">
      <c r="A16">
        <v>10</v>
      </c>
      <c r="B16" s="9" t="s">
        <v>40</v>
      </c>
      <c r="C16">
        <v>15.86</v>
      </c>
      <c r="D16" s="8">
        <v>326195</v>
      </c>
      <c r="E16" s="9">
        <v>321995</v>
      </c>
      <c r="F16">
        <v>10.81</v>
      </c>
      <c r="G16">
        <v>2155583</v>
      </c>
      <c r="H16" s="9">
        <v>2145706</v>
      </c>
      <c r="I16">
        <v>10.81</v>
      </c>
      <c r="J16">
        <v>320694</v>
      </c>
      <c r="K16" s="9">
        <v>320694</v>
      </c>
      <c r="L16" s="10">
        <v>5</v>
      </c>
      <c r="M16">
        <f t="shared" si="2"/>
        <v>1</v>
      </c>
      <c r="N16" s="22"/>
      <c r="O16" s="28"/>
      <c r="P16" s="22"/>
      <c r="Q16" s="28"/>
    </row>
    <row r="17" spans="1:18" x14ac:dyDescent="0.25">
      <c r="A17">
        <v>11</v>
      </c>
      <c r="B17" s="14" t="s">
        <v>29</v>
      </c>
      <c r="C17">
        <v>15.861000000000001</v>
      </c>
      <c r="D17" s="8">
        <v>440913</v>
      </c>
      <c r="E17" s="9">
        <v>440913</v>
      </c>
      <c r="F17">
        <v>10.808999999999999</v>
      </c>
      <c r="G17">
        <v>0</v>
      </c>
      <c r="H17" s="9">
        <v>33430</v>
      </c>
      <c r="I17">
        <v>10.808</v>
      </c>
      <c r="J17">
        <v>0</v>
      </c>
      <c r="K17" s="9">
        <v>5230</v>
      </c>
      <c r="N17" s="21">
        <v>0</v>
      </c>
      <c r="O17" s="27">
        <f>(H17+33313.033)/438534.339</f>
        <v>0.15219568244574799</v>
      </c>
      <c r="P17" s="21">
        <f t="shared" si="0"/>
        <v>0</v>
      </c>
      <c r="Q17" s="27">
        <f t="shared" si="1"/>
        <v>0.30439136489149599</v>
      </c>
      <c r="R17">
        <v>0</v>
      </c>
    </row>
    <row r="18" spans="1:18" ht="15.75" thickBot="1" x14ac:dyDescent="0.3">
      <c r="A18">
        <v>12</v>
      </c>
      <c r="B18" s="15" t="s">
        <v>30</v>
      </c>
      <c r="C18">
        <v>15.863</v>
      </c>
      <c r="D18" s="8">
        <v>499398</v>
      </c>
      <c r="E18" s="9">
        <v>497774</v>
      </c>
      <c r="F18" s="10">
        <v>0</v>
      </c>
      <c r="G18" s="10">
        <v>0</v>
      </c>
      <c r="H18" s="9">
        <v>0</v>
      </c>
      <c r="I18" s="10">
        <v>0</v>
      </c>
      <c r="J18" s="10">
        <v>0</v>
      </c>
      <c r="K18" s="9">
        <v>0</v>
      </c>
      <c r="N18" s="21">
        <v>0</v>
      </c>
      <c r="O18" s="27">
        <v>0</v>
      </c>
      <c r="P18" s="21">
        <f t="shared" si="0"/>
        <v>0</v>
      </c>
      <c r="Q18" s="27">
        <f t="shared" si="1"/>
        <v>0</v>
      </c>
      <c r="R18">
        <v>0</v>
      </c>
    </row>
    <row r="19" spans="1:18" ht="15.75" thickBot="1" x14ac:dyDescent="0.3">
      <c r="B19" s="9"/>
      <c r="D19" s="8"/>
      <c r="E19" s="9"/>
      <c r="H19" s="9"/>
      <c r="K19" s="9"/>
      <c r="M19" s="19" t="s">
        <v>46</v>
      </c>
      <c r="N19" s="34">
        <f>AVERAGE(N9:N10,N17:N18)</f>
        <v>0</v>
      </c>
      <c r="O19" s="31">
        <f>AVERAGE(O9:O10,O17:O18)</f>
        <v>0.11133227300131679</v>
      </c>
      <c r="P19" s="34">
        <f t="shared" si="0"/>
        <v>0</v>
      </c>
      <c r="Q19" s="31">
        <f t="shared" si="1"/>
        <v>0.22266454600263358</v>
      </c>
      <c r="R19">
        <v>0</v>
      </c>
    </row>
    <row r="20" spans="1:18" ht="15.75" thickBot="1" x14ac:dyDescent="0.3">
      <c r="B20" s="9"/>
      <c r="D20" s="8"/>
      <c r="E20" s="9"/>
      <c r="H20" s="9"/>
      <c r="K20" s="9"/>
      <c r="M20" s="8" t="s">
        <v>51</v>
      </c>
      <c r="N20" s="34">
        <f>STDEV(N9:N10,N17:N18)</f>
        <v>0</v>
      </c>
      <c r="O20" s="31">
        <f>STDEV(O9:O10,O17:O18)</f>
        <v>7.5055151905333753E-2</v>
      </c>
      <c r="P20" s="22"/>
      <c r="Q20" s="28"/>
    </row>
    <row r="21" spans="1:18" x14ac:dyDescent="0.25">
      <c r="A21">
        <v>13</v>
      </c>
      <c r="B21" s="9" t="s">
        <v>28</v>
      </c>
      <c r="C21">
        <v>15.86</v>
      </c>
      <c r="D21" s="8">
        <v>364185</v>
      </c>
      <c r="E21" s="9">
        <v>363610</v>
      </c>
      <c r="F21" s="10">
        <v>0</v>
      </c>
      <c r="G21" s="10">
        <v>0</v>
      </c>
      <c r="H21" s="9">
        <v>0</v>
      </c>
      <c r="I21" s="10">
        <v>0</v>
      </c>
      <c r="J21" s="10">
        <v>0</v>
      </c>
      <c r="K21" s="9">
        <v>0</v>
      </c>
      <c r="N21" s="28"/>
      <c r="O21" s="28"/>
      <c r="P21" s="28"/>
      <c r="Q21" s="28"/>
    </row>
    <row r="22" spans="1:18" x14ac:dyDescent="0.25">
      <c r="B22" s="9"/>
      <c r="D22" s="8"/>
      <c r="E22" s="9"/>
      <c r="F22" s="10"/>
      <c r="G22" s="10"/>
      <c r="H22" s="9"/>
      <c r="I22" s="10"/>
      <c r="J22" s="10"/>
      <c r="K22" s="9"/>
      <c r="N22" s="29"/>
      <c r="O22" s="29"/>
      <c r="P22" s="29"/>
      <c r="Q22" s="29"/>
    </row>
    <row r="23" spans="1:18" x14ac:dyDescent="0.25">
      <c r="A23">
        <v>14</v>
      </c>
      <c r="B23" s="12" t="s">
        <v>31</v>
      </c>
      <c r="C23">
        <v>15.865</v>
      </c>
      <c r="D23">
        <v>343231</v>
      </c>
      <c r="E23" s="9">
        <v>343231</v>
      </c>
      <c r="F23">
        <v>10.821999999999999</v>
      </c>
      <c r="G23">
        <v>180679</v>
      </c>
      <c r="H23" s="9">
        <v>181013</v>
      </c>
      <c r="I23">
        <v>10.823</v>
      </c>
      <c r="J23" s="10">
        <v>0</v>
      </c>
      <c r="K23" s="9">
        <v>27745</v>
      </c>
      <c r="N23" s="24">
        <f>(G23+35714.779)/440281.047</f>
        <v>0.4914901072268959</v>
      </c>
      <c r="O23" s="25">
        <f>(H23+33313.033)/438534.339</f>
        <v>0.4887326121113631</v>
      </c>
      <c r="P23" s="24">
        <f t="shared" si="0"/>
        <v>0.9829802144537918</v>
      </c>
      <c r="Q23" s="25">
        <f t="shared" si="1"/>
        <v>0.97746522422272619</v>
      </c>
      <c r="R23">
        <v>2.5</v>
      </c>
    </row>
    <row r="24" spans="1:18" x14ac:dyDescent="0.25">
      <c r="A24">
        <v>15</v>
      </c>
      <c r="B24" s="13" t="s">
        <v>32</v>
      </c>
      <c r="C24">
        <v>15.864000000000001</v>
      </c>
      <c r="D24" s="8">
        <v>343533</v>
      </c>
      <c r="E24" s="9">
        <v>342090</v>
      </c>
      <c r="F24">
        <v>10.819000000000001</v>
      </c>
      <c r="G24">
        <v>207828</v>
      </c>
      <c r="H24" s="9">
        <v>208827</v>
      </c>
      <c r="I24">
        <v>10.819000000000001</v>
      </c>
      <c r="J24" s="10">
        <v>0</v>
      </c>
      <c r="K24" s="9">
        <v>31738</v>
      </c>
      <c r="N24" s="26">
        <f>(G24+35714.779)/440281.047</f>
        <v>0.55315299320617817</v>
      </c>
      <c r="O24" s="27">
        <f>(H24+33313.033)/438534.339</f>
        <v>0.55215751986984085</v>
      </c>
      <c r="P24" s="26">
        <f t="shared" si="0"/>
        <v>1.1063059864123563</v>
      </c>
      <c r="Q24" s="27">
        <f t="shared" si="1"/>
        <v>1.1043150397396817</v>
      </c>
      <c r="R24">
        <v>2.5</v>
      </c>
    </row>
    <row r="25" spans="1:18" x14ac:dyDescent="0.25">
      <c r="A25">
        <v>16</v>
      </c>
      <c r="B25" s="14" t="s">
        <v>34</v>
      </c>
      <c r="C25">
        <v>15.863</v>
      </c>
      <c r="D25" s="8">
        <v>387266</v>
      </c>
      <c r="E25" s="9">
        <v>384859</v>
      </c>
      <c r="F25">
        <v>10.82</v>
      </c>
      <c r="G25">
        <v>194928</v>
      </c>
      <c r="H25" s="9">
        <v>196476</v>
      </c>
      <c r="I25">
        <v>10.82</v>
      </c>
      <c r="J25" s="10">
        <v>0</v>
      </c>
      <c r="K25" s="9">
        <v>30038</v>
      </c>
      <c r="N25" s="26">
        <f>(G25+35714.779)/440281.047</f>
        <v>0.52385352622276293</v>
      </c>
      <c r="O25" s="27">
        <f>(H25+33313.033)/438534.339</f>
        <v>0.52399324879322617</v>
      </c>
      <c r="P25" s="26">
        <f t="shared" si="0"/>
        <v>1.0477070524455259</v>
      </c>
      <c r="Q25" s="27">
        <f t="shared" si="1"/>
        <v>1.0479864975864523</v>
      </c>
      <c r="R25">
        <v>2.5</v>
      </c>
    </row>
    <row r="26" spans="1:18" ht="15.75" thickBot="1" x14ac:dyDescent="0.3">
      <c r="A26">
        <v>17</v>
      </c>
      <c r="B26" s="15" t="s">
        <v>35</v>
      </c>
      <c r="C26">
        <v>15.863</v>
      </c>
      <c r="D26" s="8">
        <v>346011</v>
      </c>
      <c r="E26" s="9">
        <v>346011</v>
      </c>
      <c r="F26">
        <v>10.821</v>
      </c>
      <c r="G26">
        <v>275736</v>
      </c>
      <c r="H26" s="9">
        <v>275814</v>
      </c>
      <c r="I26">
        <v>10.821</v>
      </c>
      <c r="J26" s="10">
        <v>0</v>
      </c>
      <c r="K26" s="9">
        <v>41312</v>
      </c>
      <c r="N26" s="26">
        <f>(G26+35714.779)/440281.047</f>
        <v>0.70739083847050077</v>
      </c>
      <c r="O26" s="27">
        <f>(H26+33313.033)/438534.339</f>
        <v>0.70490952591058098</v>
      </c>
      <c r="P26" s="26">
        <f t="shared" si="0"/>
        <v>1.4147816769410015</v>
      </c>
      <c r="Q26" s="27">
        <f t="shared" si="1"/>
        <v>1.409819051821162</v>
      </c>
      <c r="R26">
        <v>2.5</v>
      </c>
    </row>
    <row r="27" spans="1:18" ht="15.75" thickBot="1" x14ac:dyDescent="0.3">
      <c r="B27" s="14"/>
      <c r="D27" s="8"/>
      <c r="E27" s="9"/>
      <c r="H27" s="9"/>
      <c r="J27" s="10"/>
      <c r="K27" s="9"/>
      <c r="M27" s="19" t="s">
        <v>46</v>
      </c>
      <c r="N27" s="30">
        <f>AVERAGE(N23:N26)</f>
        <v>0.56897186628158447</v>
      </c>
      <c r="O27" s="31">
        <f>AVERAGE(O23:O26)</f>
        <v>0.56744822667125272</v>
      </c>
      <c r="P27" s="30">
        <f t="shared" si="0"/>
        <v>1.1379437325631689</v>
      </c>
      <c r="Q27" s="31">
        <f t="shared" si="1"/>
        <v>1.1348964533425054</v>
      </c>
      <c r="R27">
        <v>2.5</v>
      </c>
    </row>
    <row r="28" spans="1:18" ht="15.75" thickBot="1" x14ac:dyDescent="0.3">
      <c r="B28" s="14"/>
      <c r="D28" s="8"/>
      <c r="E28" s="9"/>
      <c r="H28" s="9"/>
      <c r="J28" s="10"/>
      <c r="K28" s="9"/>
      <c r="M28" s="8" t="s">
        <v>51</v>
      </c>
      <c r="N28" s="30">
        <f>STDEV(N23:N26)</f>
        <v>9.5654127290434571E-2</v>
      </c>
      <c r="O28" s="31">
        <f>STDEV(O23:O26)</f>
        <v>9.5243368239775E-2</v>
      </c>
      <c r="P28" s="28"/>
      <c r="Q28" s="28"/>
    </row>
    <row r="29" spans="1:18" x14ac:dyDescent="0.25">
      <c r="A29">
        <v>18</v>
      </c>
      <c r="B29" s="16" t="s">
        <v>36</v>
      </c>
      <c r="C29">
        <v>15.866</v>
      </c>
      <c r="D29" s="8">
        <v>449807</v>
      </c>
      <c r="E29" s="9">
        <v>448666</v>
      </c>
      <c r="F29">
        <v>10.814</v>
      </c>
      <c r="G29">
        <v>742742</v>
      </c>
      <c r="H29" s="9">
        <v>742742</v>
      </c>
      <c r="I29">
        <v>10.813000000000001</v>
      </c>
      <c r="J29">
        <v>0</v>
      </c>
      <c r="K29" s="9">
        <v>110669</v>
      </c>
      <c r="N29" s="26">
        <f>(G29+35714.779)/440281.047</f>
        <v>1.7680905964594018</v>
      </c>
      <c r="O29" s="27">
        <f>(H29+33313.033)/438534.339</f>
        <v>1.7696562480595164</v>
      </c>
      <c r="P29" s="26">
        <f t="shared" si="0"/>
        <v>3.5361811929188036</v>
      </c>
      <c r="Q29" s="27">
        <f t="shared" si="1"/>
        <v>3.5393124961190328</v>
      </c>
      <c r="R29">
        <v>7.5</v>
      </c>
    </row>
    <row r="30" spans="1:18" x14ac:dyDescent="0.25">
      <c r="A30">
        <v>19</v>
      </c>
      <c r="B30" s="14" t="s">
        <v>37</v>
      </c>
      <c r="C30">
        <v>15.865</v>
      </c>
      <c r="D30" s="8">
        <v>352642</v>
      </c>
      <c r="E30" s="9">
        <v>352091</v>
      </c>
      <c r="F30">
        <v>10.824</v>
      </c>
      <c r="G30">
        <v>666333</v>
      </c>
      <c r="H30" s="9">
        <v>664531</v>
      </c>
      <c r="I30">
        <v>10.823</v>
      </c>
      <c r="J30">
        <v>98293</v>
      </c>
      <c r="K30" s="9">
        <v>98293</v>
      </c>
      <c r="N30" s="26">
        <f>(G30+35714.779)/440281.047</f>
        <v>1.5945446295806596</v>
      </c>
      <c r="O30" s="27">
        <f>(H30+33313.033)/438534.339</f>
        <v>1.5913098951186126</v>
      </c>
      <c r="P30" s="26">
        <f t="shared" si="0"/>
        <v>3.1890892591613191</v>
      </c>
      <c r="Q30" s="27">
        <f t="shared" si="1"/>
        <v>3.1826197902372253</v>
      </c>
      <c r="R30">
        <v>7.5</v>
      </c>
    </row>
    <row r="31" spans="1:18" x14ac:dyDescent="0.25">
      <c r="A31">
        <v>20</v>
      </c>
      <c r="B31" s="14" t="s">
        <v>38</v>
      </c>
      <c r="C31">
        <v>15.867000000000001</v>
      </c>
      <c r="D31" s="8">
        <v>433420</v>
      </c>
      <c r="E31" s="9">
        <v>430546</v>
      </c>
      <c r="F31">
        <v>10.798</v>
      </c>
      <c r="G31">
        <v>568617</v>
      </c>
      <c r="H31" s="9">
        <v>568617</v>
      </c>
      <c r="I31">
        <v>10.797000000000001</v>
      </c>
      <c r="J31">
        <v>0</v>
      </c>
      <c r="K31" s="9">
        <v>84071</v>
      </c>
      <c r="N31" s="26">
        <f>(G31+35714.779)/440281.047</f>
        <v>1.3726045740960544</v>
      </c>
      <c r="O31" s="27">
        <f>(H31+33313.033)/438534.339</f>
        <v>1.3725949816668748</v>
      </c>
      <c r="P31" s="26">
        <f t="shared" si="0"/>
        <v>2.7452091481921088</v>
      </c>
      <c r="Q31" s="27">
        <f t="shared" si="1"/>
        <v>2.7451899633337495</v>
      </c>
      <c r="R31">
        <v>7.5</v>
      </c>
    </row>
    <row r="32" spans="1:18" ht="15.75" thickBot="1" x14ac:dyDescent="0.3">
      <c r="A32">
        <v>21</v>
      </c>
      <c r="B32" s="15" t="s">
        <v>39</v>
      </c>
      <c r="C32">
        <v>15.868</v>
      </c>
      <c r="D32" s="8">
        <v>383199</v>
      </c>
      <c r="E32" s="9">
        <v>381088</v>
      </c>
      <c r="F32">
        <v>10.831</v>
      </c>
      <c r="G32">
        <v>616447</v>
      </c>
      <c r="H32" s="9">
        <v>616356</v>
      </c>
      <c r="I32">
        <v>10.831</v>
      </c>
      <c r="J32">
        <v>0</v>
      </c>
      <c r="K32" s="9">
        <v>93815</v>
      </c>
      <c r="N32" s="26">
        <f>(G32+35714.779)/440281.047</f>
        <v>1.4812397295857251</v>
      </c>
      <c r="O32" s="27">
        <f>(H32+33313.033)/438534.339</f>
        <v>1.4814553279486742</v>
      </c>
      <c r="P32" s="26">
        <f t="shared" si="0"/>
        <v>2.9624794591714503</v>
      </c>
      <c r="Q32" s="27">
        <f t="shared" si="1"/>
        <v>2.9629106558973484</v>
      </c>
      <c r="R32">
        <v>7.5</v>
      </c>
    </row>
    <row r="33" spans="1:18" ht="15.75" thickBot="1" x14ac:dyDescent="0.3">
      <c r="B33" s="9"/>
      <c r="D33" s="8"/>
      <c r="E33" s="9"/>
      <c r="H33" s="9"/>
      <c r="K33" s="9"/>
      <c r="M33" s="19" t="s">
        <v>46</v>
      </c>
      <c r="N33" s="30">
        <f>AVERAGE(N29:N32)</f>
        <v>1.5541198824304603</v>
      </c>
      <c r="O33" s="31">
        <f>AVERAGE(O29:O32)</f>
        <v>1.5537541131984194</v>
      </c>
      <c r="P33" s="30">
        <f t="shared" si="0"/>
        <v>3.1082397648609206</v>
      </c>
      <c r="Q33" s="31">
        <f t="shared" si="1"/>
        <v>3.1075082263968388</v>
      </c>
      <c r="R33">
        <v>7.5</v>
      </c>
    </row>
    <row r="34" spans="1:18" ht="15.75" thickBot="1" x14ac:dyDescent="0.3">
      <c r="B34" s="9"/>
      <c r="D34" s="8"/>
      <c r="E34" s="9"/>
      <c r="H34" s="9"/>
      <c r="K34" s="9"/>
      <c r="M34" s="8" t="s">
        <v>51</v>
      </c>
      <c r="N34" s="30">
        <f>STDEV(N29:N32)</f>
        <v>0.16899403390121895</v>
      </c>
      <c r="O34" s="31">
        <f>STDEV(O29:O32)</f>
        <v>0.1693811420820597</v>
      </c>
      <c r="P34" s="28"/>
      <c r="Q34" s="28"/>
    </row>
    <row r="35" spans="1:18" x14ac:dyDescent="0.25">
      <c r="A35">
        <v>22</v>
      </c>
      <c r="B35" s="9" t="s">
        <v>33</v>
      </c>
      <c r="C35">
        <v>15.868</v>
      </c>
      <c r="D35" s="8">
        <v>354679</v>
      </c>
      <c r="E35" s="9">
        <v>354679</v>
      </c>
      <c r="F35">
        <v>10.82</v>
      </c>
      <c r="G35">
        <v>0</v>
      </c>
      <c r="H35" s="9">
        <v>42100</v>
      </c>
      <c r="I35" s="10">
        <v>0</v>
      </c>
      <c r="J35" s="10">
        <v>0</v>
      </c>
      <c r="K35" s="9">
        <v>0</v>
      </c>
    </row>
    <row r="36" spans="1:18" x14ac:dyDescent="0.25">
      <c r="B36" s="9"/>
      <c r="D36" s="8"/>
      <c r="E36" s="9"/>
      <c r="H36" s="9"/>
      <c r="K36" s="9"/>
    </row>
    <row r="37" spans="1:18" x14ac:dyDescent="0.25">
      <c r="B37" s="9"/>
    </row>
    <row r="38" spans="1:18" x14ac:dyDescent="0.25">
      <c r="B38" s="9"/>
    </row>
    <row r="39" spans="1:18" x14ac:dyDescent="0.25">
      <c r="A39" t="s">
        <v>90</v>
      </c>
      <c r="G39" t="s">
        <v>44</v>
      </c>
      <c r="H39" s="11" t="s">
        <v>45</v>
      </c>
    </row>
    <row r="40" spans="1:18" x14ac:dyDescent="0.25">
      <c r="A40" t="s">
        <v>91</v>
      </c>
      <c r="H40" s="49" t="s">
        <v>115</v>
      </c>
    </row>
    <row r="41" spans="1:18" x14ac:dyDescent="0.25">
      <c r="A41" t="s">
        <v>7</v>
      </c>
      <c r="C41" t="s">
        <v>0</v>
      </c>
    </row>
    <row r="42" spans="1:18" x14ac:dyDescent="0.25">
      <c r="A42" t="s">
        <v>8</v>
      </c>
      <c r="C42" t="s">
        <v>1</v>
      </c>
      <c r="L42" t="s">
        <v>41</v>
      </c>
      <c r="N42" t="s">
        <v>50</v>
      </c>
    </row>
    <row r="43" spans="1:18" x14ac:dyDescent="0.25">
      <c r="A43" s="1"/>
      <c r="B43" s="2"/>
      <c r="C43" s="3" t="s">
        <v>9</v>
      </c>
      <c r="D43" s="3" t="s">
        <v>10</v>
      </c>
      <c r="E43" s="4"/>
      <c r="F43" s="3" t="s">
        <v>11</v>
      </c>
      <c r="G43" s="3"/>
      <c r="H43" s="4"/>
      <c r="I43" s="3" t="s">
        <v>14</v>
      </c>
      <c r="J43" s="3"/>
      <c r="K43" s="4"/>
      <c r="L43" t="s">
        <v>42</v>
      </c>
      <c r="N43" t="s">
        <v>48</v>
      </c>
    </row>
    <row r="44" spans="1:18" x14ac:dyDescent="0.25">
      <c r="A44" s="5" t="s">
        <v>2</v>
      </c>
      <c r="B44" s="6" t="s">
        <v>3</v>
      </c>
      <c r="C44" s="7" t="s">
        <v>4</v>
      </c>
      <c r="D44" s="7" t="s">
        <v>17</v>
      </c>
      <c r="E44" s="6" t="s">
        <v>18</v>
      </c>
      <c r="F44" s="7" t="s">
        <v>4</v>
      </c>
      <c r="G44" s="7" t="s">
        <v>12</v>
      </c>
      <c r="H44" s="6" t="s">
        <v>13</v>
      </c>
      <c r="I44" s="7" t="s">
        <v>4</v>
      </c>
      <c r="J44" s="7" t="s">
        <v>15</v>
      </c>
      <c r="K44" s="6" t="s">
        <v>16</v>
      </c>
      <c r="L44" s="10" t="s">
        <v>43</v>
      </c>
      <c r="M44" s="10" t="s">
        <v>49</v>
      </c>
      <c r="N44" t="s">
        <v>12</v>
      </c>
      <c r="O44" t="s">
        <v>13</v>
      </c>
    </row>
    <row r="45" spans="1:18" x14ac:dyDescent="0.25">
      <c r="A45">
        <v>1</v>
      </c>
      <c r="B45" s="4" t="s">
        <v>92</v>
      </c>
      <c r="E45" s="4"/>
      <c r="H45" s="4"/>
      <c r="K45" s="4"/>
      <c r="L45">
        <v>0</v>
      </c>
    </row>
    <row r="46" spans="1:18" x14ac:dyDescent="0.25">
      <c r="A46">
        <v>2</v>
      </c>
      <c r="B46" s="9" t="s">
        <v>94</v>
      </c>
      <c r="C46">
        <v>15.868</v>
      </c>
      <c r="D46">
        <v>341416</v>
      </c>
      <c r="E46" s="9">
        <v>341416</v>
      </c>
      <c r="F46">
        <v>10.824</v>
      </c>
      <c r="G46">
        <v>0</v>
      </c>
      <c r="H46" s="9">
        <v>45132</v>
      </c>
      <c r="I46" s="10">
        <v>0</v>
      </c>
      <c r="J46" s="10">
        <v>0</v>
      </c>
      <c r="K46" s="9">
        <v>0</v>
      </c>
      <c r="L46">
        <v>0</v>
      </c>
    </row>
    <row r="47" spans="1:18" x14ac:dyDescent="0.25">
      <c r="A47">
        <v>3</v>
      </c>
      <c r="B47" s="9" t="s">
        <v>95</v>
      </c>
      <c r="C47">
        <v>15.87</v>
      </c>
      <c r="D47">
        <v>607250</v>
      </c>
      <c r="E47" s="9">
        <v>607250</v>
      </c>
      <c r="F47">
        <v>10.83</v>
      </c>
      <c r="G47">
        <v>0</v>
      </c>
      <c r="H47" s="9">
        <v>50110</v>
      </c>
      <c r="I47" s="10">
        <v>0</v>
      </c>
      <c r="J47" s="10">
        <v>0</v>
      </c>
      <c r="K47" s="9">
        <v>0</v>
      </c>
      <c r="L47" s="10">
        <v>0</v>
      </c>
      <c r="M47" s="10"/>
    </row>
    <row r="48" spans="1:18" x14ac:dyDescent="0.25">
      <c r="A48">
        <v>4</v>
      </c>
      <c r="B48" s="9" t="s">
        <v>93</v>
      </c>
      <c r="C48">
        <v>15.869</v>
      </c>
      <c r="D48">
        <v>130937</v>
      </c>
      <c r="E48" s="9">
        <v>136149</v>
      </c>
      <c r="F48">
        <v>10.832000000000001</v>
      </c>
      <c r="G48">
        <v>844407</v>
      </c>
      <c r="H48" s="9">
        <v>844407</v>
      </c>
      <c r="I48">
        <v>10.832000000000001</v>
      </c>
      <c r="J48">
        <v>0</v>
      </c>
      <c r="K48" s="9">
        <v>127396</v>
      </c>
      <c r="L48" s="10">
        <v>1.25</v>
      </c>
      <c r="M48">
        <v>0.25</v>
      </c>
    </row>
    <row r="49" spans="1:18" x14ac:dyDescent="0.25">
      <c r="A49">
        <v>5</v>
      </c>
      <c r="B49" s="9" t="s">
        <v>96</v>
      </c>
      <c r="C49">
        <v>15.868</v>
      </c>
      <c r="D49">
        <v>97902</v>
      </c>
      <c r="E49" s="9">
        <v>98704</v>
      </c>
      <c r="F49">
        <v>10.832000000000001</v>
      </c>
      <c r="G49">
        <v>803690</v>
      </c>
      <c r="H49" s="9">
        <v>803690</v>
      </c>
      <c r="I49">
        <v>10.832000000000001</v>
      </c>
      <c r="J49">
        <v>0</v>
      </c>
      <c r="K49" s="9">
        <v>121707</v>
      </c>
      <c r="L49" s="10">
        <v>1.25</v>
      </c>
      <c r="M49">
        <v>0.25</v>
      </c>
    </row>
    <row r="50" spans="1:18" x14ac:dyDescent="0.25">
      <c r="A50">
        <v>6</v>
      </c>
      <c r="B50" s="9" t="s">
        <v>97</v>
      </c>
      <c r="C50">
        <v>15.869</v>
      </c>
      <c r="D50">
        <v>279894</v>
      </c>
      <c r="E50" s="9">
        <v>279894</v>
      </c>
      <c r="F50">
        <v>10.833</v>
      </c>
      <c r="G50">
        <v>8946010</v>
      </c>
      <c r="H50" s="9">
        <v>8918872</v>
      </c>
      <c r="I50">
        <v>10.833</v>
      </c>
      <c r="J50">
        <v>1348714</v>
      </c>
      <c r="K50" s="9">
        <v>1348714</v>
      </c>
      <c r="L50" s="10">
        <v>10</v>
      </c>
      <c r="M50">
        <v>2</v>
      </c>
    </row>
    <row r="51" spans="1:18" x14ac:dyDescent="0.25">
      <c r="A51">
        <v>7</v>
      </c>
      <c r="B51" s="9" t="s">
        <v>98</v>
      </c>
      <c r="C51">
        <v>15.869</v>
      </c>
      <c r="D51">
        <v>282159</v>
      </c>
      <c r="E51" s="9">
        <v>282159</v>
      </c>
      <c r="F51">
        <v>10.833</v>
      </c>
      <c r="G51">
        <v>9017042</v>
      </c>
      <c r="H51" s="9">
        <v>8990727</v>
      </c>
      <c r="I51">
        <v>10.833</v>
      </c>
      <c r="J51">
        <v>1360347</v>
      </c>
      <c r="K51" s="9">
        <v>1359038</v>
      </c>
      <c r="L51" s="10">
        <v>10</v>
      </c>
      <c r="M51">
        <v>2</v>
      </c>
    </row>
    <row r="52" spans="1:18" x14ac:dyDescent="0.25">
      <c r="A52">
        <v>8</v>
      </c>
      <c r="B52" s="9" t="s">
        <v>99</v>
      </c>
      <c r="C52">
        <v>15.872</v>
      </c>
      <c r="D52">
        <v>487153</v>
      </c>
      <c r="E52" s="9">
        <v>487153</v>
      </c>
      <c r="F52">
        <v>10.837999999999999</v>
      </c>
      <c r="G52">
        <v>21292759</v>
      </c>
      <c r="H52" s="9">
        <v>21232349</v>
      </c>
      <c r="I52">
        <v>10.837999999999999</v>
      </c>
      <c r="J52">
        <v>3214076</v>
      </c>
      <c r="K52" s="9">
        <v>3209351</v>
      </c>
      <c r="L52" s="10">
        <v>25</v>
      </c>
      <c r="M52">
        <v>5</v>
      </c>
    </row>
    <row r="53" spans="1:18" x14ac:dyDescent="0.25">
      <c r="A53">
        <v>9</v>
      </c>
      <c r="B53" s="9" t="s">
        <v>100</v>
      </c>
      <c r="C53">
        <v>15.853999999999999</v>
      </c>
      <c r="D53">
        <v>588156</v>
      </c>
      <c r="E53" s="9">
        <v>588156</v>
      </c>
      <c r="F53">
        <v>10.798</v>
      </c>
      <c r="G53">
        <v>21344369</v>
      </c>
      <c r="H53" s="9">
        <v>21268193</v>
      </c>
      <c r="I53">
        <v>10.798</v>
      </c>
      <c r="J53">
        <v>3210869</v>
      </c>
      <c r="K53" s="9">
        <v>3209718</v>
      </c>
      <c r="L53" s="10">
        <v>25</v>
      </c>
      <c r="M53">
        <v>5</v>
      </c>
    </row>
    <row r="54" spans="1:18" x14ac:dyDescent="0.25">
      <c r="A54">
        <v>10</v>
      </c>
      <c r="B54" s="9" t="s">
        <v>113</v>
      </c>
      <c r="C54">
        <v>15.853</v>
      </c>
      <c r="D54">
        <v>509719</v>
      </c>
      <c r="E54" s="9">
        <v>505768</v>
      </c>
      <c r="F54" s="49">
        <v>10.795999999999999</v>
      </c>
      <c r="G54" s="49">
        <v>485398</v>
      </c>
      <c r="H54" s="50">
        <v>486020</v>
      </c>
      <c r="I54" s="49">
        <v>10.795</v>
      </c>
      <c r="J54" s="49">
        <v>0</v>
      </c>
      <c r="K54" s="50">
        <v>74093</v>
      </c>
    </row>
    <row r="55" spans="1:18" x14ac:dyDescent="0.25">
      <c r="B55" s="9"/>
      <c r="E55" s="9"/>
      <c r="F55" s="61"/>
      <c r="G55" s="61"/>
      <c r="H55" s="60"/>
      <c r="I55" s="61"/>
      <c r="J55" s="61"/>
      <c r="K55" s="60"/>
    </row>
    <row r="56" spans="1:18" x14ac:dyDescent="0.25">
      <c r="A56">
        <v>11</v>
      </c>
      <c r="B56" s="51" t="s">
        <v>101</v>
      </c>
      <c r="C56">
        <v>15.852</v>
      </c>
      <c r="D56">
        <v>270128</v>
      </c>
      <c r="E56" s="9">
        <v>268122</v>
      </c>
      <c r="F56">
        <v>10.795999999999999</v>
      </c>
      <c r="G56">
        <v>1537277</v>
      </c>
      <c r="H56" s="9">
        <v>1535444</v>
      </c>
      <c r="I56">
        <v>10.795999999999999</v>
      </c>
      <c r="J56">
        <v>232839</v>
      </c>
      <c r="K56" s="9">
        <v>233238</v>
      </c>
      <c r="N56">
        <f>(G56+11836.217)/862879.205</f>
        <v>1.7952839841585939</v>
      </c>
      <c r="O56">
        <f>(H56-11240.551)/859086.382</f>
        <v>1.7742144223629424</v>
      </c>
      <c r="R56">
        <v>12.5</v>
      </c>
    </row>
    <row r="57" spans="1:18" x14ac:dyDescent="0.25">
      <c r="A57">
        <v>12</v>
      </c>
      <c r="B57" s="51" t="s">
        <v>102</v>
      </c>
      <c r="C57">
        <v>15.851000000000001</v>
      </c>
      <c r="D57">
        <v>237239</v>
      </c>
      <c r="E57" s="9">
        <v>237239</v>
      </c>
      <c r="F57">
        <v>10.797000000000001</v>
      </c>
      <c r="G57">
        <v>1991960</v>
      </c>
      <c r="H57" s="9">
        <v>1991960</v>
      </c>
      <c r="I57">
        <v>10.797000000000001</v>
      </c>
      <c r="J57">
        <v>301629</v>
      </c>
      <c r="K57" s="9">
        <v>301629</v>
      </c>
      <c r="N57">
        <f>(G57+11836.217)/862879.205</f>
        <v>2.3222210077481238</v>
      </c>
      <c r="O57">
        <f>(H57-11240.551)/859086.382</f>
        <v>2.3056115083430573</v>
      </c>
      <c r="R57">
        <v>12.5</v>
      </c>
    </row>
    <row r="58" spans="1:18" x14ac:dyDescent="0.25">
      <c r="A58">
        <v>13</v>
      </c>
      <c r="B58" s="51" t="s">
        <v>103</v>
      </c>
      <c r="C58">
        <v>15.853</v>
      </c>
      <c r="D58">
        <v>435691</v>
      </c>
      <c r="E58" s="9">
        <v>435691</v>
      </c>
      <c r="F58">
        <v>10.791</v>
      </c>
      <c r="G58">
        <v>1217692</v>
      </c>
      <c r="H58" s="9">
        <v>1216284</v>
      </c>
      <c r="I58">
        <v>10.79</v>
      </c>
      <c r="J58">
        <v>181997</v>
      </c>
      <c r="K58" s="9">
        <v>182530</v>
      </c>
      <c r="N58">
        <f>(G58+11836.217)/862879.205</f>
        <v>1.4249134871664917</v>
      </c>
      <c r="O58">
        <f>(H58-11240.551)/859086.382</f>
        <v>1.402703469928825</v>
      </c>
      <c r="R58">
        <v>12.5</v>
      </c>
    </row>
    <row r="59" spans="1:18" ht="15.75" thickBot="1" x14ac:dyDescent="0.3">
      <c r="A59">
        <v>14</v>
      </c>
      <c r="B59" s="51" t="s">
        <v>104</v>
      </c>
      <c r="C59">
        <v>15.853999999999999</v>
      </c>
      <c r="D59">
        <v>409520</v>
      </c>
      <c r="E59" s="9">
        <v>406602</v>
      </c>
      <c r="F59">
        <v>10.795999999999999</v>
      </c>
      <c r="G59">
        <v>1289070</v>
      </c>
      <c r="H59" s="9">
        <v>1286556</v>
      </c>
      <c r="I59">
        <v>10.795999999999999</v>
      </c>
      <c r="J59">
        <v>191740</v>
      </c>
      <c r="K59" s="9">
        <v>191740</v>
      </c>
      <c r="N59">
        <f>(G59+11836.217)/862879.205</f>
        <v>1.5076342197863026</v>
      </c>
      <c r="O59">
        <f>(H59-11240.551)/859086.382</f>
        <v>1.484501996214858</v>
      </c>
      <c r="R59">
        <v>12.5</v>
      </c>
    </row>
    <row r="60" spans="1:18" ht="15.75" thickBot="1" x14ac:dyDescent="0.3">
      <c r="B60" s="9"/>
      <c r="E60" s="9"/>
      <c r="H60" s="9"/>
      <c r="K60" s="9"/>
      <c r="M60" s="59" t="s">
        <v>46</v>
      </c>
      <c r="N60" s="57">
        <f>AVERAGE(N56:N59)</f>
        <v>1.7625131747148779</v>
      </c>
      <c r="O60" s="58">
        <f>AVERAGE(O56:O59)</f>
        <v>1.7417578492124206</v>
      </c>
      <c r="R60">
        <v>12.5</v>
      </c>
    </row>
    <row r="61" spans="1:18" ht="15.75" thickBot="1" x14ac:dyDescent="0.3">
      <c r="B61" s="9"/>
      <c r="E61" s="9"/>
      <c r="H61" s="9"/>
      <c r="K61" s="9"/>
      <c r="M61" s="54" t="s">
        <v>116</v>
      </c>
      <c r="N61" s="55">
        <f>STDEV(N56:N59)</f>
        <v>0.40549706739943331</v>
      </c>
      <c r="O61" s="56">
        <f>STDEV(O56:O59)</f>
        <v>0.40829843010089689</v>
      </c>
    </row>
    <row r="62" spans="1:18" x14ac:dyDescent="0.25">
      <c r="A62">
        <v>15</v>
      </c>
      <c r="B62" s="9" t="s">
        <v>105</v>
      </c>
      <c r="C62">
        <v>15.852</v>
      </c>
      <c r="D62">
        <v>374085</v>
      </c>
      <c r="E62" s="9">
        <v>373631</v>
      </c>
      <c r="F62">
        <v>10.798</v>
      </c>
      <c r="G62">
        <v>2840377</v>
      </c>
      <c r="H62" s="9">
        <v>2826529</v>
      </c>
      <c r="I62">
        <v>10.798</v>
      </c>
      <c r="J62">
        <v>420845</v>
      </c>
      <c r="K62" s="9">
        <v>420845</v>
      </c>
      <c r="N62">
        <f>(G62+11836.217)/862879.205</f>
        <v>3.3054606026807662</v>
      </c>
      <c r="O62">
        <f>(H62-11240.551)/859086.382</f>
        <v>3.2770726064192228</v>
      </c>
      <c r="R62">
        <v>25</v>
      </c>
    </row>
    <row r="63" spans="1:18" x14ac:dyDescent="0.25">
      <c r="A63">
        <v>16</v>
      </c>
      <c r="B63" s="9" t="s">
        <v>106</v>
      </c>
      <c r="C63">
        <v>15.853</v>
      </c>
      <c r="D63">
        <v>493403</v>
      </c>
      <c r="E63" s="9">
        <v>491254</v>
      </c>
      <c r="F63">
        <v>10.798</v>
      </c>
      <c r="G63">
        <v>3645438</v>
      </c>
      <c r="H63" s="9">
        <v>3631848</v>
      </c>
      <c r="I63">
        <v>10.797000000000001</v>
      </c>
      <c r="J63">
        <v>549052</v>
      </c>
      <c r="K63" s="9">
        <v>549052</v>
      </c>
      <c r="N63">
        <f>(G63+11836.217)/862879.205</f>
        <v>4.2384544624644196</v>
      </c>
      <c r="O63">
        <f>(H63-11240.551)/859086.382</f>
        <v>4.2144859060284814</v>
      </c>
      <c r="R63">
        <v>25</v>
      </c>
    </row>
    <row r="64" spans="1:18" x14ac:dyDescent="0.25">
      <c r="A64">
        <v>17</v>
      </c>
      <c r="B64" s="9" t="s">
        <v>107</v>
      </c>
      <c r="C64">
        <v>15.852</v>
      </c>
      <c r="D64">
        <v>173044</v>
      </c>
      <c r="E64" s="9">
        <v>173044</v>
      </c>
      <c r="F64">
        <v>10.798999999999999</v>
      </c>
      <c r="G64">
        <v>3724084</v>
      </c>
      <c r="H64" s="9">
        <v>3718770</v>
      </c>
      <c r="I64" s="10">
        <v>10.798999999999999</v>
      </c>
      <c r="J64">
        <v>564690</v>
      </c>
      <c r="K64" s="9">
        <v>564690</v>
      </c>
      <c r="N64">
        <f>(G64+11836.217)/862879.205</f>
        <v>4.3295981585278795</v>
      </c>
      <c r="O64">
        <f>(H64-11240.551)/859086.382</f>
        <v>4.3156654868264459</v>
      </c>
      <c r="R64">
        <v>25</v>
      </c>
    </row>
    <row r="65" spans="1:18" ht="15.75" thickBot="1" x14ac:dyDescent="0.3">
      <c r="A65">
        <v>18</v>
      </c>
      <c r="B65" s="9" t="s">
        <v>108</v>
      </c>
      <c r="C65">
        <v>15.851000000000001</v>
      </c>
      <c r="D65">
        <v>195773</v>
      </c>
      <c r="E65" s="9">
        <v>195773</v>
      </c>
      <c r="F65">
        <v>10.798999999999999</v>
      </c>
      <c r="G65">
        <v>3662902</v>
      </c>
      <c r="H65" s="9">
        <v>3658071</v>
      </c>
      <c r="I65">
        <v>10.798</v>
      </c>
      <c r="J65">
        <v>549240</v>
      </c>
      <c r="K65" s="9">
        <v>549240</v>
      </c>
      <c r="N65">
        <f>(G65+11836.217)/862879.205</f>
        <v>4.2586936800730992</v>
      </c>
      <c r="O65">
        <f>(H65-11240.551)/859086.382</f>
        <v>4.2450101938643003</v>
      </c>
      <c r="R65">
        <v>25</v>
      </c>
    </row>
    <row r="66" spans="1:18" ht="15.75" thickBot="1" x14ac:dyDescent="0.3">
      <c r="B66" s="9"/>
      <c r="E66" s="9"/>
      <c r="H66" s="9"/>
      <c r="K66" s="9"/>
      <c r="M66" s="19" t="s">
        <v>46</v>
      </c>
      <c r="N66" s="19">
        <f>AVERAGE(N62:N65)</f>
        <v>4.0330517259365415</v>
      </c>
      <c r="O66" s="58">
        <f>AVERAGE(O62:O65)</f>
        <v>4.0130585482846124</v>
      </c>
      <c r="R66">
        <v>25</v>
      </c>
    </row>
    <row r="67" spans="1:18" ht="15.75" thickBot="1" x14ac:dyDescent="0.3">
      <c r="B67" s="9"/>
      <c r="E67" s="9"/>
      <c r="H67" s="9"/>
      <c r="K67" s="9"/>
      <c r="M67" t="s">
        <v>116</v>
      </c>
      <c r="N67" s="54">
        <f>STDEV(N62:N65)</f>
        <v>0.48663237492072436</v>
      </c>
      <c r="O67" s="56">
        <f>STDEV(O62:O65)</f>
        <v>0.49248377713110747</v>
      </c>
    </row>
    <row r="68" spans="1:18" x14ac:dyDescent="0.25">
      <c r="A68">
        <v>19</v>
      </c>
      <c r="B68" s="9" t="s">
        <v>109</v>
      </c>
      <c r="C68">
        <v>15.852</v>
      </c>
      <c r="D68">
        <v>136648</v>
      </c>
      <c r="E68" s="9">
        <v>137318</v>
      </c>
      <c r="F68">
        <v>10.798</v>
      </c>
      <c r="G68">
        <v>8169291</v>
      </c>
      <c r="H68" s="9">
        <v>8134064</v>
      </c>
      <c r="I68">
        <v>10.798</v>
      </c>
      <c r="J68">
        <v>1221462</v>
      </c>
      <c r="K68" s="9">
        <v>1221170</v>
      </c>
      <c r="N68">
        <f>(G68+11836.217)/862879.205</f>
        <v>9.4811964057008424</v>
      </c>
      <c r="O68">
        <f>(H68-11240.551)/859086.382</f>
        <v>9.4551882315834455</v>
      </c>
      <c r="R68">
        <v>50</v>
      </c>
    </row>
    <row r="69" spans="1:18" x14ac:dyDescent="0.25">
      <c r="A69">
        <v>20</v>
      </c>
      <c r="B69" s="9" t="s">
        <v>110</v>
      </c>
      <c r="C69">
        <v>15.851000000000001</v>
      </c>
      <c r="D69">
        <v>226320</v>
      </c>
      <c r="E69" s="9">
        <v>227867</v>
      </c>
      <c r="F69">
        <v>10.797000000000001</v>
      </c>
      <c r="G69">
        <v>9621603</v>
      </c>
      <c r="H69" s="9">
        <v>9565766</v>
      </c>
      <c r="I69">
        <v>10.797000000000001</v>
      </c>
      <c r="J69">
        <v>1438299</v>
      </c>
      <c r="K69" s="9">
        <v>1438299</v>
      </c>
      <c r="N69">
        <f>(G69+11836.217)/862879.205</f>
        <v>11.164296417364699</v>
      </c>
      <c r="O69">
        <f>(H69-11240.551)/859086.382</f>
        <v>11.121728442204546</v>
      </c>
      <c r="R69">
        <v>50</v>
      </c>
    </row>
    <row r="70" spans="1:18" x14ac:dyDescent="0.25">
      <c r="A70">
        <v>21</v>
      </c>
      <c r="B70" s="9" t="s">
        <v>111</v>
      </c>
      <c r="C70">
        <v>15.852</v>
      </c>
      <c r="D70">
        <v>261092</v>
      </c>
      <c r="E70" s="9">
        <v>262544</v>
      </c>
      <c r="F70">
        <v>10.795</v>
      </c>
      <c r="G70">
        <v>5105882</v>
      </c>
      <c r="H70" s="9">
        <v>5071788</v>
      </c>
      <c r="I70">
        <v>10.795</v>
      </c>
      <c r="J70">
        <v>762644</v>
      </c>
      <c r="K70" s="9">
        <v>762644</v>
      </c>
      <c r="N70">
        <f>(G70+11836.217)/862879.205</f>
        <v>5.9309787364733175</v>
      </c>
      <c r="O70">
        <f>(H70-11240.551)/859086.382</f>
        <v>5.890615373530621</v>
      </c>
      <c r="R70">
        <v>50</v>
      </c>
    </row>
    <row r="71" spans="1:18" ht="15.75" thickBot="1" x14ac:dyDescent="0.3">
      <c r="A71">
        <v>22</v>
      </c>
      <c r="B71" s="9" t="s">
        <v>112</v>
      </c>
      <c r="C71">
        <v>15.851000000000001</v>
      </c>
      <c r="D71">
        <v>229732</v>
      </c>
      <c r="E71" s="9">
        <v>229732</v>
      </c>
      <c r="F71" s="10">
        <v>10.798</v>
      </c>
      <c r="G71">
        <v>5160900</v>
      </c>
      <c r="H71" s="9">
        <v>5139561</v>
      </c>
      <c r="I71">
        <v>10.797000000000001</v>
      </c>
      <c r="J71">
        <v>771522</v>
      </c>
      <c r="K71" s="9">
        <v>771522</v>
      </c>
      <c r="N71">
        <f>(G71+11836.217)/862879.205</f>
        <v>5.9947396889695588</v>
      </c>
      <c r="O71">
        <f>(H71-11240.551)/859086.382</f>
        <v>5.9695049955989177</v>
      </c>
      <c r="R71">
        <v>50</v>
      </c>
    </row>
    <row r="72" spans="1:18" ht="15.75" thickBot="1" x14ac:dyDescent="0.3">
      <c r="A72">
        <v>23</v>
      </c>
      <c r="B72" s="9" t="s">
        <v>114</v>
      </c>
      <c r="C72">
        <v>15.851000000000001</v>
      </c>
      <c r="D72">
        <v>241496</v>
      </c>
      <c r="E72" s="9">
        <v>241496</v>
      </c>
      <c r="F72">
        <v>10.797000000000001</v>
      </c>
      <c r="G72">
        <v>0</v>
      </c>
      <c r="H72" s="9">
        <v>133944</v>
      </c>
      <c r="I72">
        <v>10.795999999999999</v>
      </c>
      <c r="J72">
        <v>0</v>
      </c>
      <c r="K72" s="9">
        <v>21373</v>
      </c>
      <c r="M72" s="19" t="s">
        <v>46</v>
      </c>
      <c r="N72" s="19">
        <f>AVERAGE(N68:N71)</f>
        <v>8.1428028121271048</v>
      </c>
      <c r="O72" s="58">
        <f>AVERAGE(O68:O71)</f>
        <v>8.1092592607293827</v>
      </c>
      <c r="R72">
        <v>50</v>
      </c>
    </row>
    <row r="73" spans="1:18" ht="15.75" thickBot="1" x14ac:dyDescent="0.3">
      <c r="B73" s="9"/>
      <c r="E73" s="9"/>
      <c r="H73" s="9"/>
      <c r="K73" s="9"/>
      <c r="M73" t="s">
        <v>116</v>
      </c>
      <c r="N73" s="54">
        <f>STDEV(N68:N71)</f>
        <v>2.6094100189201122</v>
      </c>
      <c r="O73" s="56">
        <f>STDEV(O68:O71)</f>
        <v>2.6068770829781718</v>
      </c>
    </row>
  </sheetData>
  <pageMargins left="0.7" right="0.7" top="0.78740157499999996" bottom="0.78740157499999996" header="0.3" footer="0.3"/>
  <ignoredErrors>
    <ignoredError sqref="N27:O2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2470D-3376-41C1-BD65-A688C97B0F6B}">
  <dimension ref="A1:CF66"/>
  <sheetViews>
    <sheetView tabSelected="1" topLeftCell="AC4" zoomScale="70" zoomScaleNormal="70" workbookViewId="0">
      <selection activeCell="AO33" activeCellId="1" sqref="AO17:AO24 AO33:AO44"/>
    </sheetView>
  </sheetViews>
  <sheetFormatPr baseColWidth="10" defaultRowHeight="15" x14ac:dyDescent="0.25"/>
  <cols>
    <col min="2" max="2" width="34.5703125" bestFit="1" customWidth="1"/>
    <col min="4" max="4" width="13.28515625" bestFit="1" customWidth="1"/>
    <col min="6" max="6" width="13.28515625" bestFit="1" customWidth="1"/>
    <col min="7" max="7" width="11.42578125" style="8"/>
    <col min="8" max="8" width="13.28515625" style="8" bestFit="1" customWidth="1"/>
    <col min="9" max="11" width="13.28515625" style="8" customWidth="1"/>
    <col min="12" max="12" width="12" bestFit="1" customWidth="1"/>
    <col min="13" max="13" width="33.7109375" customWidth="1"/>
    <col min="14" max="14" width="12.85546875" customWidth="1"/>
    <col min="15" max="15" width="16" customWidth="1"/>
    <col min="16" max="16" width="15.7109375" bestFit="1" customWidth="1"/>
    <col min="17" max="17" width="15.42578125" bestFit="1" customWidth="1"/>
    <col min="18" max="18" width="16.140625" bestFit="1" customWidth="1"/>
    <col min="20" max="20" width="15" bestFit="1" customWidth="1"/>
    <col min="22" max="22" width="15.140625" bestFit="1" customWidth="1"/>
    <col min="24" max="24" width="13.5703125" bestFit="1" customWidth="1"/>
    <col min="29" max="29" width="12" bestFit="1" customWidth="1"/>
    <col min="30" max="30" width="28.140625" bestFit="1" customWidth="1"/>
    <col min="31" max="31" width="16.7109375" customWidth="1"/>
    <col min="32" max="32" width="17.42578125" customWidth="1"/>
    <col min="33" max="33" width="13.28515625" customWidth="1"/>
    <col min="35" max="35" width="14.85546875" bestFit="1" customWidth="1"/>
    <col min="40" max="40" width="14" bestFit="1" customWidth="1"/>
    <col min="41" max="41" width="14.85546875" bestFit="1" customWidth="1"/>
    <col min="46" max="46" width="13" bestFit="1" customWidth="1"/>
    <col min="47" max="47" width="12.85546875" bestFit="1" customWidth="1"/>
    <col min="65" max="65" width="36.42578125" bestFit="1" customWidth="1"/>
    <col min="66" max="66" width="15.140625" bestFit="1" customWidth="1"/>
    <col min="68" max="68" width="13.28515625" bestFit="1" customWidth="1"/>
  </cols>
  <sheetData>
    <row r="1" spans="1:76" x14ac:dyDescent="0.25">
      <c r="A1" t="s">
        <v>5</v>
      </c>
      <c r="G1" s="139" t="s">
        <v>364</v>
      </c>
      <c r="M1" s="136" t="s">
        <v>359</v>
      </c>
      <c r="O1" s="8"/>
      <c r="P1" s="8"/>
      <c r="Q1" s="61"/>
      <c r="R1" s="152"/>
      <c r="AD1" s="136" t="s">
        <v>359</v>
      </c>
      <c r="AT1" s="8" t="s">
        <v>402</v>
      </c>
      <c r="AU1" s="8">
        <v>20</v>
      </c>
      <c r="AZ1" t="s">
        <v>78</v>
      </c>
      <c r="BA1" t="s">
        <v>411</v>
      </c>
    </row>
    <row r="2" spans="1:76" x14ac:dyDescent="0.25">
      <c r="A2" t="s">
        <v>6</v>
      </c>
      <c r="H2" t="s">
        <v>76</v>
      </c>
      <c r="I2" t="s">
        <v>77</v>
      </c>
      <c r="M2" s="145" t="s">
        <v>367</v>
      </c>
      <c r="Q2" s="61"/>
      <c r="R2" s="152"/>
      <c r="AC2" s="149" t="s">
        <v>370</v>
      </c>
      <c r="AD2" s="145" t="s">
        <v>367</v>
      </c>
      <c r="AE2" t="s">
        <v>374</v>
      </c>
      <c r="AF2" t="s">
        <v>368</v>
      </c>
      <c r="AG2" s="151"/>
      <c r="AM2" t="s">
        <v>391</v>
      </c>
      <c r="AN2">
        <v>8</v>
      </c>
      <c r="BA2" t="s">
        <v>396</v>
      </c>
      <c r="BB2" t="s">
        <v>409</v>
      </c>
      <c r="BC2" t="s">
        <v>410</v>
      </c>
      <c r="BD2" t="s">
        <v>275</v>
      </c>
    </row>
    <row r="3" spans="1:76" ht="15.75" thickBot="1" x14ac:dyDescent="0.3">
      <c r="A3" t="s">
        <v>7</v>
      </c>
      <c r="M3" s="137" t="s">
        <v>360</v>
      </c>
      <c r="AC3" s="149" t="s">
        <v>371</v>
      </c>
      <c r="AD3" s="148" t="s">
        <v>360</v>
      </c>
      <c r="AE3" s="61" t="s">
        <v>375</v>
      </c>
      <c r="AF3" t="s">
        <v>368</v>
      </c>
      <c r="AM3" t="s">
        <v>392</v>
      </c>
      <c r="AN3">
        <v>8</v>
      </c>
      <c r="BA3">
        <v>2.5</v>
      </c>
      <c r="BB3">
        <f>AVERAGE(AN17:AN20)</f>
        <v>0.84070245529578946</v>
      </c>
      <c r="BC3">
        <f>AVERAGE(AU17:AU20)</f>
        <v>0.66371901788168419</v>
      </c>
      <c r="BD3">
        <f>BC3/BB3</f>
        <v>0.78948147909020183</v>
      </c>
      <c r="BR3" t="s">
        <v>64</v>
      </c>
      <c r="BU3" t="s">
        <v>69</v>
      </c>
      <c r="BV3" s="17" t="s">
        <v>87</v>
      </c>
      <c r="BW3" s="4" t="s">
        <v>72</v>
      </c>
    </row>
    <row r="4" spans="1:76" ht="15.75" thickBot="1" x14ac:dyDescent="0.3">
      <c r="A4" t="s">
        <v>8</v>
      </c>
      <c r="C4" s="8"/>
      <c r="D4" s="8"/>
      <c r="E4" s="8"/>
      <c r="F4" s="8"/>
      <c r="M4" s="144"/>
      <c r="AC4" s="149" t="s">
        <v>372</v>
      </c>
      <c r="AD4" s="154" t="s">
        <v>373</v>
      </c>
      <c r="AE4" s="61" t="s">
        <v>376</v>
      </c>
      <c r="AF4" t="s">
        <v>369</v>
      </c>
      <c r="AG4" s="143" t="s">
        <v>365</v>
      </c>
      <c r="AM4" t="s">
        <v>393</v>
      </c>
      <c r="AN4">
        <f>SUM(AN2:AN3)</f>
        <v>16</v>
      </c>
      <c r="BA4">
        <v>7.5</v>
      </c>
      <c r="BB4">
        <f>AVERAGE(AN21:AN24)</f>
        <v>2.8894922347266716</v>
      </c>
      <c r="BC4">
        <f>AVERAGE(AU21:AU24)</f>
        <v>1.8442031061093314</v>
      </c>
      <c r="BD4">
        <f t="shared" ref="BD4:BD7" si="0">BC4/BB4</f>
        <v>0.63824470055507232</v>
      </c>
      <c r="BM4" s="35" t="s">
        <v>55</v>
      </c>
      <c r="BN4" t="s">
        <v>56</v>
      </c>
      <c r="BO4" t="s">
        <v>57</v>
      </c>
      <c r="BP4" t="s">
        <v>61</v>
      </c>
      <c r="BR4" t="s">
        <v>66</v>
      </c>
      <c r="BS4" t="s">
        <v>65</v>
      </c>
      <c r="BT4" t="s">
        <v>68</v>
      </c>
      <c r="BU4" t="s">
        <v>68</v>
      </c>
      <c r="BV4" s="18" t="s">
        <v>71</v>
      </c>
      <c r="BW4" s="9" t="s">
        <v>73</v>
      </c>
      <c r="BX4" s="10" t="s">
        <v>88</v>
      </c>
    </row>
    <row r="5" spans="1:76" x14ac:dyDescent="0.25">
      <c r="A5" s="1"/>
      <c r="B5" s="2"/>
      <c r="C5" s="8" t="s">
        <v>11</v>
      </c>
      <c r="E5" s="8" t="s">
        <v>14</v>
      </c>
      <c r="F5" s="9"/>
      <c r="G5" s="8" t="s">
        <v>9</v>
      </c>
      <c r="H5" s="9"/>
      <c r="I5" s="14" t="s">
        <v>362</v>
      </c>
      <c r="M5" s="35" t="s">
        <v>53</v>
      </c>
      <c r="N5" t="s">
        <v>377</v>
      </c>
      <c r="O5" s="135" t="s">
        <v>357</v>
      </c>
      <c r="P5" s="48" t="s">
        <v>366</v>
      </c>
      <c r="AC5" s="149" t="s">
        <v>386</v>
      </c>
      <c r="AD5" s="147" t="s">
        <v>387</v>
      </c>
      <c r="AE5" s="8"/>
      <c r="AF5" s="8"/>
      <c r="AJ5" s="108" t="s">
        <v>400</v>
      </c>
      <c r="AM5" s="10" t="s">
        <v>394</v>
      </c>
      <c r="AN5">
        <f>AN4/AN3</f>
        <v>2</v>
      </c>
      <c r="BA5">
        <v>12.5</v>
      </c>
      <c r="BB5">
        <f>AVERAGE(AN33:AN36)</f>
        <v>3.4108880204705283</v>
      </c>
      <c r="BC5">
        <f>AVERAGE(AU33:AU36)</f>
        <v>3.6356447918117887</v>
      </c>
      <c r="BD5">
        <f t="shared" si="0"/>
        <v>1.065893916772517</v>
      </c>
      <c r="BM5" t="s">
        <v>54</v>
      </c>
      <c r="BN5" t="s">
        <v>12</v>
      </c>
      <c r="BO5" t="s">
        <v>59</v>
      </c>
      <c r="BP5" t="s">
        <v>60</v>
      </c>
      <c r="BR5" t="s">
        <v>63</v>
      </c>
      <c r="BS5" t="s">
        <v>67</v>
      </c>
      <c r="BT5" t="s">
        <v>67</v>
      </c>
      <c r="BU5" t="s">
        <v>70</v>
      </c>
      <c r="BV5" s="18" t="s">
        <v>70</v>
      </c>
      <c r="BW5" s="9" t="s">
        <v>74</v>
      </c>
      <c r="BX5" s="10" t="s">
        <v>89</v>
      </c>
    </row>
    <row r="6" spans="1:76" x14ac:dyDescent="0.25">
      <c r="A6" s="5" t="s">
        <v>2</v>
      </c>
      <c r="B6" s="6" t="s">
        <v>3</v>
      </c>
      <c r="C6" s="7" t="s">
        <v>12</v>
      </c>
      <c r="D6" s="6" t="s">
        <v>13</v>
      </c>
      <c r="E6" s="7" t="s">
        <v>15</v>
      </c>
      <c r="F6" s="6" t="s">
        <v>16</v>
      </c>
      <c r="G6" s="7" t="s">
        <v>17</v>
      </c>
      <c r="H6" s="6" t="s">
        <v>18</v>
      </c>
      <c r="I6" s="87" t="s">
        <v>363</v>
      </c>
      <c r="L6" s="93">
        <v>44382</v>
      </c>
      <c r="M6" t="s">
        <v>54</v>
      </c>
      <c r="N6" t="s">
        <v>56</v>
      </c>
      <c r="O6" s="135" t="s">
        <v>358</v>
      </c>
      <c r="P6" s="142" t="s">
        <v>358</v>
      </c>
      <c r="Q6" t="s">
        <v>57</v>
      </c>
      <c r="R6" t="s">
        <v>58</v>
      </c>
      <c r="S6" t="s">
        <v>62</v>
      </c>
      <c r="AG6" s="153" t="s">
        <v>46</v>
      </c>
      <c r="AH6" t="s">
        <v>379</v>
      </c>
      <c r="AI6" s="9"/>
      <c r="AJ6" s="156" t="s">
        <v>46</v>
      </c>
      <c r="AK6" s="9"/>
      <c r="AL6" s="10" t="s">
        <v>388</v>
      </c>
      <c r="AN6" s="146" t="s">
        <v>390</v>
      </c>
      <c r="AT6" t="s">
        <v>401</v>
      </c>
      <c r="AV6" t="s">
        <v>401</v>
      </c>
      <c r="AW6" s="9"/>
      <c r="BA6">
        <v>25</v>
      </c>
      <c r="BB6">
        <f>AVERAGE(AN37:AN40)</f>
        <v>10.81518409873895</v>
      </c>
      <c r="BC6">
        <f>AVERAGE(AU37:AU40)</f>
        <v>5.6739263605044208</v>
      </c>
      <c r="BD6">
        <f t="shared" si="0"/>
        <v>0.52462596186097288</v>
      </c>
      <c r="BM6" s="16" t="s">
        <v>21</v>
      </c>
      <c r="BN6" s="17">
        <v>0</v>
      </c>
      <c r="BO6" s="3">
        <v>0</v>
      </c>
      <c r="BP6" s="3">
        <f>BO6*8</f>
        <v>0</v>
      </c>
      <c r="BQ6" s="3"/>
      <c r="BR6" s="41">
        <v>0</v>
      </c>
      <c r="BS6" s="41">
        <f>BR6</f>
        <v>0</v>
      </c>
      <c r="BT6" s="3">
        <f>BS6*2</f>
        <v>0</v>
      </c>
      <c r="BU6" s="3">
        <f>BT6*8</f>
        <v>0</v>
      </c>
      <c r="BV6" s="32">
        <f>BP6-BU6</f>
        <v>0</v>
      </c>
      <c r="BW6" s="4">
        <f>BV6/20</f>
        <v>0</v>
      </c>
    </row>
    <row r="7" spans="1:76" x14ac:dyDescent="0.25">
      <c r="A7">
        <v>1</v>
      </c>
      <c r="B7" s="4" t="s">
        <v>19</v>
      </c>
      <c r="C7">
        <v>0</v>
      </c>
      <c r="D7" s="9">
        <v>6254</v>
      </c>
      <c r="E7" s="10">
        <v>0</v>
      </c>
      <c r="F7" s="4">
        <v>0</v>
      </c>
      <c r="G7" s="8">
        <v>236336</v>
      </c>
      <c r="H7" s="89">
        <v>236336</v>
      </c>
      <c r="I7" s="14">
        <f>F7/D7</f>
        <v>0</v>
      </c>
      <c r="L7" s="10" t="s">
        <v>2</v>
      </c>
      <c r="N7" s="6" t="s">
        <v>13</v>
      </c>
      <c r="O7" s="6" t="s">
        <v>13</v>
      </c>
      <c r="P7" s="6" t="s">
        <v>13</v>
      </c>
      <c r="Q7" t="s">
        <v>59</v>
      </c>
      <c r="R7" t="s">
        <v>60</v>
      </c>
      <c r="S7" t="s">
        <v>59</v>
      </c>
      <c r="AE7" s="9" t="s">
        <v>377</v>
      </c>
      <c r="AF7" s="150" t="s">
        <v>367</v>
      </c>
      <c r="AG7" s="89" t="s">
        <v>378</v>
      </c>
      <c r="AH7" t="s">
        <v>380</v>
      </c>
      <c r="AI7" s="9"/>
      <c r="AJ7" s="155" t="s">
        <v>381</v>
      </c>
      <c r="AK7" s="9"/>
      <c r="AL7" s="10" t="s">
        <v>389</v>
      </c>
      <c r="AN7" t="s">
        <v>395</v>
      </c>
      <c r="AP7" t="s">
        <v>399</v>
      </c>
      <c r="AR7" t="s">
        <v>396</v>
      </c>
      <c r="AS7" s="9"/>
      <c r="AT7" s="10" t="s">
        <v>384</v>
      </c>
      <c r="AV7" s="10" t="s">
        <v>385</v>
      </c>
      <c r="AW7" s="9"/>
      <c r="AX7" t="s">
        <v>403</v>
      </c>
      <c r="BA7">
        <v>50</v>
      </c>
      <c r="BB7">
        <f>AVERAGE(AN41:AN44)</f>
        <v>27.91539639814269</v>
      </c>
      <c r="BC7">
        <f>AVERAGE(AU41:AU44)</f>
        <v>8.8338414407429227</v>
      </c>
      <c r="BD7">
        <f t="shared" si="0"/>
        <v>0.31645051049071504</v>
      </c>
      <c r="BM7" s="14" t="s">
        <v>22</v>
      </c>
      <c r="BN7" s="42">
        <v>0</v>
      </c>
      <c r="BO7" s="10">
        <v>0</v>
      </c>
      <c r="BP7" s="8">
        <f t="shared" ref="BP7:BP17" si="1">BO7*8</f>
        <v>0</v>
      </c>
      <c r="BQ7" s="8"/>
      <c r="BR7" s="22">
        <v>0</v>
      </c>
      <c r="BS7" s="22">
        <f t="shared" ref="BS7:BS17" si="2">BR7</f>
        <v>0</v>
      </c>
      <c r="BT7" s="8">
        <f t="shared" ref="BT7:BT17" si="3">BS7*2</f>
        <v>0</v>
      </c>
      <c r="BU7" s="8">
        <f t="shared" ref="BU7:BU17" si="4">BT7*8</f>
        <v>0</v>
      </c>
      <c r="BV7" s="33">
        <f t="shared" ref="BV7:BV17" si="5">BP7-BU7</f>
        <v>0</v>
      </c>
      <c r="BW7" s="9">
        <f t="shared" ref="BW7:BW17" si="6">BV7/20</f>
        <v>0</v>
      </c>
    </row>
    <row r="8" spans="1:76" x14ac:dyDescent="0.25">
      <c r="A8">
        <v>2</v>
      </c>
      <c r="B8" s="9" t="s">
        <v>20</v>
      </c>
      <c r="C8">
        <v>0</v>
      </c>
      <c r="D8" s="9">
        <v>0</v>
      </c>
      <c r="E8" s="10">
        <v>0</v>
      </c>
      <c r="F8" s="9">
        <v>0</v>
      </c>
      <c r="G8" s="8">
        <v>361174</v>
      </c>
      <c r="H8" s="89">
        <v>371280</v>
      </c>
      <c r="I8" s="14"/>
      <c r="L8">
        <v>1</v>
      </c>
      <c r="M8" s="4" t="s">
        <v>19</v>
      </c>
      <c r="N8" s="9">
        <v>6254</v>
      </c>
      <c r="O8" s="16">
        <f t="shared" ref="O8:O17" si="7">IF(N8&lt;=0,0,N8*((-825.198*0+373367.105)/(-825.198*L8+373367.105)))</f>
        <v>6267.8529067335221</v>
      </c>
      <c r="P8" s="16">
        <f t="shared" ref="P8:P17" si="8">IF(AVERAGE($O$8:$O$9,$O$16:$O$17)&gt;0,IF(O8-AVERAGE($O$8:$O$9,$O$16:$O$17)&lt;=0,0,O8-AVERAGE($O$8:$O$9,$O$16:$O$17)),O8)</f>
        <v>0</v>
      </c>
      <c r="Q8">
        <v>0</v>
      </c>
      <c r="R8">
        <f>Q8*5</f>
        <v>0</v>
      </c>
      <c r="S8">
        <f>Q8*5</f>
        <v>0</v>
      </c>
      <c r="AC8" s="93">
        <v>44382</v>
      </c>
      <c r="AD8" s="35" t="s">
        <v>55</v>
      </c>
      <c r="AE8" s="9" t="s">
        <v>56</v>
      </c>
      <c r="AF8" s="9" t="s">
        <v>56</v>
      </c>
      <c r="AG8" s="9" t="s">
        <v>56</v>
      </c>
      <c r="AH8" s="10" t="s">
        <v>382</v>
      </c>
      <c r="AI8" s="60" t="s">
        <v>383</v>
      </c>
      <c r="AJ8" s="10" t="s">
        <v>384</v>
      </c>
      <c r="AK8" s="60" t="s">
        <v>385</v>
      </c>
      <c r="AL8" s="10" t="s">
        <v>384</v>
      </c>
      <c r="AM8" s="60" t="s">
        <v>385</v>
      </c>
      <c r="AN8" s="10" t="s">
        <v>384</v>
      </c>
      <c r="AO8" s="60" t="s">
        <v>385</v>
      </c>
      <c r="AP8" s="10" t="s">
        <v>384</v>
      </c>
      <c r="AQ8" s="60" t="s">
        <v>385</v>
      </c>
      <c r="AR8" s="10" t="s">
        <v>397</v>
      </c>
      <c r="AS8" s="9"/>
      <c r="AT8" s="10" t="s">
        <v>264</v>
      </c>
      <c r="AU8" s="60" t="s">
        <v>72</v>
      </c>
      <c r="AV8" s="10" t="s">
        <v>264</v>
      </c>
      <c r="AW8" s="60" t="s">
        <v>72</v>
      </c>
      <c r="AX8" s="10" t="s">
        <v>384</v>
      </c>
      <c r="AY8" s="60" t="s">
        <v>385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M8" s="14" t="s">
        <v>29</v>
      </c>
      <c r="BN8" s="18">
        <v>0</v>
      </c>
      <c r="BO8" s="8">
        <v>0</v>
      </c>
      <c r="BP8" s="8">
        <f t="shared" si="1"/>
        <v>0</v>
      </c>
      <c r="BQ8" s="8"/>
      <c r="BR8" s="22">
        <v>0</v>
      </c>
      <c r="BS8" s="22">
        <f t="shared" si="2"/>
        <v>0</v>
      </c>
      <c r="BT8" s="8">
        <f t="shared" si="3"/>
        <v>0</v>
      </c>
      <c r="BU8" s="8">
        <f t="shared" si="4"/>
        <v>0</v>
      </c>
      <c r="BV8" s="33">
        <f t="shared" si="5"/>
        <v>0</v>
      </c>
      <c r="BW8" s="9">
        <f t="shared" si="6"/>
        <v>0</v>
      </c>
    </row>
    <row r="9" spans="1:76" x14ac:dyDescent="0.25">
      <c r="A9" s="140">
        <v>3</v>
      </c>
      <c r="B9" s="141" t="s">
        <v>21</v>
      </c>
      <c r="C9">
        <v>0</v>
      </c>
      <c r="D9" s="9">
        <v>36781</v>
      </c>
      <c r="E9">
        <v>0</v>
      </c>
      <c r="F9" s="9">
        <v>0</v>
      </c>
      <c r="G9" s="8">
        <v>433796</v>
      </c>
      <c r="H9" s="9">
        <v>430719</v>
      </c>
      <c r="I9" s="14">
        <f t="shared" ref="I9:I60" si="9">F9/D9</f>
        <v>0</v>
      </c>
      <c r="L9">
        <v>2</v>
      </c>
      <c r="M9" s="9" t="s">
        <v>20</v>
      </c>
      <c r="N9" s="9">
        <v>0</v>
      </c>
      <c r="O9" s="14">
        <f t="shared" si="7"/>
        <v>0</v>
      </c>
      <c r="P9" s="14">
        <f t="shared" si="8"/>
        <v>0</v>
      </c>
      <c r="Q9">
        <v>0</v>
      </c>
      <c r="R9">
        <f t="shared" ref="R9:R17" si="10">Q9*5</f>
        <v>0</v>
      </c>
      <c r="S9">
        <f t="shared" ref="S9:S17" si="11">Q9*5</f>
        <v>0</v>
      </c>
      <c r="AC9" t="s">
        <v>2</v>
      </c>
      <c r="AD9" t="s">
        <v>361</v>
      </c>
      <c r="AE9" s="6" t="s">
        <v>13</v>
      </c>
      <c r="AF9" s="6" t="s">
        <v>13</v>
      </c>
      <c r="AG9" s="6" t="s">
        <v>13</v>
      </c>
      <c r="AH9" s="44" t="s">
        <v>321</v>
      </c>
      <c r="AI9" s="96" t="s">
        <v>321</v>
      </c>
      <c r="AJ9" s="5"/>
      <c r="AK9" s="6"/>
      <c r="AL9" s="43" t="s">
        <v>59</v>
      </c>
      <c r="AM9" s="96" t="s">
        <v>59</v>
      </c>
      <c r="AN9" s="43" t="s">
        <v>59</v>
      </c>
      <c r="AO9" s="96" t="s">
        <v>59</v>
      </c>
      <c r="AP9" s="96" t="s">
        <v>398</v>
      </c>
      <c r="AQ9" s="96" t="s">
        <v>398</v>
      </c>
      <c r="AR9" s="43" t="s">
        <v>59</v>
      </c>
      <c r="AS9" s="96" t="s">
        <v>398</v>
      </c>
      <c r="AT9" s="44" t="s">
        <v>398</v>
      </c>
      <c r="AU9" s="96" t="s">
        <v>59</v>
      </c>
      <c r="AV9" s="44" t="s">
        <v>398</v>
      </c>
      <c r="AW9" s="96" t="s">
        <v>59</v>
      </c>
      <c r="AX9" s="5" t="s">
        <v>404</v>
      </c>
      <c r="AY9" s="6" t="s">
        <v>404</v>
      </c>
      <c r="AZ9" s="10"/>
      <c r="BA9" t="s">
        <v>412</v>
      </c>
      <c r="BE9" s="10"/>
      <c r="BF9" s="10"/>
      <c r="BG9" s="10"/>
      <c r="BH9" s="10"/>
      <c r="BI9" s="10"/>
      <c r="BJ9" s="10"/>
      <c r="BK9" s="10"/>
      <c r="BM9" s="15" t="s">
        <v>30</v>
      </c>
      <c r="BN9" s="43">
        <v>0</v>
      </c>
      <c r="BO9" s="44">
        <v>0</v>
      </c>
      <c r="BP9" s="7">
        <f t="shared" si="1"/>
        <v>0</v>
      </c>
      <c r="BQ9" s="7"/>
      <c r="BR9" s="45">
        <v>0</v>
      </c>
      <c r="BS9" s="45">
        <f t="shared" si="2"/>
        <v>0</v>
      </c>
      <c r="BT9" s="7">
        <f t="shared" si="3"/>
        <v>0</v>
      </c>
      <c r="BU9" s="7">
        <f t="shared" si="4"/>
        <v>0</v>
      </c>
      <c r="BV9" s="46">
        <f t="shared" si="5"/>
        <v>0</v>
      </c>
      <c r="BW9" s="6">
        <f t="shared" si="6"/>
        <v>0</v>
      </c>
    </row>
    <row r="10" spans="1:76" x14ac:dyDescent="0.25">
      <c r="A10" s="140">
        <v>4</v>
      </c>
      <c r="B10" s="141" t="s">
        <v>22</v>
      </c>
      <c r="C10" s="10">
        <v>0</v>
      </c>
      <c r="D10" s="9">
        <v>25142</v>
      </c>
      <c r="E10" s="10">
        <v>0</v>
      </c>
      <c r="F10" s="9">
        <v>0</v>
      </c>
      <c r="G10" s="8">
        <v>378102</v>
      </c>
      <c r="H10" s="9">
        <v>378002</v>
      </c>
      <c r="I10" s="14">
        <f t="shared" si="9"/>
        <v>0</v>
      </c>
      <c r="L10">
        <v>5</v>
      </c>
      <c r="M10" s="60" t="s">
        <v>23</v>
      </c>
      <c r="N10" s="9">
        <v>853878</v>
      </c>
      <c r="O10" s="14">
        <f t="shared" si="7"/>
        <v>863419.44039246545</v>
      </c>
      <c r="P10" s="14">
        <f t="shared" si="8"/>
        <v>850789.56123388512</v>
      </c>
      <c r="Q10">
        <v>0.5</v>
      </c>
      <c r="R10">
        <f t="shared" si="10"/>
        <v>2.5</v>
      </c>
      <c r="S10">
        <f t="shared" si="11"/>
        <v>2.5</v>
      </c>
      <c r="AC10" s="61">
        <v>1</v>
      </c>
      <c r="AD10" s="77" t="s">
        <v>19</v>
      </c>
      <c r="AE10" s="16">
        <v>6254</v>
      </c>
      <c r="AF10" s="4">
        <f>IF(AE10&lt;=0,0,AE10*((-825.198*0+373367.105)/(-825.198*AC10+373367.105)))</f>
        <v>6267.8529067335221</v>
      </c>
      <c r="AG10" s="16">
        <f t="shared" ref="AG10:AG25" si="12">IF(AVERAGE($AF$10:$AF$11,$AF$16,$AF$25)&gt;0,IF(AF10-AVERAGE($AF$10:$AF$11,$AF$16,$AF$25)&lt;=0,0,AF10-AVERAGE($AF$10:$AF$11,$AF$16,$AF$25)),AF10)</f>
        <v>0</v>
      </c>
      <c r="AH10">
        <f>IF(AG10&lt;=0,0,(AG10+17006.802)/443042.843)</f>
        <v>0</v>
      </c>
      <c r="AI10" s="4">
        <f>IF(AG10&lt;=0,0,(AG10+24506.334)/441773.056)</f>
        <v>0</v>
      </c>
      <c r="AJ10" s="8">
        <f>IF(AVERAGE($AH$12:$AH$15)&gt;0,IF(AH10-MAX($AH$12:$AH$15)&lt;=0,0,AH10-MAX($AH$12:$AH$15)),AH10)</f>
        <v>0</v>
      </c>
      <c r="AK10" s="4">
        <f>IF(AVERAGE($AI$12:$AI$15)&gt;0,IF(AI10-MAX($AI$12:$AI$15)&lt;=0,0,AI10-MAX($AI$12:$AI$15)),AI10)</f>
        <v>0</v>
      </c>
      <c r="AL10">
        <f>AJ10</f>
        <v>0</v>
      </c>
      <c r="AM10" s="9">
        <f>AK10</f>
        <v>0</v>
      </c>
      <c r="AN10">
        <f>AL10*$AN$5</f>
        <v>0</v>
      </c>
      <c r="AO10" s="9">
        <f>AM10*$AN$5</f>
        <v>0</v>
      </c>
      <c r="AP10" s="17">
        <f>AN10*$AN$2</f>
        <v>0</v>
      </c>
      <c r="AQ10" s="4">
        <f>AO10*$AN$2</f>
        <v>0</v>
      </c>
      <c r="AR10">
        <v>0</v>
      </c>
      <c r="AS10" s="9">
        <f>AR10*$AN$2</f>
        <v>0</v>
      </c>
      <c r="AT10">
        <f>AS10-AP10</f>
        <v>0</v>
      </c>
      <c r="AU10" s="9">
        <f>AT10/$AU$1</f>
        <v>0</v>
      </c>
      <c r="AV10">
        <f>AS10-AQ10</f>
        <v>0</v>
      </c>
      <c r="AW10" s="9">
        <f>AV10/$AU$1</f>
        <v>0</v>
      </c>
      <c r="AY10" s="9"/>
      <c r="BA10" t="s">
        <v>396</v>
      </c>
      <c r="BB10" t="s">
        <v>409</v>
      </c>
      <c r="BC10" t="s">
        <v>410</v>
      </c>
      <c r="BD10" t="s">
        <v>275</v>
      </c>
      <c r="BM10" s="36" t="s">
        <v>31</v>
      </c>
      <c r="BN10" s="17">
        <v>180679</v>
      </c>
      <c r="BO10" s="3">
        <v>2.5</v>
      </c>
      <c r="BP10" s="3">
        <f t="shared" si="1"/>
        <v>20</v>
      </c>
      <c r="BQ10" s="3"/>
      <c r="BR10" s="38">
        <v>0.4914901072268959</v>
      </c>
      <c r="BS10" s="38">
        <f>BR10</f>
        <v>0.4914901072268959</v>
      </c>
      <c r="BT10" s="38">
        <f t="shared" si="3"/>
        <v>0.9829802144537918</v>
      </c>
      <c r="BU10" s="38">
        <f>BT10*8</f>
        <v>7.8638417156303344</v>
      </c>
      <c r="BV10" s="24">
        <f t="shared" si="5"/>
        <v>12.136158284369666</v>
      </c>
      <c r="BW10" s="25">
        <f t="shared" si="6"/>
        <v>0.60680791421848324</v>
      </c>
      <c r="BX10">
        <f>BW10/BT10</f>
        <v>0.61731447418365937</v>
      </c>
    </row>
    <row r="11" spans="1:76" x14ac:dyDescent="0.25">
      <c r="A11">
        <v>5</v>
      </c>
      <c r="B11" s="60" t="s">
        <v>23</v>
      </c>
      <c r="C11">
        <v>853878</v>
      </c>
      <c r="D11" s="9">
        <v>853878</v>
      </c>
      <c r="E11" s="10">
        <v>0</v>
      </c>
      <c r="F11" s="9">
        <v>127562</v>
      </c>
      <c r="G11" s="8">
        <v>512563</v>
      </c>
      <c r="H11" s="9">
        <v>509270</v>
      </c>
      <c r="I11" s="14">
        <f t="shared" si="9"/>
        <v>0.14939136504278128</v>
      </c>
      <c r="L11">
        <v>6</v>
      </c>
      <c r="M11" s="60" t="s">
        <v>24</v>
      </c>
      <c r="N11" s="9">
        <v>984415</v>
      </c>
      <c r="O11" s="14">
        <f t="shared" si="7"/>
        <v>997644.67741108756</v>
      </c>
      <c r="P11" s="14">
        <f t="shared" si="8"/>
        <v>985014.79825250723</v>
      </c>
      <c r="Q11">
        <v>0.5</v>
      </c>
      <c r="R11">
        <f t="shared" si="10"/>
        <v>2.5</v>
      </c>
      <c r="S11">
        <f t="shared" si="11"/>
        <v>2.5</v>
      </c>
      <c r="AC11" s="61">
        <v>2</v>
      </c>
      <c r="AD11" s="60" t="s">
        <v>20</v>
      </c>
      <c r="AE11" s="14">
        <v>0</v>
      </c>
      <c r="AF11" s="14">
        <f t="shared" ref="AF11:AF25" si="13">IF(AE11&lt;=0,0,AE11*((-825.198*0+373367.105)/(-825.198*AC11+373367.105)))</f>
        <v>0</v>
      </c>
      <c r="AG11" s="14">
        <f t="shared" si="12"/>
        <v>0</v>
      </c>
      <c r="AH11">
        <f t="shared" ref="AH11:AH25" si="14">IF(AG11&lt;=0,0,(AG11+17006.802)/443042.843)</f>
        <v>0</v>
      </c>
      <c r="AI11" s="9">
        <f t="shared" ref="AI11:AI25" si="15">IF(AG11&lt;=0,0,(AG11+24506.334)/441773.056)</f>
        <v>0</v>
      </c>
      <c r="AJ11" s="8">
        <f t="shared" ref="AJ11:AJ25" si="16">IF(AVERAGE($AH$12:$AH$15)&gt;0,IF(AH11-MAX($AH$12:$AH$15)&lt;=0,0,AH11-MAX($AH$12:$AH$15)),AH11)</f>
        <v>0</v>
      </c>
      <c r="AK11" s="9">
        <f t="shared" ref="AK11:AK25" si="17">IF(AVERAGE($AI$12:$AI$15)&gt;0,IF(AI11-MAX($AI$12:$AI$15)&lt;=0,0,AI11-MAX($AI$12:$AI$15)),AI11)</f>
        <v>0</v>
      </c>
      <c r="AL11">
        <f t="shared" ref="AL11:AL45" si="18">AJ11</f>
        <v>0</v>
      </c>
      <c r="AM11" s="9">
        <f t="shared" ref="AM11:AM45" si="19">AK11</f>
        <v>0</v>
      </c>
      <c r="AN11">
        <f t="shared" ref="AN11:AN25" si="20">AL11*$AN$5</f>
        <v>0</v>
      </c>
      <c r="AO11" s="9">
        <f t="shared" ref="AO11:AO25" si="21">AM11*$AN$5</f>
        <v>0</v>
      </c>
      <c r="AP11" s="8">
        <f t="shared" ref="AP11:AP45" si="22">AN11*$AN$2</f>
        <v>0</v>
      </c>
      <c r="AQ11" s="9">
        <f t="shared" ref="AQ11:AQ45" si="23">AO11*$AN$2</f>
        <v>0</v>
      </c>
      <c r="AR11" s="8">
        <v>0</v>
      </c>
      <c r="AS11" s="9">
        <f>AR11*$AN$2</f>
        <v>0</v>
      </c>
      <c r="AT11">
        <f t="shared" ref="AT11:AT45" si="24">AS11-AP11</f>
        <v>0</v>
      </c>
      <c r="AU11" s="9">
        <f t="shared" ref="AU11:AU45" si="25">AT11/$AU$1</f>
        <v>0</v>
      </c>
      <c r="AV11">
        <f t="shared" ref="AV11:AV45" si="26">AS11-AQ11</f>
        <v>0</v>
      </c>
      <c r="AW11" s="9">
        <f t="shared" ref="AW11:AW45" si="27">AV11/$AU$1</f>
        <v>0</v>
      </c>
      <c r="AY11" s="9"/>
      <c r="BA11">
        <v>2.5</v>
      </c>
      <c r="BB11">
        <f>AVERAGE(AO17:AO20)</f>
        <v>0.84311888389890166</v>
      </c>
      <c r="BC11">
        <f>AVERAGE(AW17:AW20)</f>
        <v>0.66275244644043929</v>
      </c>
      <c r="BD11">
        <f>BC11/BB11</f>
        <v>0.78607235479725046</v>
      </c>
      <c r="BM11" s="37" t="s">
        <v>32</v>
      </c>
      <c r="BN11" s="18">
        <v>207828</v>
      </c>
      <c r="BO11" s="8">
        <v>2.5</v>
      </c>
      <c r="BP11" s="8">
        <f t="shared" si="1"/>
        <v>20</v>
      </c>
      <c r="BQ11" s="8"/>
      <c r="BR11" s="28">
        <v>0.55315299320617817</v>
      </c>
      <c r="BS11" s="28">
        <f t="shared" si="2"/>
        <v>0.55315299320617817</v>
      </c>
      <c r="BT11" s="28">
        <f t="shared" si="3"/>
        <v>1.1063059864123563</v>
      </c>
      <c r="BU11" s="28">
        <f t="shared" si="4"/>
        <v>8.8504478912988507</v>
      </c>
      <c r="BV11" s="26">
        <f>BP11-BU11</f>
        <v>11.149552108701149</v>
      </c>
      <c r="BW11" s="27">
        <f>BV11/20</f>
        <v>0.55747760543505742</v>
      </c>
      <c r="BX11">
        <f t="shared" ref="BX11:BX17" si="28">BW11/BT11</f>
        <v>0.50390905615805581</v>
      </c>
    </row>
    <row r="12" spans="1:76" x14ac:dyDescent="0.25">
      <c r="A12">
        <v>6</v>
      </c>
      <c r="B12" s="60" t="s">
        <v>24</v>
      </c>
      <c r="C12">
        <v>985732</v>
      </c>
      <c r="D12" s="9">
        <v>984415</v>
      </c>
      <c r="E12">
        <v>148744</v>
      </c>
      <c r="F12" s="9">
        <v>148677</v>
      </c>
      <c r="G12" s="8">
        <v>299955</v>
      </c>
      <c r="H12" s="9">
        <v>299955</v>
      </c>
      <c r="I12" s="14">
        <f t="shared" si="9"/>
        <v>0.15103081525576104</v>
      </c>
      <c r="L12">
        <v>7</v>
      </c>
      <c r="M12" s="60" t="s">
        <v>25</v>
      </c>
      <c r="N12" s="9">
        <v>110241</v>
      </c>
      <c r="O12" s="14">
        <f t="shared" si="7"/>
        <v>111973.34670004278</v>
      </c>
      <c r="P12" s="14">
        <f t="shared" si="8"/>
        <v>99343.46754146248</v>
      </c>
      <c r="Q12">
        <v>0.05</v>
      </c>
      <c r="R12">
        <f t="shared" si="10"/>
        <v>0.25</v>
      </c>
      <c r="S12">
        <f t="shared" si="11"/>
        <v>0.25</v>
      </c>
      <c r="AC12" s="61">
        <v>3</v>
      </c>
      <c r="AD12" s="141" t="s">
        <v>21</v>
      </c>
      <c r="AE12" s="14">
        <v>36781</v>
      </c>
      <c r="AF12" s="14">
        <f t="shared" si="13"/>
        <v>37026.502580170942</v>
      </c>
      <c r="AG12" s="14">
        <f t="shared" si="12"/>
        <v>24396.623421590644</v>
      </c>
      <c r="AH12">
        <f t="shared" si="14"/>
        <v>9.3452419051018601E-2</v>
      </c>
      <c r="AI12" s="9">
        <f t="shared" si="15"/>
        <v>0.11069701231754309</v>
      </c>
      <c r="AJ12" s="8">
        <f t="shared" si="16"/>
        <v>0</v>
      </c>
      <c r="AK12" s="9">
        <f t="shared" si="17"/>
        <v>0</v>
      </c>
      <c r="AL12">
        <f t="shared" si="18"/>
        <v>0</v>
      </c>
      <c r="AM12" s="9">
        <f t="shared" si="19"/>
        <v>0</v>
      </c>
      <c r="AN12">
        <f t="shared" si="20"/>
        <v>0</v>
      </c>
      <c r="AO12" s="9">
        <f t="shared" si="21"/>
        <v>0</v>
      </c>
      <c r="AP12" s="8">
        <f t="shared" si="22"/>
        <v>0</v>
      </c>
      <c r="AQ12" s="9">
        <f t="shared" si="23"/>
        <v>0</v>
      </c>
      <c r="AR12" s="8">
        <v>0</v>
      </c>
      <c r="AS12" s="9">
        <f t="shared" ref="AS12:AS45" si="29">AR12*$AN$2</f>
        <v>0</v>
      </c>
      <c r="AT12">
        <f t="shared" si="24"/>
        <v>0</v>
      </c>
      <c r="AU12" s="9">
        <f t="shared" si="25"/>
        <v>0</v>
      </c>
      <c r="AV12">
        <f t="shared" si="26"/>
        <v>0</v>
      </c>
      <c r="AW12" s="9">
        <f t="shared" si="27"/>
        <v>0</v>
      </c>
      <c r="AY12" s="9"/>
      <c r="BA12">
        <v>7.5</v>
      </c>
      <c r="BB12">
        <f>AVERAGE(AO21:AO24)</f>
        <v>2.8977974937876882</v>
      </c>
      <c r="BC12">
        <f>AVERAGE(AW21:AW24)</f>
        <v>1.8408810024849247</v>
      </c>
      <c r="BD12">
        <f t="shared" ref="BD12:BD15" si="30">BC12/BB12</f>
        <v>0.63526902981709865</v>
      </c>
      <c r="BM12" s="37" t="s">
        <v>34</v>
      </c>
      <c r="BN12" s="18">
        <v>194928</v>
      </c>
      <c r="BO12" s="8">
        <v>2.5</v>
      </c>
      <c r="BP12" s="8">
        <f t="shared" si="1"/>
        <v>20</v>
      </c>
      <c r="BQ12" s="8"/>
      <c r="BR12" s="28">
        <v>0.52385352622276293</v>
      </c>
      <c r="BS12" s="28">
        <f t="shared" si="2"/>
        <v>0.52385352622276293</v>
      </c>
      <c r="BT12" s="28">
        <f t="shared" si="3"/>
        <v>1.0477070524455259</v>
      </c>
      <c r="BU12" s="28">
        <f t="shared" si="4"/>
        <v>8.3816564195642069</v>
      </c>
      <c r="BV12" s="26">
        <f t="shared" si="5"/>
        <v>11.618343580435793</v>
      </c>
      <c r="BW12" s="27">
        <f t="shared" si="6"/>
        <v>0.58091717902178963</v>
      </c>
      <c r="BX12">
        <f t="shared" si="28"/>
        <v>0.55446527506503884</v>
      </c>
    </row>
    <row r="13" spans="1:76" x14ac:dyDescent="0.25">
      <c r="A13">
        <v>7</v>
      </c>
      <c r="B13" s="60" t="s">
        <v>25</v>
      </c>
      <c r="C13">
        <v>109206</v>
      </c>
      <c r="D13" s="9">
        <v>110241</v>
      </c>
      <c r="E13">
        <v>0</v>
      </c>
      <c r="F13" s="9">
        <v>16872</v>
      </c>
      <c r="G13" s="8">
        <v>351518</v>
      </c>
      <c r="H13" s="9">
        <v>350977</v>
      </c>
      <c r="I13" s="14">
        <f t="shared" si="9"/>
        <v>0.1530465071978665</v>
      </c>
      <c r="L13">
        <v>8</v>
      </c>
      <c r="M13" s="60" t="s">
        <v>26</v>
      </c>
      <c r="N13" s="9">
        <v>117133</v>
      </c>
      <c r="O13" s="14">
        <f t="shared" si="7"/>
        <v>119241.33160260993</v>
      </c>
      <c r="P13" s="14">
        <f t="shared" si="8"/>
        <v>106611.45244402964</v>
      </c>
      <c r="Q13">
        <v>0.05</v>
      </c>
      <c r="R13">
        <f t="shared" si="10"/>
        <v>0.25</v>
      </c>
      <c r="S13">
        <f t="shared" si="11"/>
        <v>0.25</v>
      </c>
      <c r="AC13" s="61">
        <v>4</v>
      </c>
      <c r="AD13" s="141" t="s">
        <v>22</v>
      </c>
      <c r="AE13" s="14">
        <v>25142</v>
      </c>
      <c r="AF13" s="14">
        <f t="shared" si="13"/>
        <v>25366.253085322038</v>
      </c>
      <c r="AG13" s="14">
        <f t="shared" si="12"/>
        <v>12736.37392674174</v>
      </c>
      <c r="AH13">
        <f t="shared" si="14"/>
        <v>6.7133859392333628E-2</v>
      </c>
      <c r="AI13" s="9">
        <f t="shared" si="15"/>
        <v>8.4302805299972264E-2</v>
      </c>
      <c r="AJ13" s="8">
        <f t="shared" si="16"/>
        <v>0</v>
      </c>
      <c r="AK13" s="9">
        <f t="shared" si="17"/>
        <v>0</v>
      </c>
      <c r="AL13">
        <f t="shared" si="18"/>
        <v>0</v>
      </c>
      <c r="AM13" s="9">
        <f t="shared" si="19"/>
        <v>0</v>
      </c>
      <c r="AN13">
        <f t="shared" si="20"/>
        <v>0</v>
      </c>
      <c r="AO13" s="9">
        <f t="shared" si="21"/>
        <v>0</v>
      </c>
      <c r="AP13" s="8">
        <f t="shared" si="22"/>
        <v>0</v>
      </c>
      <c r="AQ13" s="9">
        <f t="shared" si="23"/>
        <v>0</v>
      </c>
      <c r="AR13" s="8">
        <v>0</v>
      </c>
      <c r="AS13" s="9">
        <f t="shared" si="29"/>
        <v>0</v>
      </c>
      <c r="AT13">
        <f t="shared" si="24"/>
        <v>0</v>
      </c>
      <c r="AU13" s="9">
        <f t="shared" si="25"/>
        <v>0</v>
      </c>
      <c r="AV13">
        <f t="shared" si="26"/>
        <v>0</v>
      </c>
      <c r="AW13" s="9">
        <f t="shared" si="27"/>
        <v>0</v>
      </c>
      <c r="AY13" s="9"/>
      <c r="BA13">
        <v>12.5</v>
      </c>
      <c r="BB13">
        <f>AVERAGE(AO33:AO36)</f>
        <v>3.7718593423588977</v>
      </c>
      <c r="BC13">
        <f>AVERAGE(AW33:AW36)</f>
        <v>3.4912562630564405</v>
      </c>
      <c r="BD13">
        <f t="shared" si="30"/>
        <v>0.92560616559816633</v>
      </c>
      <c r="BM13" s="15" t="s">
        <v>35</v>
      </c>
      <c r="BN13" s="5">
        <v>275736</v>
      </c>
      <c r="BO13" s="7">
        <v>2.5</v>
      </c>
      <c r="BP13" s="7">
        <f t="shared" si="1"/>
        <v>20</v>
      </c>
      <c r="BQ13" s="7"/>
      <c r="BR13" s="39">
        <v>0.70739083847050077</v>
      </c>
      <c r="BS13" s="39">
        <f t="shared" si="2"/>
        <v>0.70739083847050077</v>
      </c>
      <c r="BT13" s="39">
        <f t="shared" si="3"/>
        <v>1.4147816769410015</v>
      </c>
      <c r="BU13" s="39">
        <f t="shared" si="4"/>
        <v>11.318253415528012</v>
      </c>
      <c r="BV13" s="47">
        <f t="shared" si="5"/>
        <v>8.6817465844719877</v>
      </c>
      <c r="BW13" s="40">
        <f t="shared" si="6"/>
        <v>0.43408732922359938</v>
      </c>
      <c r="BX13">
        <f t="shared" si="28"/>
        <v>0.30682283796760074</v>
      </c>
    </row>
    <row r="14" spans="1:76" x14ac:dyDescent="0.25">
      <c r="A14">
        <v>8</v>
      </c>
      <c r="B14" s="60" t="s">
        <v>26</v>
      </c>
      <c r="C14">
        <v>117140</v>
      </c>
      <c r="D14" s="9">
        <v>117133</v>
      </c>
      <c r="F14" s="9">
        <v>18301</v>
      </c>
      <c r="G14" s="8">
        <v>414390</v>
      </c>
      <c r="H14" s="9">
        <v>412871</v>
      </c>
      <c r="I14" s="14">
        <f t="shared" si="9"/>
        <v>0.15624119590550911</v>
      </c>
      <c r="L14">
        <v>9</v>
      </c>
      <c r="M14" s="60" t="s">
        <v>27</v>
      </c>
      <c r="N14" s="9">
        <v>2313151</v>
      </c>
      <c r="O14" s="14">
        <f t="shared" si="7"/>
        <v>2360096.5458454136</v>
      </c>
      <c r="P14" s="14">
        <f t="shared" si="8"/>
        <v>2347466.6666868334</v>
      </c>
      <c r="Q14">
        <v>1</v>
      </c>
      <c r="R14">
        <f t="shared" si="10"/>
        <v>5</v>
      </c>
      <c r="S14">
        <f t="shared" si="11"/>
        <v>5</v>
      </c>
      <c r="AC14" s="61">
        <v>11</v>
      </c>
      <c r="AD14" s="141" t="s">
        <v>29</v>
      </c>
      <c r="AE14" s="14">
        <v>33430</v>
      </c>
      <c r="AF14" s="14">
        <f t="shared" si="13"/>
        <v>34262.99053322438</v>
      </c>
      <c r="AG14" s="14">
        <f t="shared" si="12"/>
        <v>21633.111374644082</v>
      </c>
      <c r="AH14">
        <f t="shared" si="14"/>
        <v>8.7214846115106021E-2</v>
      </c>
      <c r="AI14" s="9">
        <f t="shared" si="15"/>
        <v>0.10444151074402348</v>
      </c>
      <c r="AJ14" s="8">
        <f t="shared" si="16"/>
        <v>0</v>
      </c>
      <c r="AK14" s="9">
        <f t="shared" si="17"/>
        <v>0</v>
      </c>
      <c r="AL14">
        <f t="shared" si="18"/>
        <v>0</v>
      </c>
      <c r="AM14" s="9">
        <f t="shared" si="19"/>
        <v>0</v>
      </c>
      <c r="AN14">
        <f t="shared" si="20"/>
        <v>0</v>
      </c>
      <c r="AO14" s="9">
        <f t="shared" si="21"/>
        <v>0</v>
      </c>
      <c r="AP14" s="8">
        <f t="shared" si="22"/>
        <v>0</v>
      </c>
      <c r="AQ14" s="9">
        <f t="shared" si="23"/>
        <v>0</v>
      </c>
      <c r="AR14" s="8">
        <v>0</v>
      </c>
      <c r="AS14" s="9">
        <f t="shared" si="29"/>
        <v>0</v>
      </c>
      <c r="AT14">
        <f t="shared" si="24"/>
        <v>0</v>
      </c>
      <c r="AU14" s="9">
        <f t="shared" si="25"/>
        <v>0</v>
      </c>
      <c r="AV14">
        <f t="shared" si="26"/>
        <v>0</v>
      </c>
      <c r="AW14" s="9">
        <f t="shared" si="27"/>
        <v>0</v>
      </c>
      <c r="AY14" s="9"/>
      <c r="BA14">
        <v>25</v>
      </c>
      <c r="BB14">
        <f>AVERAGE(AO37:AO40)</f>
        <v>11.200653979131209</v>
      </c>
      <c r="BC14">
        <f>AVERAGE(AW37:AW40)</f>
        <v>5.5197384083475169</v>
      </c>
      <c r="BD14">
        <f t="shared" si="30"/>
        <v>0.49280501108522429</v>
      </c>
      <c r="BM14" s="16" t="s">
        <v>36</v>
      </c>
      <c r="BN14" s="17">
        <v>742742</v>
      </c>
      <c r="BO14" s="3">
        <v>7.5</v>
      </c>
      <c r="BP14" s="3">
        <f t="shared" si="1"/>
        <v>60</v>
      </c>
      <c r="BQ14" s="3"/>
      <c r="BR14" s="38">
        <v>1.7680905964594018</v>
      </c>
      <c r="BS14" s="38">
        <f t="shared" si="2"/>
        <v>1.7680905964594018</v>
      </c>
      <c r="BT14" s="38">
        <f t="shared" si="3"/>
        <v>3.5361811929188036</v>
      </c>
      <c r="BU14" s="38">
        <f t="shared" si="4"/>
        <v>28.289449543350429</v>
      </c>
      <c r="BV14" s="24">
        <f t="shared" si="5"/>
        <v>31.710550456649571</v>
      </c>
      <c r="BW14" s="25">
        <f t="shared" si="6"/>
        <v>1.5855275228324786</v>
      </c>
      <c r="BX14">
        <f t="shared" si="28"/>
        <v>0.44837281698333065</v>
      </c>
    </row>
    <row r="15" spans="1:76" x14ac:dyDescent="0.25">
      <c r="A15">
        <v>9</v>
      </c>
      <c r="B15" s="60" t="s">
        <v>27</v>
      </c>
      <c r="C15">
        <v>2317099</v>
      </c>
      <c r="D15" s="9">
        <v>2313151</v>
      </c>
      <c r="E15">
        <v>353493</v>
      </c>
      <c r="F15" s="9">
        <v>353493</v>
      </c>
      <c r="G15" s="8">
        <v>289350</v>
      </c>
      <c r="H15" s="9">
        <v>289350</v>
      </c>
      <c r="I15" s="14">
        <f t="shared" si="9"/>
        <v>0.15281881727565558</v>
      </c>
      <c r="L15">
        <v>10</v>
      </c>
      <c r="M15" s="60" t="s">
        <v>40</v>
      </c>
      <c r="N15" s="9">
        <v>2145706</v>
      </c>
      <c r="O15" s="14">
        <f t="shared" si="7"/>
        <v>2194201.1780561814</v>
      </c>
      <c r="P15" s="14">
        <f t="shared" si="8"/>
        <v>2181571.2988976012</v>
      </c>
      <c r="Q15">
        <v>1</v>
      </c>
      <c r="R15">
        <f t="shared" si="10"/>
        <v>5</v>
      </c>
      <c r="S15">
        <f t="shared" si="11"/>
        <v>5</v>
      </c>
      <c r="AC15" s="61">
        <v>12</v>
      </c>
      <c r="AD15" s="141" t="s">
        <v>30</v>
      </c>
      <c r="AE15" s="14">
        <v>0</v>
      </c>
      <c r="AF15" s="14">
        <f t="shared" si="13"/>
        <v>0</v>
      </c>
      <c r="AG15" s="14">
        <f t="shared" si="12"/>
        <v>0</v>
      </c>
      <c r="AH15">
        <f t="shared" si="14"/>
        <v>0</v>
      </c>
      <c r="AI15" s="9">
        <f t="shared" si="15"/>
        <v>0</v>
      </c>
      <c r="AJ15" s="8">
        <f t="shared" si="16"/>
        <v>0</v>
      </c>
      <c r="AK15" s="9">
        <f t="shared" si="17"/>
        <v>0</v>
      </c>
      <c r="AL15">
        <f t="shared" si="18"/>
        <v>0</v>
      </c>
      <c r="AM15" s="9">
        <f t="shared" si="19"/>
        <v>0</v>
      </c>
      <c r="AN15">
        <f t="shared" si="20"/>
        <v>0</v>
      </c>
      <c r="AO15" s="9">
        <f t="shared" si="21"/>
        <v>0</v>
      </c>
      <c r="AP15" s="8">
        <f t="shared" si="22"/>
        <v>0</v>
      </c>
      <c r="AQ15" s="9">
        <f t="shared" si="23"/>
        <v>0</v>
      </c>
      <c r="AR15" s="8">
        <v>0</v>
      </c>
      <c r="AS15" s="9">
        <f t="shared" si="29"/>
        <v>0</v>
      </c>
      <c r="AT15">
        <f t="shared" si="24"/>
        <v>0</v>
      </c>
      <c r="AU15" s="9">
        <f>AT15/$AU$1</f>
        <v>0</v>
      </c>
      <c r="AV15">
        <f t="shared" si="26"/>
        <v>0</v>
      </c>
      <c r="AW15" s="9">
        <f t="shared" si="27"/>
        <v>0</v>
      </c>
      <c r="AY15" s="9"/>
      <c r="BA15">
        <v>50</v>
      </c>
      <c r="BB15">
        <f>AVERAGE(AO41:AO44)</f>
        <v>28.357445667989055</v>
      </c>
      <c r="BC15">
        <f>AVERAGE(AW41:AW44)</f>
        <v>8.6570217328043775</v>
      </c>
      <c r="BD15">
        <f t="shared" si="30"/>
        <v>0.3052821412112145</v>
      </c>
      <c r="BM15" s="14" t="s">
        <v>37</v>
      </c>
      <c r="BN15" s="18">
        <v>666333</v>
      </c>
      <c r="BO15" s="8">
        <v>7.5</v>
      </c>
      <c r="BP15" s="8">
        <f t="shared" si="1"/>
        <v>60</v>
      </c>
      <c r="BQ15" s="8"/>
      <c r="BR15" s="28">
        <v>1.5945446295806596</v>
      </c>
      <c r="BS15" s="28">
        <f t="shared" si="2"/>
        <v>1.5945446295806596</v>
      </c>
      <c r="BT15" s="28">
        <f>BS15*2</f>
        <v>3.1890892591613191</v>
      </c>
      <c r="BU15" s="28">
        <f t="shared" si="4"/>
        <v>25.512714073290553</v>
      </c>
      <c r="BV15" s="26">
        <f t="shared" si="5"/>
        <v>34.487285926709447</v>
      </c>
      <c r="BW15" s="27">
        <f t="shared" si="6"/>
        <v>1.7243642963354724</v>
      </c>
      <c r="BX15">
        <f t="shared" si="28"/>
        <v>0.54070744222096601</v>
      </c>
    </row>
    <row r="16" spans="1:76" x14ac:dyDescent="0.25">
      <c r="A16">
        <v>10</v>
      </c>
      <c r="B16" s="60" t="s">
        <v>40</v>
      </c>
      <c r="C16">
        <v>2155583</v>
      </c>
      <c r="D16" s="9">
        <v>2145706</v>
      </c>
      <c r="E16">
        <v>320694</v>
      </c>
      <c r="F16" s="9">
        <v>320694</v>
      </c>
      <c r="G16" s="8">
        <v>326195</v>
      </c>
      <c r="H16" s="9">
        <v>321995</v>
      </c>
      <c r="I16" s="14">
        <f t="shared" si="9"/>
        <v>0.14945849990632454</v>
      </c>
      <c r="L16">
        <v>13</v>
      </c>
      <c r="M16" s="60" t="s">
        <v>28</v>
      </c>
      <c r="N16" s="9">
        <v>0</v>
      </c>
      <c r="O16" s="14">
        <f t="shared" si="7"/>
        <v>0</v>
      </c>
      <c r="P16" s="14">
        <f t="shared" si="8"/>
        <v>0</v>
      </c>
      <c r="Q16">
        <v>0</v>
      </c>
      <c r="R16">
        <f t="shared" si="10"/>
        <v>0</v>
      </c>
      <c r="S16">
        <f t="shared" si="11"/>
        <v>0</v>
      </c>
      <c r="AC16" s="61">
        <v>13</v>
      </c>
      <c r="AD16" s="96" t="s">
        <v>28</v>
      </c>
      <c r="AE16" s="15">
        <v>0</v>
      </c>
      <c r="AF16" s="15">
        <f t="shared" si="13"/>
        <v>0</v>
      </c>
      <c r="AG16" s="15">
        <f t="shared" si="12"/>
        <v>0</v>
      </c>
      <c r="AH16" s="7">
        <f t="shared" si="14"/>
        <v>0</v>
      </c>
      <c r="AI16" s="6">
        <f t="shared" si="15"/>
        <v>0</v>
      </c>
      <c r="AJ16" s="7">
        <f t="shared" si="16"/>
        <v>0</v>
      </c>
      <c r="AK16" s="6">
        <f t="shared" si="17"/>
        <v>0</v>
      </c>
      <c r="AL16" s="7">
        <f t="shared" si="18"/>
        <v>0</v>
      </c>
      <c r="AM16" s="6">
        <f t="shared" si="19"/>
        <v>0</v>
      </c>
      <c r="AN16" s="7">
        <f t="shared" si="20"/>
        <v>0</v>
      </c>
      <c r="AO16" s="6">
        <f t="shared" si="21"/>
        <v>0</v>
      </c>
      <c r="AP16" s="7">
        <f t="shared" si="22"/>
        <v>0</v>
      </c>
      <c r="AQ16" s="6">
        <f t="shared" si="23"/>
        <v>0</v>
      </c>
      <c r="AR16" s="7">
        <v>0</v>
      </c>
      <c r="AS16" s="6">
        <f t="shared" si="29"/>
        <v>0</v>
      </c>
      <c r="AT16" s="7">
        <f t="shared" si="24"/>
        <v>0</v>
      </c>
      <c r="AU16" s="6">
        <f t="shared" si="25"/>
        <v>0</v>
      </c>
      <c r="AV16" s="7">
        <f t="shared" si="26"/>
        <v>0</v>
      </c>
      <c r="AW16" s="6">
        <f t="shared" si="27"/>
        <v>0</v>
      </c>
      <c r="AX16" s="7"/>
      <c r="AY16" s="6"/>
      <c r="BM16" s="14" t="s">
        <v>38</v>
      </c>
      <c r="BN16" s="18">
        <v>568617</v>
      </c>
      <c r="BO16" s="8">
        <v>7.5</v>
      </c>
      <c r="BP16" s="8">
        <f t="shared" si="1"/>
        <v>60</v>
      </c>
      <c r="BQ16" s="8"/>
      <c r="BR16" s="28">
        <v>1.3726045740960544</v>
      </c>
      <c r="BS16" s="28">
        <f t="shared" si="2"/>
        <v>1.3726045740960544</v>
      </c>
      <c r="BT16" s="28">
        <f t="shared" si="3"/>
        <v>2.7452091481921088</v>
      </c>
      <c r="BU16" s="28">
        <f t="shared" si="4"/>
        <v>21.961673185536871</v>
      </c>
      <c r="BV16" s="26">
        <f t="shared" si="5"/>
        <v>38.038326814463133</v>
      </c>
      <c r="BW16" s="27">
        <f t="shared" si="6"/>
        <v>1.9019163407231567</v>
      </c>
      <c r="BX16">
        <f>BW16/BT16</f>
        <v>0.69281291080342167</v>
      </c>
    </row>
    <row r="17" spans="1:82" x14ac:dyDescent="0.25">
      <c r="A17" s="140">
        <v>11</v>
      </c>
      <c r="B17" s="141" t="s">
        <v>29</v>
      </c>
      <c r="C17">
        <v>0</v>
      </c>
      <c r="D17" s="9">
        <v>33430</v>
      </c>
      <c r="E17">
        <v>0</v>
      </c>
      <c r="F17" s="9">
        <v>5230</v>
      </c>
      <c r="G17" s="8">
        <v>440913</v>
      </c>
      <c r="H17" s="9">
        <v>440913</v>
      </c>
      <c r="I17" s="14">
        <f t="shared" si="9"/>
        <v>0.15644630571343104</v>
      </c>
      <c r="L17">
        <v>22</v>
      </c>
      <c r="M17" s="9" t="s">
        <v>33</v>
      </c>
      <c r="N17" s="9">
        <v>42100</v>
      </c>
      <c r="O17" s="14">
        <f t="shared" si="7"/>
        <v>44251.663727587664</v>
      </c>
      <c r="P17" s="14">
        <f t="shared" si="8"/>
        <v>31621.784569007366</v>
      </c>
      <c r="Q17">
        <v>0</v>
      </c>
      <c r="R17">
        <f t="shared" si="10"/>
        <v>0</v>
      </c>
      <c r="S17">
        <f t="shared" si="11"/>
        <v>0</v>
      </c>
      <c r="AC17" s="61">
        <v>14</v>
      </c>
      <c r="AD17" s="60" t="s">
        <v>31</v>
      </c>
      <c r="AE17" s="14">
        <v>181013</v>
      </c>
      <c r="AF17" s="14">
        <f t="shared" si="13"/>
        <v>186792.76527545688</v>
      </c>
      <c r="AG17" s="14">
        <f t="shared" si="12"/>
        <v>174162.88611687659</v>
      </c>
      <c r="AH17">
        <f t="shared" si="14"/>
        <v>0.43149255458546382</v>
      </c>
      <c r="AI17" s="9">
        <f t="shared" si="15"/>
        <v>0.44970877562274103</v>
      </c>
      <c r="AJ17" s="8">
        <f t="shared" si="16"/>
        <v>0.33804013553444523</v>
      </c>
      <c r="AK17" s="9">
        <f t="shared" si="17"/>
        <v>0.33901176330519794</v>
      </c>
      <c r="AL17">
        <f t="shared" si="18"/>
        <v>0.33804013553444523</v>
      </c>
      <c r="AM17" s="9">
        <f t="shared" si="19"/>
        <v>0.33901176330519794</v>
      </c>
      <c r="AN17">
        <f t="shared" si="20"/>
        <v>0.67608027106889046</v>
      </c>
      <c r="AO17" s="9">
        <f t="shared" si="21"/>
        <v>0.67802352661039589</v>
      </c>
      <c r="AP17" s="8">
        <f t="shared" si="22"/>
        <v>5.4086421685511237</v>
      </c>
      <c r="AQ17" s="9">
        <f t="shared" si="23"/>
        <v>5.4241882128831671</v>
      </c>
      <c r="AR17" s="8">
        <v>2.5</v>
      </c>
      <c r="AS17" s="9">
        <f t="shared" si="29"/>
        <v>20</v>
      </c>
      <c r="AT17">
        <f>AS17-AP17</f>
        <v>14.591357831448876</v>
      </c>
      <c r="AU17" s="9">
        <f t="shared" si="25"/>
        <v>0.72956789157244384</v>
      </c>
      <c r="AV17">
        <f t="shared" si="26"/>
        <v>14.575811787116834</v>
      </c>
      <c r="AW17" s="9">
        <f t="shared" si="27"/>
        <v>0.72879058935584173</v>
      </c>
      <c r="AX17">
        <f>AU17/AN17</f>
        <v>1.0791143046061511</v>
      </c>
      <c r="AY17" s="9">
        <f>AW17/AO17</f>
        <v>1.0748750754995815</v>
      </c>
      <c r="BA17" t="s">
        <v>405</v>
      </c>
      <c r="BB17" t="s">
        <v>406</v>
      </c>
      <c r="BM17" s="15" t="s">
        <v>39</v>
      </c>
      <c r="BN17" s="5">
        <v>616447</v>
      </c>
      <c r="BO17" s="7">
        <v>7.5</v>
      </c>
      <c r="BP17" s="7">
        <f t="shared" si="1"/>
        <v>60</v>
      </c>
      <c r="BQ17" s="7"/>
      <c r="BR17" s="39">
        <v>1.4812397295857251</v>
      </c>
      <c r="BS17" s="39">
        <f t="shared" si="2"/>
        <v>1.4812397295857251</v>
      </c>
      <c r="BT17" s="39">
        <f t="shared" si="3"/>
        <v>2.9624794591714503</v>
      </c>
      <c r="BU17" s="39">
        <f t="shared" si="4"/>
        <v>23.699835673371602</v>
      </c>
      <c r="BV17" s="47">
        <f t="shared" si="5"/>
        <v>36.300164326628398</v>
      </c>
      <c r="BW17" s="40">
        <f t="shared" si="6"/>
        <v>1.8150082163314198</v>
      </c>
      <c r="BX17">
        <f t="shared" si="28"/>
        <v>0.61266524927705102</v>
      </c>
    </row>
    <row r="18" spans="1:82" x14ac:dyDescent="0.25">
      <c r="A18" s="140">
        <v>12</v>
      </c>
      <c r="B18" s="141" t="s">
        <v>30</v>
      </c>
      <c r="C18" s="10">
        <v>0</v>
      </c>
      <c r="D18" s="9">
        <v>0</v>
      </c>
      <c r="E18" s="10">
        <v>0</v>
      </c>
      <c r="F18" s="9">
        <v>0</v>
      </c>
      <c r="G18" s="8">
        <v>499398</v>
      </c>
      <c r="H18" s="9">
        <v>497774</v>
      </c>
      <c r="I18" s="14"/>
      <c r="AC18" s="61">
        <v>15</v>
      </c>
      <c r="AD18" s="60" t="s">
        <v>32</v>
      </c>
      <c r="AE18" s="14">
        <v>208827</v>
      </c>
      <c r="AF18" s="14">
        <f t="shared" si="13"/>
        <v>215987.47684147058</v>
      </c>
      <c r="AG18" s="14">
        <f t="shared" si="12"/>
        <v>203357.59768289028</v>
      </c>
      <c r="AH18">
        <f t="shared" si="14"/>
        <v>0.49738846516676555</v>
      </c>
      <c r="AI18" s="9">
        <f t="shared" si="15"/>
        <v>0.51579409062668202</v>
      </c>
      <c r="AJ18" s="8">
        <f t="shared" si="16"/>
        <v>0.40393604611574696</v>
      </c>
      <c r="AK18" s="9">
        <f t="shared" si="17"/>
        <v>0.40509707830913894</v>
      </c>
      <c r="AL18">
        <f t="shared" si="18"/>
        <v>0.40393604611574696</v>
      </c>
      <c r="AM18" s="9">
        <f t="shared" si="19"/>
        <v>0.40509707830913894</v>
      </c>
      <c r="AN18">
        <f t="shared" si="20"/>
        <v>0.80787209223149392</v>
      </c>
      <c r="AO18" s="9">
        <f t="shared" si="21"/>
        <v>0.81019415661827787</v>
      </c>
      <c r="AP18" s="8">
        <f t="shared" si="22"/>
        <v>6.4629767378519514</v>
      </c>
      <c r="AQ18" s="9">
        <f t="shared" si="23"/>
        <v>6.481553252946223</v>
      </c>
      <c r="AR18" s="8">
        <v>2.5</v>
      </c>
      <c r="AS18" s="9">
        <f t="shared" si="29"/>
        <v>20</v>
      </c>
      <c r="AT18">
        <f t="shared" si="24"/>
        <v>13.537023262148049</v>
      </c>
      <c r="AU18" s="9">
        <f t="shared" si="25"/>
        <v>0.67685116310740245</v>
      </c>
      <c r="AV18">
        <f t="shared" si="26"/>
        <v>13.518446747053776</v>
      </c>
      <c r="AW18" s="9">
        <f t="shared" si="27"/>
        <v>0.67592233735268881</v>
      </c>
      <c r="AX18">
        <f t="shared" ref="AX18:AX44" si="31">AU18/AN18</f>
        <v>0.83781971133303157</v>
      </c>
      <c r="AY18" s="9">
        <f t="shared" ref="AY18:AY44" si="32">AW18/AO18</f>
        <v>0.83427204680661371</v>
      </c>
      <c r="AZ18" t="s">
        <v>46</v>
      </c>
      <c r="BA18">
        <f>AVERAGE(AX17:AX20)</f>
        <v>0.83346108341937497</v>
      </c>
      <c r="BB18">
        <f>AVERAGE(AY17:AY20)</f>
        <v>0.82992591097842916</v>
      </c>
    </row>
    <row r="19" spans="1:82" x14ac:dyDescent="0.25">
      <c r="A19">
        <v>13</v>
      </c>
      <c r="B19" s="60" t="s">
        <v>28</v>
      </c>
      <c r="C19" s="10">
        <v>0</v>
      </c>
      <c r="D19" s="9">
        <v>0</v>
      </c>
      <c r="E19" s="10">
        <v>0</v>
      </c>
      <c r="F19" s="9">
        <v>0</v>
      </c>
      <c r="G19" s="8">
        <v>364185</v>
      </c>
      <c r="H19" s="89">
        <v>363610</v>
      </c>
      <c r="I19" s="14"/>
      <c r="AC19" s="61">
        <v>16</v>
      </c>
      <c r="AD19" s="60" t="s">
        <v>34</v>
      </c>
      <c r="AE19" s="14">
        <v>196476</v>
      </c>
      <c r="AF19" s="14">
        <f t="shared" si="13"/>
        <v>203678.56907889145</v>
      </c>
      <c r="AG19" s="14">
        <f t="shared" si="12"/>
        <v>191048.68992031115</v>
      </c>
      <c r="AH19">
        <f t="shared" si="14"/>
        <v>0.46960580722056977</v>
      </c>
      <c r="AI19" s="9">
        <f t="shared" si="15"/>
        <v>0.48793157706818402</v>
      </c>
      <c r="AJ19" s="8">
        <f t="shared" si="16"/>
        <v>0.37615338816955118</v>
      </c>
      <c r="AK19" s="9">
        <f t="shared" si="17"/>
        <v>0.37723456475064093</v>
      </c>
      <c r="AL19">
        <f t="shared" si="18"/>
        <v>0.37615338816955118</v>
      </c>
      <c r="AM19" s="9">
        <f t="shared" si="19"/>
        <v>0.37723456475064093</v>
      </c>
      <c r="AN19">
        <f t="shared" si="20"/>
        <v>0.75230677633910237</v>
      </c>
      <c r="AO19" s="9">
        <f t="shared" si="21"/>
        <v>0.75446912950128187</v>
      </c>
      <c r="AP19" s="8">
        <f t="shared" si="22"/>
        <v>6.0184542107128189</v>
      </c>
      <c r="AQ19" s="9">
        <f t="shared" si="23"/>
        <v>6.0357530360102549</v>
      </c>
      <c r="AR19" s="8">
        <v>2.5</v>
      </c>
      <c r="AS19" s="9">
        <f t="shared" si="29"/>
        <v>20</v>
      </c>
      <c r="AT19">
        <f t="shared" si="24"/>
        <v>13.981545789287182</v>
      </c>
      <c r="AU19" s="9">
        <f t="shared" si="25"/>
        <v>0.6990772894643591</v>
      </c>
      <c r="AV19">
        <f t="shared" si="26"/>
        <v>13.964246963989744</v>
      </c>
      <c r="AW19" s="9">
        <f t="shared" si="27"/>
        <v>0.69821234819948719</v>
      </c>
      <c r="AX19">
        <f t="shared" si="31"/>
        <v>0.92924497219901414</v>
      </c>
      <c r="AY19" s="9">
        <f t="shared" si="32"/>
        <v>0.92543527746591636</v>
      </c>
      <c r="AZ19" t="s">
        <v>407</v>
      </c>
      <c r="BA19">
        <f>STDEV(AX17:AX20)</f>
        <v>0.25107352734640803</v>
      </c>
      <c r="BB19">
        <f>STDEV(AY17:AY20)</f>
        <v>0.2503539357626467</v>
      </c>
    </row>
    <row r="20" spans="1:82" x14ac:dyDescent="0.25">
      <c r="A20">
        <v>14</v>
      </c>
      <c r="B20" s="60" t="s">
        <v>31</v>
      </c>
      <c r="C20">
        <v>180679</v>
      </c>
      <c r="D20" s="9">
        <v>181013</v>
      </c>
      <c r="E20" s="10">
        <v>0</v>
      </c>
      <c r="F20" s="9">
        <v>27745</v>
      </c>
      <c r="G20">
        <v>343231</v>
      </c>
      <c r="H20" s="9">
        <v>343231</v>
      </c>
      <c r="I20" s="14">
        <f t="shared" si="9"/>
        <v>0.15327628402379939</v>
      </c>
      <c r="M20" s="35" t="s">
        <v>53</v>
      </c>
      <c r="N20" t="s">
        <v>377</v>
      </c>
      <c r="O20" s="135" t="s">
        <v>357</v>
      </c>
      <c r="P20" s="48" t="s">
        <v>366</v>
      </c>
      <c r="AC20" s="61">
        <v>17</v>
      </c>
      <c r="AD20" s="96" t="s">
        <v>35</v>
      </c>
      <c r="AE20" s="15">
        <v>275814</v>
      </c>
      <c r="AF20" s="15">
        <f t="shared" si="13"/>
        <v>286581.61094751878</v>
      </c>
      <c r="AG20" s="15">
        <f t="shared" si="12"/>
        <v>273951.73178893852</v>
      </c>
      <c r="AH20" s="7">
        <f t="shared" si="14"/>
        <v>0.65672775982285425</v>
      </c>
      <c r="AI20" s="6">
        <f t="shared" si="15"/>
        <v>0.6755913737503686</v>
      </c>
      <c r="AJ20" s="7">
        <f t="shared" si="16"/>
        <v>0.56327534077183561</v>
      </c>
      <c r="AK20" s="6">
        <f t="shared" si="17"/>
        <v>0.56489436143282545</v>
      </c>
      <c r="AL20" s="7">
        <f t="shared" si="18"/>
        <v>0.56327534077183561</v>
      </c>
      <c r="AM20" s="6">
        <f t="shared" si="19"/>
        <v>0.56489436143282545</v>
      </c>
      <c r="AN20" s="7">
        <f t="shared" si="20"/>
        <v>1.1265506815436712</v>
      </c>
      <c r="AO20" s="6">
        <f t="shared" si="21"/>
        <v>1.1297887228656509</v>
      </c>
      <c r="AP20" s="7">
        <f t="shared" si="22"/>
        <v>9.0124054523493697</v>
      </c>
      <c r="AQ20" s="6">
        <f t="shared" si="23"/>
        <v>9.0383097829252073</v>
      </c>
      <c r="AR20" s="5">
        <v>2.5</v>
      </c>
      <c r="AS20" s="6">
        <f t="shared" si="29"/>
        <v>20</v>
      </c>
      <c r="AT20" s="7">
        <f t="shared" si="24"/>
        <v>10.98759454765063</v>
      </c>
      <c r="AU20" s="6">
        <f t="shared" si="25"/>
        <v>0.54937972738253149</v>
      </c>
      <c r="AV20" s="7">
        <f t="shared" si="26"/>
        <v>10.961690217074793</v>
      </c>
      <c r="AW20" s="6">
        <f t="shared" si="27"/>
        <v>0.54808451085373966</v>
      </c>
      <c r="AX20" s="7">
        <f t="shared" si="31"/>
        <v>0.4876653455393028</v>
      </c>
      <c r="AY20" s="6">
        <f t="shared" si="32"/>
        <v>0.48512124414160512</v>
      </c>
      <c r="AZ20" t="s">
        <v>408</v>
      </c>
      <c r="BA20">
        <f>(BA19/BA18)*100</f>
        <v>30.124205237795685</v>
      </c>
      <c r="BB20">
        <f>(BB19/BB18)*100</f>
        <v>30.165817508637073</v>
      </c>
      <c r="BR20" t="s">
        <v>64</v>
      </c>
      <c r="BU20" t="s">
        <v>69</v>
      </c>
      <c r="BV20" s="17" t="s">
        <v>87</v>
      </c>
      <c r="BW20" s="4" t="s">
        <v>72</v>
      </c>
      <c r="CA20" t="s">
        <v>125</v>
      </c>
    </row>
    <row r="21" spans="1:82" ht="15.75" thickBot="1" x14ac:dyDescent="0.3">
      <c r="A21">
        <v>15</v>
      </c>
      <c r="B21" s="60" t="s">
        <v>32</v>
      </c>
      <c r="C21">
        <v>207828</v>
      </c>
      <c r="D21" s="9">
        <v>208827</v>
      </c>
      <c r="E21" s="10">
        <v>0</v>
      </c>
      <c r="F21" s="9">
        <v>31738</v>
      </c>
      <c r="G21" s="8">
        <v>343533</v>
      </c>
      <c r="H21" s="9">
        <v>342090</v>
      </c>
      <c r="I21" s="14">
        <f t="shared" si="9"/>
        <v>0.15198226282999805</v>
      </c>
      <c r="L21" s="93">
        <v>44384</v>
      </c>
      <c r="M21" t="s">
        <v>54</v>
      </c>
      <c r="N21" t="s">
        <v>56</v>
      </c>
      <c r="O21" s="135" t="s">
        <v>358</v>
      </c>
      <c r="P21" s="142" t="s">
        <v>358</v>
      </c>
      <c r="Q21" t="s">
        <v>57</v>
      </c>
      <c r="R21" t="s">
        <v>58</v>
      </c>
      <c r="S21" t="s">
        <v>62</v>
      </c>
      <c r="AC21" s="61">
        <v>18</v>
      </c>
      <c r="AD21" s="60" t="s">
        <v>36</v>
      </c>
      <c r="AE21" s="14">
        <v>742742</v>
      </c>
      <c r="AF21" s="14">
        <f t="shared" si="13"/>
        <v>773514.52201329835</v>
      </c>
      <c r="AG21" s="14">
        <f t="shared" si="12"/>
        <v>760884.64285471803</v>
      </c>
      <c r="AH21">
        <f t="shared" si="14"/>
        <v>1.7557928248819901</v>
      </c>
      <c r="AI21" s="9">
        <f t="shared" si="15"/>
        <v>1.7778154783045848</v>
      </c>
      <c r="AJ21" s="8">
        <f t="shared" si="16"/>
        <v>1.6623404058309714</v>
      </c>
      <c r="AK21" s="9">
        <f t="shared" si="17"/>
        <v>1.6671184659870417</v>
      </c>
      <c r="AL21">
        <f t="shared" si="18"/>
        <v>1.6623404058309714</v>
      </c>
      <c r="AM21" s="9">
        <f t="shared" si="19"/>
        <v>1.6671184659870417</v>
      </c>
      <c r="AN21">
        <f t="shared" si="20"/>
        <v>3.3246808116619428</v>
      </c>
      <c r="AO21" s="9">
        <f t="shared" si="21"/>
        <v>3.3342369319740834</v>
      </c>
      <c r="AP21" s="8">
        <f t="shared" si="22"/>
        <v>26.597446493295543</v>
      </c>
      <c r="AQ21" s="9">
        <f t="shared" si="23"/>
        <v>26.673895455792668</v>
      </c>
      <c r="AR21" s="8">
        <v>7.5</v>
      </c>
      <c r="AS21" s="9">
        <f t="shared" si="29"/>
        <v>60</v>
      </c>
      <c r="AT21">
        <f t="shared" si="24"/>
        <v>33.402553506704457</v>
      </c>
      <c r="AU21" s="9">
        <f t="shared" si="25"/>
        <v>1.6701276753352228</v>
      </c>
      <c r="AV21">
        <f t="shared" si="26"/>
        <v>33.326104544207332</v>
      </c>
      <c r="AW21" s="9">
        <f t="shared" si="27"/>
        <v>1.6663052272103667</v>
      </c>
      <c r="AX21">
        <f t="shared" si="31"/>
        <v>0.50234226078994892</v>
      </c>
      <c r="AY21" s="9">
        <f t="shared" si="32"/>
        <v>0.49975609448480507</v>
      </c>
      <c r="BA21" t="s">
        <v>405</v>
      </c>
      <c r="BB21" t="s">
        <v>406</v>
      </c>
      <c r="BM21" s="35" t="s">
        <v>55</v>
      </c>
      <c r="BN21" t="s">
        <v>56</v>
      </c>
      <c r="BO21" t="s">
        <v>57</v>
      </c>
      <c r="BP21" t="s">
        <v>61</v>
      </c>
      <c r="BR21" t="s">
        <v>66</v>
      </c>
      <c r="BS21" t="s">
        <v>65</v>
      </c>
      <c r="BT21" t="s">
        <v>68</v>
      </c>
      <c r="BU21" t="s">
        <v>68</v>
      </c>
      <c r="BV21" s="18" t="s">
        <v>71</v>
      </c>
      <c r="BW21" s="9" t="s">
        <v>73</v>
      </c>
      <c r="BX21" s="10" t="s">
        <v>88</v>
      </c>
      <c r="CA21" t="s">
        <v>343</v>
      </c>
    </row>
    <row r="22" spans="1:82" ht="15.75" thickBot="1" x14ac:dyDescent="0.3">
      <c r="A22">
        <v>16</v>
      </c>
      <c r="B22" s="60" t="s">
        <v>34</v>
      </c>
      <c r="C22">
        <v>194928</v>
      </c>
      <c r="D22" s="9">
        <v>196476</v>
      </c>
      <c r="E22" s="10">
        <v>0</v>
      </c>
      <c r="F22" s="9">
        <v>30038</v>
      </c>
      <c r="G22" s="8">
        <v>387266</v>
      </c>
      <c r="H22" s="9">
        <v>384859</v>
      </c>
      <c r="I22" s="14">
        <f t="shared" si="9"/>
        <v>0.15288381278120483</v>
      </c>
      <c r="L22" s="10" t="s">
        <v>2</v>
      </c>
      <c r="N22" s="6" t="s">
        <v>13</v>
      </c>
      <c r="O22" s="6" t="s">
        <v>13</v>
      </c>
      <c r="P22" s="6" t="s">
        <v>13</v>
      </c>
      <c r="Q22" t="s">
        <v>59</v>
      </c>
      <c r="R22" t="s">
        <v>60</v>
      </c>
      <c r="S22" t="s">
        <v>59</v>
      </c>
      <c r="AC22" s="61">
        <v>19</v>
      </c>
      <c r="AD22" s="60" t="s">
        <v>37</v>
      </c>
      <c r="AE22" s="14">
        <v>664531</v>
      </c>
      <c r="AF22" s="14">
        <f t="shared" si="13"/>
        <v>693659.77535576269</v>
      </c>
      <c r="AG22" s="14">
        <f t="shared" si="12"/>
        <v>681029.89619718236</v>
      </c>
      <c r="AH22">
        <f t="shared" si="14"/>
        <v>1.5755512344371227</v>
      </c>
      <c r="AI22" s="9">
        <f t="shared" si="15"/>
        <v>1.5970558199845997</v>
      </c>
      <c r="AJ22" s="8">
        <f t="shared" si="16"/>
        <v>1.4820988153861041</v>
      </c>
      <c r="AK22" s="9">
        <f t="shared" si="17"/>
        <v>1.4863588076670566</v>
      </c>
      <c r="AL22">
        <f t="shared" si="18"/>
        <v>1.4820988153861041</v>
      </c>
      <c r="AM22" s="9">
        <f t="shared" si="19"/>
        <v>1.4863588076670566</v>
      </c>
      <c r="AN22">
        <f t="shared" si="20"/>
        <v>2.9641976307722082</v>
      </c>
      <c r="AO22" s="9">
        <f t="shared" si="21"/>
        <v>2.9727176153341133</v>
      </c>
      <c r="AP22" s="8">
        <f t="shared" si="22"/>
        <v>23.713581046177666</v>
      </c>
      <c r="AQ22" s="9">
        <f t="shared" si="23"/>
        <v>23.781740922672906</v>
      </c>
      <c r="AR22" s="8">
        <v>7.5</v>
      </c>
      <c r="AS22" s="9">
        <f t="shared" si="29"/>
        <v>60</v>
      </c>
      <c r="AT22">
        <f t="shared" si="24"/>
        <v>36.286418953822334</v>
      </c>
      <c r="AU22" s="9">
        <f t="shared" si="25"/>
        <v>1.8143209476911166</v>
      </c>
      <c r="AV22">
        <f t="shared" si="26"/>
        <v>36.21825907732709</v>
      </c>
      <c r="AW22" s="9">
        <f t="shared" si="27"/>
        <v>1.8109129538663544</v>
      </c>
      <c r="AX22">
        <f t="shared" si="31"/>
        <v>0.61207826659603148</v>
      </c>
      <c r="AY22" s="9">
        <f t="shared" si="32"/>
        <v>0.60917759040588193</v>
      </c>
      <c r="AZ22" t="s">
        <v>46</v>
      </c>
      <c r="BA22">
        <f>AVERAGE(AX21:AX24)</f>
        <v>0.64907138805317521</v>
      </c>
      <c r="BB22">
        <f>AVERAGE(AY21:AY24)</f>
        <v>0.64606468738828715</v>
      </c>
      <c r="BM22" t="s">
        <v>54</v>
      </c>
      <c r="BN22" t="s">
        <v>12</v>
      </c>
      <c r="BO22" t="s">
        <v>59</v>
      </c>
      <c r="BP22" t="s">
        <v>60</v>
      </c>
      <c r="BR22" t="s">
        <v>63</v>
      </c>
      <c r="BS22" t="s">
        <v>67</v>
      </c>
      <c r="BT22" t="s">
        <v>67</v>
      </c>
      <c r="BU22" t="s">
        <v>70</v>
      </c>
      <c r="BV22" s="18" t="s">
        <v>70</v>
      </c>
      <c r="BW22" s="9" t="s">
        <v>74</v>
      </c>
      <c r="BX22" s="10" t="s">
        <v>89</v>
      </c>
      <c r="CA22" s="123" t="s">
        <v>127</v>
      </c>
      <c r="CB22" s="122" t="s">
        <v>124</v>
      </c>
      <c r="CC22" s="123" t="s">
        <v>344</v>
      </c>
      <c r="CD22" s="122" t="s">
        <v>128</v>
      </c>
    </row>
    <row r="23" spans="1:82" ht="15.75" thickBot="1" x14ac:dyDescent="0.3">
      <c r="A23">
        <v>17</v>
      </c>
      <c r="B23" s="60" t="s">
        <v>35</v>
      </c>
      <c r="C23">
        <v>275736</v>
      </c>
      <c r="D23" s="9">
        <v>275814</v>
      </c>
      <c r="E23" s="10">
        <v>0</v>
      </c>
      <c r="F23" s="9">
        <v>41312</v>
      </c>
      <c r="G23" s="8">
        <v>346011</v>
      </c>
      <c r="H23" s="9">
        <v>346011</v>
      </c>
      <c r="I23" s="14">
        <f t="shared" si="9"/>
        <v>0.14978209953084326</v>
      </c>
      <c r="L23" s="61">
        <v>2</v>
      </c>
      <c r="M23" s="60" t="s">
        <v>94</v>
      </c>
      <c r="N23" s="9">
        <v>45132</v>
      </c>
      <c r="O23" s="16">
        <f t="shared" ref="O23:O32" si="33">IF(N23&lt;=0,0,N23*((-18545.291*0+674048.162)/(-18545.291*L23+674048.162)))</f>
        <v>47760.074771987172</v>
      </c>
      <c r="P23" s="16">
        <f t="shared" ref="P23:P32" si="34">IF(AVERAGE($O$23:$O$24,$O$31:$O$32)&gt;0,IF(O23-AVERAGE($O$23:$O$24,$O$31:$O$32)&lt;=0,0,O23-AVERAGE($O$23:$O$24,$O$31:$O$32)),O23)</f>
        <v>0</v>
      </c>
      <c r="Q23" s="61">
        <v>0</v>
      </c>
      <c r="R23">
        <f>Q23*5</f>
        <v>0</v>
      </c>
      <c r="S23">
        <f>R23</f>
        <v>0</v>
      </c>
      <c r="AC23" s="61">
        <v>20</v>
      </c>
      <c r="AD23" s="60" t="s">
        <v>38</v>
      </c>
      <c r="AE23" s="14">
        <v>568617</v>
      </c>
      <c r="AF23" s="14">
        <f t="shared" si="13"/>
        <v>594914.00588252116</v>
      </c>
      <c r="AG23" s="14">
        <f t="shared" si="12"/>
        <v>582284.12672394083</v>
      </c>
      <c r="AH23">
        <f t="shared" si="14"/>
        <v>1.3526703753206568</v>
      </c>
      <c r="AI23" s="9">
        <f t="shared" si="15"/>
        <v>1.3735343350680511</v>
      </c>
      <c r="AJ23" s="8">
        <f t="shared" si="16"/>
        <v>1.2592179562696382</v>
      </c>
      <c r="AK23" s="9">
        <f t="shared" si="17"/>
        <v>1.2628373227505081</v>
      </c>
      <c r="AL23">
        <f t="shared" si="18"/>
        <v>1.2592179562696382</v>
      </c>
      <c r="AM23" s="9">
        <f t="shared" si="19"/>
        <v>1.2628373227505081</v>
      </c>
      <c r="AN23">
        <f t="shared" si="20"/>
        <v>2.5184359125392763</v>
      </c>
      <c r="AO23" s="9">
        <f t="shared" si="21"/>
        <v>2.5256746455010162</v>
      </c>
      <c r="AP23" s="8">
        <f t="shared" si="22"/>
        <v>20.147487300314211</v>
      </c>
      <c r="AQ23" s="9">
        <f t="shared" si="23"/>
        <v>20.205397164008129</v>
      </c>
      <c r="AR23" s="8">
        <v>7.5</v>
      </c>
      <c r="AS23" s="9">
        <f t="shared" si="29"/>
        <v>60</v>
      </c>
      <c r="AT23">
        <f t="shared" si="24"/>
        <v>39.852512699685789</v>
      </c>
      <c r="AU23" s="9">
        <f t="shared" si="25"/>
        <v>1.9926256349842895</v>
      </c>
      <c r="AV23">
        <f t="shared" si="26"/>
        <v>39.794602835991867</v>
      </c>
      <c r="AW23" s="9">
        <f t="shared" si="27"/>
        <v>1.9897301417995934</v>
      </c>
      <c r="AX23">
        <f t="shared" si="31"/>
        <v>0.79121554178250841</v>
      </c>
      <c r="AY23" s="9">
        <f t="shared" si="32"/>
        <v>0.7878014475632874</v>
      </c>
      <c r="AZ23" t="s">
        <v>407</v>
      </c>
      <c r="BA23">
        <f>STDEV(AX21:AX24)</f>
        <v>0.12224514475032396</v>
      </c>
      <c r="BB23">
        <f>STDEV(AY21:AY24)</f>
        <v>0.1218947829330199</v>
      </c>
      <c r="BM23" s="62" t="s">
        <v>101</v>
      </c>
      <c r="BN23" s="52">
        <v>1537277</v>
      </c>
      <c r="BO23" s="52">
        <v>12.5</v>
      </c>
      <c r="BP23" s="52">
        <f>BO23*8</f>
        <v>100</v>
      </c>
      <c r="BQ23" s="52"/>
      <c r="BR23" s="52">
        <v>1.7952839841585939</v>
      </c>
      <c r="BS23" s="52">
        <f>BR23</f>
        <v>1.7952839841585939</v>
      </c>
      <c r="BT23" s="52">
        <f t="shared" ref="BT23:BT34" si="35">BS23*2</f>
        <v>3.5905679683171878</v>
      </c>
      <c r="BU23" s="52">
        <f>BT23*8</f>
        <v>28.724543746537503</v>
      </c>
      <c r="BV23" s="63">
        <f>BP23-BU23</f>
        <v>71.275456253462494</v>
      </c>
      <c r="BW23" s="64">
        <f>BV23/20</f>
        <v>3.5637728126731245</v>
      </c>
      <c r="BX23" s="53">
        <f>BW23/BT23</f>
        <v>0.99253734899868185</v>
      </c>
      <c r="CA23" s="107">
        <v>19</v>
      </c>
      <c r="CB23" s="56">
        <v>7.4999999999999997E-2</v>
      </c>
      <c r="CC23" s="107">
        <v>1.2</v>
      </c>
      <c r="CD23" s="56">
        <v>0.8</v>
      </c>
    </row>
    <row r="24" spans="1:82" x14ac:dyDescent="0.25">
      <c r="A24">
        <v>18</v>
      </c>
      <c r="B24" s="60" t="s">
        <v>36</v>
      </c>
      <c r="C24">
        <v>742742</v>
      </c>
      <c r="D24" s="9">
        <v>742742</v>
      </c>
      <c r="E24">
        <v>0</v>
      </c>
      <c r="F24" s="9">
        <v>110669</v>
      </c>
      <c r="G24" s="8">
        <v>449807</v>
      </c>
      <c r="H24" s="9">
        <v>448666</v>
      </c>
      <c r="I24" s="14">
        <f t="shared" si="9"/>
        <v>0.14900059509223929</v>
      </c>
      <c r="L24" s="61">
        <v>3</v>
      </c>
      <c r="M24" s="60" t="s">
        <v>95</v>
      </c>
      <c r="N24" s="9">
        <v>50110</v>
      </c>
      <c r="O24" s="14">
        <f t="shared" si="33"/>
        <v>54618.179487406662</v>
      </c>
      <c r="P24" s="14">
        <f t="shared" si="34"/>
        <v>0</v>
      </c>
      <c r="Q24">
        <v>0</v>
      </c>
      <c r="R24">
        <f t="shared" ref="R24:R32" si="36">Q24*5</f>
        <v>0</v>
      </c>
      <c r="S24">
        <f t="shared" ref="S24:S32" si="37">R24</f>
        <v>0</v>
      </c>
      <c r="AC24" s="61">
        <v>21</v>
      </c>
      <c r="AD24" s="157" t="s">
        <v>39</v>
      </c>
      <c r="AE24" s="158">
        <v>616356</v>
      </c>
      <c r="AF24" s="158">
        <f t="shared" si="13"/>
        <v>646355.41606855742</v>
      </c>
      <c r="AG24" s="158">
        <f t="shared" si="12"/>
        <v>633725.53690997709</v>
      </c>
      <c r="AH24" s="159">
        <f t="shared" si="14"/>
        <v>1.4687797110176479</v>
      </c>
      <c r="AI24" s="160">
        <f t="shared" si="15"/>
        <v>1.4899774034883131</v>
      </c>
      <c r="AJ24" s="159">
        <f t="shared" si="16"/>
        <v>1.3753272919666293</v>
      </c>
      <c r="AK24" s="160">
        <f t="shared" si="17"/>
        <v>1.3792803911707701</v>
      </c>
      <c r="AL24" s="159">
        <f t="shared" si="18"/>
        <v>1.3753272919666293</v>
      </c>
      <c r="AM24" s="160">
        <f t="shared" si="19"/>
        <v>1.3792803911707701</v>
      </c>
      <c r="AN24" s="159">
        <f t="shared" si="20"/>
        <v>2.7506545839332586</v>
      </c>
      <c r="AO24" s="160">
        <f t="shared" si="21"/>
        <v>2.7585607823415401</v>
      </c>
      <c r="AP24" s="159">
        <f t="shared" si="22"/>
        <v>22.005236671466069</v>
      </c>
      <c r="AQ24" s="160">
        <f t="shared" si="23"/>
        <v>22.068486258732321</v>
      </c>
      <c r="AR24" s="159">
        <v>7.5</v>
      </c>
      <c r="AS24" s="160">
        <f t="shared" si="29"/>
        <v>60</v>
      </c>
      <c r="AT24" s="159">
        <f t="shared" si="24"/>
        <v>37.994763328533935</v>
      </c>
      <c r="AU24" s="160">
        <f t="shared" si="25"/>
        <v>1.8997381664266968</v>
      </c>
      <c r="AV24" s="159">
        <f t="shared" si="26"/>
        <v>37.931513741267679</v>
      </c>
      <c r="AW24" s="160">
        <f t="shared" si="27"/>
        <v>1.8965756870633839</v>
      </c>
      <c r="AX24" s="159">
        <f t="shared" si="31"/>
        <v>0.69064948304421192</v>
      </c>
      <c r="AY24" s="160">
        <f t="shared" si="32"/>
        <v>0.68752361709917431</v>
      </c>
      <c r="AZ24" t="s">
        <v>408</v>
      </c>
      <c r="BA24">
        <f>(BA23/BA22)*100</f>
        <v>18.833852023116606</v>
      </c>
      <c r="BB24">
        <f>(BB23/BB22)*100</f>
        <v>18.867272165234549</v>
      </c>
      <c r="BM24" s="65" t="s">
        <v>102</v>
      </c>
      <c r="BN24" s="8">
        <v>1991960</v>
      </c>
      <c r="BO24" s="8">
        <v>12.5</v>
      </c>
      <c r="BP24" s="8">
        <f t="shared" ref="BP24:BP34" si="38">BO24*8</f>
        <v>100</v>
      </c>
      <c r="BQ24" s="8"/>
      <c r="BR24" s="8">
        <v>2.3222210077481238</v>
      </c>
      <c r="BS24" s="8">
        <f t="shared" ref="BS24:BS34" si="39">BR24</f>
        <v>2.3222210077481238</v>
      </c>
      <c r="BT24" s="8">
        <f t="shared" si="35"/>
        <v>4.6444420154962476</v>
      </c>
      <c r="BU24" s="8">
        <f t="shared" ref="BU24:BU34" si="40">BT24*8</f>
        <v>37.155536123969981</v>
      </c>
      <c r="BV24" s="18">
        <f t="shared" ref="BV24:BV34" si="41">BP24-BU24</f>
        <v>62.844463876030019</v>
      </c>
      <c r="BW24" s="9">
        <f t="shared" ref="BW24:BW34" si="42">BV24/20</f>
        <v>3.1422231938015011</v>
      </c>
      <c r="BX24" s="66">
        <f t="shared" ref="BX24:BX34" si="43">BW24/BT24</f>
        <v>0.6765555869397073</v>
      </c>
      <c r="CA24" s="124" t="s">
        <v>123</v>
      </c>
      <c r="CB24" s="117"/>
      <c r="CC24" s="125" t="s">
        <v>126</v>
      </c>
      <c r="CD24" s="53"/>
    </row>
    <row r="25" spans="1:82" ht="15.75" thickBot="1" x14ac:dyDescent="0.3">
      <c r="A25">
        <v>19</v>
      </c>
      <c r="B25" s="60" t="s">
        <v>37</v>
      </c>
      <c r="C25">
        <v>666333</v>
      </c>
      <c r="D25" s="9">
        <v>664531</v>
      </c>
      <c r="E25">
        <v>98293</v>
      </c>
      <c r="F25" s="9">
        <v>98293</v>
      </c>
      <c r="G25" s="8">
        <v>352642</v>
      </c>
      <c r="H25" s="9">
        <v>352091</v>
      </c>
      <c r="I25" s="14">
        <f t="shared" si="9"/>
        <v>0.14791334038592632</v>
      </c>
      <c r="L25" s="61">
        <v>4</v>
      </c>
      <c r="M25" s="60" t="s">
        <v>93</v>
      </c>
      <c r="N25" s="9">
        <v>844407</v>
      </c>
      <c r="O25" s="14">
        <f t="shared" si="33"/>
        <v>948828.63739394117</v>
      </c>
      <c r="P25" s="14">
        <f t="shared" si="34"/>
        <v>664415.9240571924</v>
      </c>
      <c r="Q25">
        <v>0.25</v>
      </c>
      <c r="R25">
        <f t="shared" si="36"/>
        <v>1.25</v>
      </c>
      <c r="S25">
        <f t="shared" si="37"/>
        <v>1.25</v>
      </c>
      <c r="AC25" s="61">
        <v>22</v>
      </c>
      <c r="AD25" s="60" t="s">
        <v>33</v>
      </c>
      <c r="AE25" s="14">
        <v>42100</v>
      </c>
      <c r="AF25" s="14">
        <f t="shared" si="13"/>
        <v>44251.663727587664</v>
      </c>
      <c r="AG25" s="14">
        <f t="shared" si="12"/>
        <v>31621.784569007366</v>
      </c>
      <c r="AH25">
        <f t="shared" si="14"/>
        <v>0.10976046072593339</v>
      </c>
      <c r="AI25" s="9">
        <f t="shared" si="15"/>
        <v>0.12705192814884428</v>
      </c>
      <c r="AJ25" s="8">
        <f t="shared" si="16"/>
        <v>1.6308041674914786E-2</v>
      </c>
      <c r="AK25" s="9">
        <f t="shared" si="17"/>
        <v>1.6354915831301192E-2</v>
      </c>
      <c r="AL25">
        <f t="shared" si="18"/>
        <v>1.6308041674914786E-2</v>
      </c>
      <c r="AM25" s="9">
        <f t="shared" si="19"/>
        <v>1.6354915831301192E-2</v>
      </c>
      <c r="AN25">
        <f t="shared" si="20"/>
        <v>3.2616083349829572E-2</v>
      </c>
      <c r="AO25" s="9">
        <f t="shared" si="21"/>
        <v>3.2709831662602384E-2</v>
      </c>
      <c r="AP25" s="8">
        <f t="shared" si="22"/>
        <v>0.26092866679863658</v>
      </c>
      <c r="AQ25" s="9">
        <f t="shared" si="23"/>
        <v>0.26167865330081908</v>
      </c>
      <c r="AR25" s="10">
        <v>0</v>
      </c>
      <c r="AS25" s="9">
        <f t="shared" si="29"/>
        <v>0</v>
      </c>
      <c r="AT25">
        <f t="shared" si="24"/>
        <v>-0.26092866679863658</v>
      </c>
      <c r="AU25" s="9">
        <f t="shared" si="25"/>
        <v>-1.3046433339931829E-2</v>
      </c>
      <c r="AV25">
        <f t="shared" si="26"/>
        <v>-0.26167865330081908</v>
      </c>
      <c r="AW25" s="9">
        <f t="shared" si="27"/>
        <v>-1.3083932665040954E-2</v>
      </c>
      <c r="AX25">
        <f t="shared" si="31"/>
        <v>-0.4</v>
      </c>
      <c r="AY25" s="9">
        <f t="shared" si="32"/>
        <v>-0.4</v>
      </c>
      <c r="BM25" s="65" t="s">
        <v>103</v>
      </c>
      <c r="BN25" s="8">
        <v>1217692</v>
      </c>
      <c r="BO25" s="8">
        <v>12.5</v>
      </c>
      <c r="BP25" s="8">
        <f t="shared" si="38"/>
        <v>100</v>
      </c>
      <c r="BQ25" s="8"/>
      <c r="BR25" s="8">
        <v>1.4249134871664917</v>
      </c>
      <c r="BS25" s="8">
        <f t="shared" si="39"/>
        <v>1.4249134871664917</v>
      </c>
      <c r="BT25" s="8">
        <f t="shared" si="35"/>
        <v>2.8498269743329834</v>
      </c>
      <c r="BU25" s="8">
        <f t="shared" si="40"/>
        <v>22.798615794663867</v>
      </c>
      <c r="BV25" s="18">
        <f t="shared" si="41"/>
        <v>77.201384205336126</v>
      </c>
      <c r="BW25" s="9">
        <f t="shared" si="42"/>
        <v>3.8600692102668064</v>
      </c>
      <c r="BX25" s="66">
        <f t="shared" si="43"/>
        <v>1.3544924814848718</v>
      </c>
      <c r="CA25" s="118" t="s">
        <v>121</v>
      </c>
      <c r="CB25" s="119" t="s">
        <v>122</v>
      </c>
      <c r="CC25" s="121" t="s">
        <v>121</v>
      </c>
      <c r="CD25" s="120" t="s">
        <v>122</v>
      </c>
    </row>
    <row r="26" spans="1:82" ht="15.75" thickBot="1" x14ac:dyDescent="0.3">
      <c r="A26">
        <v>20</v>
      </c>
      <c r="B26" s="60" t="s">
        <v>38</v>
      </c>
      <c r="C26">
        <v>568617</v>
      </c>
      <c r="D26" s="9">
        <v>568617</v>
      </c>
      <c r="E26">
        <v>0</v>
      </c>
      <c r="F26" s="9">
        <v>84071</v>
      </c>
      <c r="G26" s="8">
        <v>433420</v>
      </c>
      <c r="H26" s="9">
        <v>430546</v>
      </c>
      <c r="I26" s="14">
        <f t="shared" si="9"/>
        <v>0.14785171741259934</v>
      </c>
      <c r="L26" s="61">
        <v>5</v>
      </c>
      <c r="M26" s="60" t="s">
        <v>96</v>
      </c>
      <c r="N26" s="9">
        <v>803690</v>
      </c>
      <c r="O26" s="14">
        <f t="shared" si="33"/>
        <v>931886.35620272812</v>
      </c>
      <c r="P26" s="14">
        <f t="shared" si="34"/>
        <v>647473.64286597935</v>
      </c>
      <c r="Q26">
        <v>0.25</v>
      </c>
      <c r="R26">
        <f t="shared" si="36"/>
        <v>1.25</v>
      </c>
      <c r="S26">
        <f t="shared" si="37"/>
        <v>1.25</v>
      </c>
      <c r="AD26" s="10"/>
      <c r="AE26" s="8"/>
      <c r="AI26" s="8"/>
      <c r="AJ26" s="8"/>
      <c r="AK26" s="8"/>
      <c r="AO26" s="8"/>
      <c r="AP26" s="8"/>
      <c r="AQ26" s="8"/>
      <c r="AR26" s="8"/>
      <c r="AS26" s="8"/>
      <c r="AT26" s="8"/>
      <c r="AU26" s="8"/>
      <c r="AV26" s="8"/>
      <c r="AW26" s="8"/>
      <c r="AY26" s="9"/>
      <c r="BM26" s="67" t="s">
        <v>104</v>
      </c>
      <c r="BN26" s="55">
        <v>1289070</v>
      </c>
      <c r="BO26" s="55">
        <v>12.5</v>
      </c>
      <c r="BP26" s="55">
        <f t="shared" si="38"/>
        <v>100</v>
      </c>
      <c r="BQ26" s="55"/>
      <c r="BR26" s="55">
        <v>1.5076342197863026</v>
      </c>
      <c r="BS26" s="55">
        <f t="shared" si="39"/>
        <v>1.5076342197863026</v>
      </c>
      <c r="BT26" s="55">
        <f t="shared" si="35"/>
        <v>3.0152684395726053</v>
      </c>
      <c r="BU26" s="55">
        <f t="shared" si="40"/>
        <v>24.122147516580842</v>
      </c>
      <c r="BV26" s="68">
        <f t="shared" si="41"/>
        <v>75.877852483419161</v>
      </c>
      <c r="BW26" s="69">
        <f t="shared" si="42"/>
        <v>3.7938926241709581</v>
      </c>
      <c r="BX26" s="56">
        <f>BW26/BT26</f>
        <v>1.2582271529723961</v>
      </c>
      <c r="CA26" s="126">
        <v>0.5</v>
      </c>
      <c r="CB26" s="127">
        <f t="shared" ref="CB26:CB51" si="44">($CA$23/((1/$CB$23)+CA26))*CA26</f>
        <v>0.68674698795180722</v>
      </c>
      <c r="CC26" s="128">
        <v>0.5</v>
      </c>
      <c r="CD26" s="129">
        <f t="shared" ref="CD26:CD51" si="45">$CC$23*(CC26^$CD$23)</f>
        <v>0.68921901299822108</v>
      </c>
    </row>
    <row r="27" spans="1:82" x14ac:dyDescent="0.25">
      <c r="A27">
        <v>21</v>
      </c>
      <c r="B27" s="60" t="s">
        <v>39</v>
      </c>
      <c r="C27">
        <v>616447</v>
      </c>
      <c r="D27" s="9">
        <v>616356</v>
      </c>
      <c r="E27">
        <v>0</v>
      </c>
      <c r="F27" s="9">
        <v>93815</v>
      </c>
      <c r="G27" s="8">
        <v>383199</v>
      </c>
      <c r="H27" s="9">
        <v>381088</v>
      </c>
      <c r="I27" s="14">
        <f t="shared" si="9"/>
        <v>0.15220911291526326</v>
      </c>
      <c r="L27" s="61">
        <v>6</v>
      </c>
      <c r="M27" s="60" t="s">
        <v>97</v>
      </c>
      <c r="N27" s="9">
        <v>8918872</v>
      </c>
      <c r="O27" s="14">
        <f t="shared" si="33"/>
        <v>10682304.922161601</v>
      </c>
      <c r="P27" s="14">
        <f t="shared" si="34"/>
        <v>10397892.208824852</v>
      </c>
      <c r="Q27">
        <v>2</v>
      </c>
      <c r="R27">
        <f t="shared" si="36"/>
        <v>10</v>
      </c>
      <c r="S27">
        <f t="shared" si="37"/>
        <v>10</v>
      </c>
      <c r="AI27" s="8"/>
      <c r="AJ27" s="8"/>
      <c r="AK27" s="8"/>
      <c r="AO27" s="8"/>
      <c r="AP27" s="8"/>
      <c r="AQ27" s="8"/>
      <c r="AR27" s="8"/>
      <c r="AS27" s="8"/>
      <c r="AT27" s="8"/>
      <c r="AU27" s="8"/>
      <c r="AV27" s="8"/>
      <c r="AW27" s="8"/>
      <c r="AY27" s="9"/>
      <c r="BM27" s="37" t="s">
        <v>105</v>
      </c>
      <c r="BN27" s="8">
        <v>2840377</v>
      </c>
      <c r="BO27" s="8">
        <v>25</v>
      </c>
      <c r="BP27" s="8">
        <f t="shared" si="38"/>
        <v>200</v>
      </c>
      <c r="BQ27" s="8"/>
      <c r="BR27" s="8">
        <v>3.3054606026807662</v>
      </c>
      <c r="BS27" s="8">
        <f t="shared" si="39"/>
        <v>3.3054606026807662</v>
      </c>
      <c r="BT27" s="8">
        <f t="shared" si="35"/>
        <v>6.6109212053615325</v>
      </c>
      <c r="BU27" s="8">
        <f t="shared" si="40"/>
        <v>52.88736964289226</v>
      </c>
      <c r="BV27" s="18">
        <f t="shared" si="41"/>
        <v>147.11263035710775</v>
      </c>
      <c r="BW27" s="9">
        <f t="shared" si="42"/>
        <v>7.3556315178553877</v>
      </c>
      <c r="BX27" s="9">
        <f t="shared" si="43"/>
        <v>1.1126484932069507</v>
      </c>
      <c r="CA27" s="126">
        <v>1</v>
      </c>
      <c r="CB27" s="127">
        <f t="shared" si="44"/>
        <v>1.3255813953488371</v>
      </c>
      <c r="CC27" s="128">
        <v>1</v>
      </c>
      <c r="CD27" s="129">
        <f t="shared" si="45"/>
        <v>1.2</v>
      </c>
    </row>
    <row r="28" spans="1:82" x14ac:dyDescent="0.25">
      <c r="A28">
        <v>22</v>
      </c>
      <c r="B28" s="9" t="s">
        <v>33</v>
      </c>
      <c r="C28">
        <v>0</v>
      </c>
      <c r="D28" s="9">
        <v>42100</v>
      </c>
      <c r="E28" s="10">
        <v>0</v>
      </c>
      <c r="F28" s="9">
        <v>0</v>
      </c>
      <c r="G28" s="8">
        <v>354679</v>
      </c>
      <c r="H28" s="89">
        <v>354679</v>
      </c>
      <c r="I28" s="14">
        <f t="shared" si="9"/>
        <v>0</v>
      </c>
      <c r="L28" s="61">
        <v>7</v>
      </c>
      <c r="M28" s="60" t="s">
        <v>98</v>
      </c>
      <c r="N28" s="9">
        <v>8990727</v>
      </c>
      <c r="O28" s="14">
        <f t="shared" si="33"/>
        <v>11135311.324565962</v>
      </c>
      <c r="P28" s="14">
        <f t="shared" si="34"/>
        <v>10850898.611229213</v>
      </c>
      <c r="Q28">
        <v>2</v>
      </c>
      <c r="R28">
        <f t="shared" si="36"/>
        <v>10</v>
      </c>
      <c r="S28">
        <f t="shared" si="37"/>
        <v>10</v>
      </c>
      <c r="AC28" s="93">
        <v>44384</v>
      </c>
      <c r="AI28" s="8"/>
      <c r="AJ28" s="8"/>
      <c r="AK28" s="8"/>
      <c r="AO28" s="8"/>
      <c r="AP28" s="8"/>
      <c r="AQ28" s="8"/>
      <c r="AR28" s="8"/>
      <c r="AS28" s="8"/>
      <c r="AT28" s="8"/>
      <c r="AU28" s="8"/>
      <c r="AV28" s="8"/>
      <c r="AW28" s="8"/>
      <c r="AY28" s="9"/>
      <c r="BM28" s="14" t="s">
        <v>106</v>
      </c>
      <c r="BN28" s="8">
        <v>3645438</v>
      </c>
      <c r="BO28" s="8">
        <v>25</v>
      </c>
      <c r="BP28" s="8">
        <f t="shared" si="38"/>
        <v>200</v>
      </c>
      <c r="BQ28" s="8"/>
      <c r="BR28" s="8">
        <v>4.2384544624644196</v>
      </c>
      <c r="BS28" s="8">
        <f t="shared" si="39"/>
        <v>4.2384544624644196</v>
      </c>
      <c r="BT28" s="8">
        <f t="shared" si="35"/>
        <v>8.4769089249288392</v>
      </c>
      <c r="BU28" s="8">
        <f t="shared" si="40"/>
        <v>67.815271399430713</v>
      </c>
      <c r="BV28" s="18">
        <f t="shared" si="41"/>
        <v>132.18472860056929</v>
      </c>
      <c r="BW28" s="9">
        <f t="shared" si="42"/>
        <v>6.6092364300284645</v>
      </c>
      <c r="BX28" s="9">
        <f t="shared" si="43"/>
        <v>0.77967529067017161</v>
      </c>
      <c r="CA28" s="126">
        <v>2</v>
      </c>
      <c r="CB28" s="127">
        <f t="shared" si="44"/>
        <v>2.4782608695652173</v>
      </c>
      <c r="CC28" s="128">
        <v>2</v>
      </c>
      <c r="CD28" s="129">
        <f t="shared" si="45"/>
        <v>2.0893213519106979</v>
      </c>
    </row>
    <row r="29" spans="1:82" x14ac:dyDescent="0.25">
      <c r="L29" s="61">
        <v>8</v>
      </c>
      <c r="M29" s="60" t="s">
        <v>99</v>
      </c>
      <c r="N29" s="9">
        <v>21232349</v>
      </c>
      <c r="O29" s="14">
        <f t="shared" si="33"/>
        <v>27224674.687339086</v>
      </c>
      <c r="P29" s="14">
        <f t="shared" si="34"/>
        <v>26940261.974002339</v>
      </c>
      <c r="Q29">
        <v>5</v>
      </c>
      <c r="R29">
        <f t="shared" si="36"/>
        <v>25</v>
      </c>
      <c r="S29">
        <f t="shared" si="37"/>
        <v>25</v>
      </c>
      <c r="AC29" t="s">
        <v>2</v>
      </c>
      <c r="AI29" s="8"/>
      <c r="AJ29" s="8"/>
      <c r="AK29" s="8"/>
      <c r="AO29" s="8"/>
      <c r="AP29" s="8"/>
      <c r="AQ29" s="8"/>
      <c r="AR29" s="8"/>
      <c r="AS29" s="8"/>
      <c r="AT29" s="8"/>
      <c r="AU29" s="8"/>
      <c r="AV29" s="8"/>
      <c r="AW29" s="8"/>
      <c r="AY29" s="9"/>
      <c r="BM29" s="14" t="s">
        <v>107</v>
      </c>
      <c r="BN29" s="8">
        <v>3724084</v>
      </c>
      <c r="BO29" s="8">
        <v>25</v>
      </c>
      <c r="BP29" s="8">
        <f t="shared" si="38"/>
        <v>200</v>
      </c>
      <c r="BQ29" s="8"/>
      <c r="BR29" s="8">
        <v>4.3295981585278795</v>
      </c>
      <c r="BS29" s="8">
        <f t="shared" si="39"/>
        <v>4.3295981585278795</v>
      </c>
      <c r="BT29" s="8">
        <f t="shared" si="35"/>
        <v>8.6591963170557591</v>
      </c>
      <c r="BU29" s="8">
        <f t="shared" si="40"/>
        <v>69.273570536446073</v>
      </c>
      <c r="BV29" s="18">
        <f t="shared" si="41"/>
        <v>130.72642946355393</v>
      </c>
      <c r="BW29" s="9">
        <f t="shared" si="42"/>
        <v>6.5363214731776962</v>
      </c>
      <c r="BX29" s="9">
        <f t="shared" si="43"/>
        <v>0.7548415850444804</v>
      </c>
      <c r="CA29" s="126">
        <v>3</v>
      </c>
      <c r="CB29" s="127">
        <f t="shared" si="44"/>
        <v>3.4897959183673462</v>
      </c>
      <c r="CC29" s="128">
        <v>3</v>
      </c>
      <c r="CD29" s="129">
        <f t="shared" si="45"/>
        <v>2.8898696223368305</v>
      </c>
    </row>
    <row r="30" spans="1:82" x14ac:dyDescent="0.25">
      <c r="L30" s="61">
        <v>9</v>
      </c>
      <c r="M30" s="60" t="s">
        <v>100</v>
      </c>
      <c r="N30" s="60">
        <v>21268193</v>
      </c>
      <c r="O30" s="14">
        <f t="shared" si="33"/>
        <v>28267876.821497321</v>
      </c>
      <c r="P30" s="14">
        <f t="shared" si="34"/>
        <v>27983464.108160574</v>
      </c>
      <c r="Q30">
        <v>5</v>
      </c>
      <c r="R30">
        <f t="shared" si="36"/>
        <v>25</v>
      </c>
      <c r="S30">
        <f t="shared" si="37"/>
        <v>25</v>
      </c>
      <c r="AC30" s="10">
        <v>2</v>
      </c>
      <c r="AD30" s="60" t="s">
        <v>94</v>
      </c>
      <c r="AE30" s="14">
        <v>45132</v>
      </c>
      <c r="AF30" s="14">
        <f>IF(AE30&lt;=0,0,AE30*((-18545.291*0+674048.162)/(-18545.291*AC30+674048.162)))</f>
        <v>47760.074771987172</v>
      </c>
      <c r="AG30" s="14">
        <f t="shared" ref="AG30:AG45" si="46">IF(AVERAGE($AF$30:$AF$32,$AF$45)&gt;0,IF(AF30-AVERAGE($AF$30:$AF$32,$AF$45)&lt;=0,0,AF30-AVERAGE($AF$30:$AF$32,$AF$45)),AF30)</f>
        <v>0</v>
      </c>
      <c r="AH30">
        <f>IF(AG30&lt;=0,0,(AG30-17136.303)/1105616.146)</f>
        <v>0</v>
      </c>
      <c r="AI30" s="9">
        <f>IF(AG30&lt;=0,0,(AG30+194197.592)/1101970.063)</f>
        <v>0</v>
      </c>
      <c r="AJ30" s="8">
        <f>IF(AVERAGE($AH$12:$AH$15)&gt;0,IF(AH30-MAX($AH$12:$AH$15)&lt;=0,0,AH30-MAX($AH$12:$AH$15)),AH30)</f>
        <v>0</v>
      </c>
      <c r="AK30" s="9">
        <f>IF(AVERAGE($AI$12:$AI$15)&gt;0,IF(AI30-MAX($AI$12:$AI$15)&lt;=0,0,AI30-MAX($AI$12:$AI$15)),AI30)</f>
        <v>0</v>
      </c>
      <c r="AL30">
        <f t="shared" si="18"/>
        <v>0</v>
      </c>
      <c r="AM30" s="9">
        <f t="shared" si="19"/>
        <v>0</v>
      </c>
      <c r="AN30">
        <f>AL30*$AN$5</f>
        <v>0</v>
      </c>
      <c r="AO30" s="9">
        <f t="shared" ref="AO30" si="47">AM30*$AN$5</f>
        <v>0</v>
      </c>
      <c r="AP30" s="8">
        <f t="shared" si="22"/>
        <v>0</v>
      </c>
      <c r="AQ30" s="9">
        <f t="shared" si="23"/>
        <v>0</v>
      </c>
      <c r="AR30" s="8">
        <v>0</v>
      </c>
      <c r="AS30" s="9">
        <f t="shared" si="29"/>
        <v>0</v>
      </c>
      <c r="AT30">
        <f t="shared" si="24"/>
        <v>0</v>
      </c>
      <c r="AU30" s="9">
        <f t="shared" si="25"/>
        <v>0</v>
      </c>
      <c r="AV30">
        <f t="shared" si="26"/>
        <v>0</v>
      </c>
      <c r="AW30" s="9">
        <f t="shared" si="27"/>
        <v>0</v>
      </c>
      <c r="AY30" s="9"/>
      <c r="BM30" s="15" t="s">
        <v>108</v>
      </c>
      <c r="BN30" s="7">
        <v>3662902</v>
      </c>
      <c r="BO30" s="7">
        <v>25</v>
      </c>
      <c r="BP30" s="7">
        <f t="shared" si="38"/>
        <v>200</v>
      </c>
      <c r="BQ30" s="7"/>
      <c r="BR30" s="7">
        <v>4.2586936800730992</v>
      </c>
      <c r="BS30" s="7">
        <f t="shared" si="39"/>
        <v>4.2586936800730992</v>
      </c>
      <c r="BT30" s="7">
        <f t="shared" si="35"/>
        <v>8.5173873601461985</v>
      </c>
      <c r="BU30" s="7">
        <f t="shared" si="40"/>
        <v>68.139098881169588</v>
      </c>
      <c r="BV30" s="5">
        <f t="shared" si="41"/>
        <v>131.86090111883041</v>
      </c>
      <c r="BW30" s="6">
        <f t="shared" si="42"/>
        <v>6.5930450559415208</v>
      </c>
      <c r="BX30" s="6">
        <f t="shared" si="43"/>
        <v>0.77406894592948905</v>
      </c>
      <c r="CA30" s="126">
        <v>4</v>
      </c>
      <c r="CB30" s="127">
        <f t="shared" si="44"/>
        <v>4.3846153846153841</v>
      </c>
      <c r="CC30" s="128">
        <v>4</v>
      </c>
      <c r="CD30" s="129">
        <f t="shared" si="45"/>
        <v>3.6377197596249551</v>
      </c>
    </row>
    <row r="31" spans="1:82" x14ac:dyDescent="0.25">
      <c r="L31" s="61">
        <v>10</v>
      </c>
      <c r="M31" s="60" t="s">
        <v>113</v>
      </c>
      <c r="N31" s="60">
        <v>486020</v>
      </c>
      <c r="O31" s="14">
        <f t="shared" si="33"/>
        <v>670495.43841093243</v>
      </c>
      <c r="P31" s="14">
        <f t="shared" si="34"/>
        <v>386082.7250741836</v>
      </c>
      <c r="Q31" s="61">
        <v>0</v>
      </c>
      <c r="R31">
        <f t="shared" si="36"/>
        <v>0</v>
      </c>
      <c r="S31">
        <f t="shared" si="37"/>
        <v>0</v>
      </c>
      <c r="AC31" s="10">
        <v>3</v>
      </c>
      <c r="AD31" s="60" t="s">
        <v>95</v>
      </c>
      <c r="AE31" s="14">
        <v>50110</v>
      </c>
      <c r="AF31" s="14">
        <f t="shared" ref="AF31:AF45" si="48">IF(AE31&lt;=0,0,AE31*((-18545.291*0+674048.162)/(-18545.291*AC31+674048.162)))</f>
        <v>54618.179487406662</v>
      </c>
      <c r="AG31" s="14">
        <f t="shared" si="46"/>
        <v>0</v>
      </c>
      <c r="AH31">
        <f t="shared" ref="AH31:AH45" si="49">IF(AG31&lt;=0,0,(AG31-17136.303)/1105616.146)</f>
        <v>0</v>
      </c>
      <c r="AI31" s="9">
        <f t="shared" ref="AI31:AI45" si="50">IF(AG31&lt;=0,0,(AG31+194197.592)/1101970.063)</f>
        <v>0</v>
      </c>
      <c r="AJ31" s="8">
        <f t="shared" ref="AJ31:AJ45" si="51">IF(AVERAGE($AH$12:$AH$15)&gt;0,IF(AH31-MAX($AH$12:$AH$15)&lt;=0,0,AH31-MAX($AH$12:$AH$15)),AH31)</f>
        <v>0</v>
      </c>
      <c r="AK31" s="9">
        <f t="shared" ref="AK31:AK45" si="52">IF(AVERAGE($AI$12:$AI$15)&gt;0,IF(AI31-MAX($AI$12:$AI$15)&lt;=0,0,AI31-MAX($AI$12:$AI$15)),AI31)</f>
        <v>0</v>
      </c>
      <c r="AL31">
        <f t="shared" si="18"/>
        <v>0</v>
      </c>
      <c r="AM31" s="9">
        <f t="shared" si="19"/>
        <v>0</v>
      </c>
      <c r="AN31">
        <f t="shared" ref="AN31:AN45" si="53">AL31*$AN$5</f>
        <v>0</v>
      </c>
      <c r="AO31" s="9">
        <f t="shared" ref="AO31:AO45" si="54">AM31*$AN$5</f>
        <v>0</v>
      </c>
      <c r="AP31" s="8">
        <f t="shared" si="22"/>
        <v>0</v>
      </c>
      <c r="AQ31" s="9">
        <f t="shared" si="23"/>
        <v>0</v>
      </c>
      <c r="AR31" s="8">
        <v>0</v>
      </c>
      <c r="AS31" s="9">
        <f t="shared" si="29"/>
        <v>0</v>
      </c>
      <c r="AT31">
        <f t="shared" si="24"/>
        <v>0</v>
      </c>
      <c r="AU31" s="9">
        <f t="shared" si="25"/>
        <v>0</v>
      </c>
      <c r="AV31">
        <f t="shared" si="26"/>
        <v>0</v>
      </c>
      <c r="AW31" s="9">
        <f t="shared" si="27"/>
        <v>0</v>
      </c>
      <c r="AY31" s="9"/>
      <c r="BM31" s="16" t="s">
        <v>109</v>
      </c>
      <c r="BN31" s="3">
        <v>8169291</v>
      </c>
      <c r="BO31" s="3">
        <v>50</v>
      </c>
      <c r="BP31" s="3">
        <f t="shared" si="38"/>
        <v>400</v>
      </c>
      <c r="BQ31" s="3"/>
      <c r="BR31" s="3">
        <v>9.4811964057008424</v>
      </c>
      <c r="BS31" s="3">
        <f t="shared" si="39"/>
        <v>9.4811964057008424</v>
      </c>
      <c r="BT31" s="3">
        <f t="shared" si="35"/>
        <v>18.962392811401685</v>
      </c>
      <c r="BU31" s="3">
        <f t="shared" si="40"/>
        <v>151.69914249121348</v>
      </c>
      <c r="BV31" s="17">
        <f t="shared" si="41"/>
        <v>248.30085750878652</v>
      </c>
      <c r="BW31" s="4">
        <f t="shared" si="42"/>
        <v>12.415042875439326</v>
      </c>
      <c r="BX31" s="4">
        <f t="shared" si="43"/>
        <v>0.65471921180614001</v>
      </c>
      <c r="CA31" s="126">
        <v>5</v>
      </c>
      <c r="CB31" s="127">
        <f t="shared" si="44"/>
        <v>5.1818181818181808</v>
      </c>
      <c r="CC31" s="128">
        <v>5</v>
      </c>
      <c r="CD31" s="129">
        <f t="shared" si="45"/>
        <v>4.3486779820661736</v>
      </c>
    </row>
    <row r="32" spans="1:82" x14ac:dyDescent="0.25">
      <c r="A32" t="s">
        <v>90</v>
      </c>
      <c r="L32" s="61">
        <v>23</v>
      </c>
      <c r="M32" s="60" t="s">
        <v>114</v>
      </c>
      <c r="N32" s="9">
        <v>133944</v>
      </c>
      <c r="O32" s="14">
        <f t="shared" si="33"/>
        <v>364777.16067666904</v>
      </c>
      <c r="P32" s="14">
        <f t="shared" si="34"/>
        <v>80364.447339920211</v>
      </c>
      <c r="Q32">
        <v>0</v>
      </c>
      <c r="R32">
        <f t="shared" si="36"/>
        <v>0</v>
      </c>
      <c r="S32">
        <f t="shared" si="37"/>
        <v>0</v>
      </c>
      <c r="AC32" s="10">
        <v>10</v>
      </c>
      <c r="AD32" s="96" t="s">
        <v>113</v>
      </c>
      <c r="AE32" s="87">
        <v>486020</v>
      </c>
      <c r="AF32" s="15">
        <f t="shared" si="48"/>
        <v>670495.43841093243</v>
      </c>
      <c r="AG32" s="15">
        <f t="shared" si="46"/>
        <v>386082.7250741836</v>
      </c>
      <c r="AH32" s="7">
        <f t="shared" si="49"/>
        <v>0.33370209308989562</v>
      </c>
      <c r="AI32" s="6">
        <f t="shared" si="50"/>
        <v>0.52658446591047148</v>
      </c>
      <c r="AJ32" s="7">
        <f t="shared" si="51"/>
        <v>0.24024967403887704</v>
      </c>
      <c r="AK32" s="6">
        <f t="shared" si="52"/>
        <v>0.41588745359292839</v>
      </c>
      <c r="AL32" s="7">
        <f t="shared" si="18"/>
        <v>0.24024967403887704</v>
      </c>
      <c r="AM32" s="6">
        <f t="shared" si="19"/>
        <v>0.41588745359292839</v>
      </c>
      <c r="AN32" s="7">
        <f t="shared" si="53"/>
        <v>0.48049934807775407</v>
      </c>
      <c r="AO32" s="6">
        <f t="shared" si="54"/>
        <v>0.83177490718585678</v>
      </c>
      <c r="AP32" s="7">
        <f t="shared" si="22"/>
        <v>3.8439947846220326</v>
      </c>
      <c r="AQ32" s="6">
        <f t="shared" si="23"/>
        <v>6.6541992574868543</v>
      </c>
      <c r="AR32" s="7">
        <v>0</v>
      </c>
      <c r="AS32" s="6">
        <f t="shared" si="29"/>
        <v>0</v>
      </c>
      <c r="AT32" s="7">
        <f t="shared" si="24"/>
        <v>-3.8439947846220326</v>
      </c>
      <c r="AU32" s="6">
        <f t="shared" si="25"/>
        <v>-0.19219973923110162</v>
      </c>
      <c r="AV32" s="7">
        <f t="shared" si="26"/>
        <v>-6.6541992574868543</v>
      </c>
      <c r="AW32" s="6">
        <f t="shared" si="27"/>
        <v>-0.33270996287434274</v>
      </c>
      <c r="AX32" s="7"/>
      <c r="AY32" s="6"/>
      <c r="BM32" s="14" t="s">
        <v>110</v>
      </c>
      <c r="BN32" s="8">
        <v>9621603</v>
      </c>
      <c r="BO32" s="8">
        <v>50</v>
      </c>
      <c r="BP32" s="8">
        <f t="shared" si="38"/>
        <v>400</v>
      </c>
      <c r="BQ32" s="8"/>
      <c r="BR32" s="8">
        <v>11.164296417364699</v>
      </c>
      <c r="BS32" s="8">
        <f t="shared" si="39"/>
        <v>11.164296417364699</v>
      </c>
      <c r="BT32" s="8">
        <f t="shared" si="35"/>
        <v>22.328592834729399</v>
      </c>
      <c r="BU32" s="8">
        <f t="shared" si="40"/>
        <v>178.62874267783519</v>
      </c>
      <c r="BV32" s="18">
        <f t="shared" si="41"/>
        <v>221.37125732216481</v>
      </c>
      <c r="BW32" s="9">
        <f t="shared" si="42"/>
        <v>11.068562866108241</v>
      </c>
      <c r="BX32" s="9">
        <f t="shared" si="43"/>
        <v>0.49571251301122943</v>
      </c>
      <c r="CA32" s="126">
        <v>6</v>
      </c>
      <c r="CB32" s="127">
        <f t="shared" si="44"/>
        <v>5.8965517241379306</v>
      </c>
      <c r="CC32" s="128">
        <v>6</v>
      </c>
      <c r="CD32" s="129">
        <f t="shared" si="45"/>
        <v>5.0315552551553706</v>
      </c>
    </row>
    <row r="33" spans="1:82" x14ac:dyDescent="0.25">
      <c r="A33" t="s">
        <v>91</v>
      </c>
      <c r="AC33" s="10">
        <v>11</v>
      </c>
      <c r="AD33" s="60" t="s">
        <v>101</v>
      </c>
      <c r="AE33" s="14">
        <v>1535444</v>
      </c>
      <c r="AF33" s="14">
        <f t="shared" si="48"/>
        <v>2201815.3216141379</v>
      </c>
      <c r="AG33" s="14">
        <f t="shared" si="46"/>
        <v>1917402.6082773891</v>
      </c>
      <c r="AH33">
        <f t="shared" si="49"/>
        <v>1.71873964770897</v>
      </c>
      <c r="AI33" s="9">
        <f t="shared" si="50"/>
        <v>1.916204687565445</v>
      </c>
      <c r="AJ33" s="8">
        <f t="shared" si="51"/>
        <v>1.6252872286579514</v>
      </c>
      <c r="AK33" s="9">
        <f t="shared" si="52"/>
        <v>1.805507675247902</v>
      </c>
      <c r="AL33">
        <f t="shared" si="18"/>
        <v>1.6252872286579514</v>
      </c>
      <c r="AM33" s="9">
        <f t="shared" si="19"/>
        <v>1.805507675247902</v>
      </c>
      <c r="AN33">
        <f t="shared" si="53"/>
        <v>3.2505744573159028</v>
      </c>
      <c r="AO33" s="9">
        <f t="shared" si="54"/>
        <v>3.611015350495804</v>
      </c>
      <c r="AP33" s="8">
        <f t="shared" si="22"/>
        <v>26.004595658527222</v>
      </c>
      <c r="AQ33" s="9">
        <f t="shared" si="23"/>
        <v>28.888122803966432</v>
      </c>
      <c r="AR33" s="8">
        <v>12.5</v>
      </c>
      <c r="AS33" s="9">
        <f t="shared" si="29"/>
        <v>100</v>
      </c>
      <c r="AT33">
        <f t="shared" si="24"/>
        <v>73.995404341472778</v>
      </c>
      <c r="AU33" s="9">
        <f t="shared" si="25"/>
        <v>3.6997702170736391</v>
      </c>
      <c r="AV33">
        <f t="shared" si="26"/>
        <v>71.111877196033561</v>
      </c>
      <c r="AW33" s="9">
        <f t="shared" si="27"/>
        <v>3.5555938598016779</v>
      </c>
      <c r="AX33">
        <f t="shared" si="31"/>
        <v>1.1381896540615319</v>
      </c>
      <c r="AY33" s="9">
        <f t="shared" si="32"/>
        <v>0.98465210326881702</v>
      </c>
      <c r="BA33" t="s">
        <v>405</v>
      </c>
      <c r="BB33" t="s">
        <v>406</v>
      </c>
      <c r="BM33" s="14" t="s">
        <v>111</v>
      </c>
      <c r="BN33" s="8">
        <v>5105882</v>
      </c>
      <c r="BO33" s="8">
        <v>50</v>
      </c>
      <c r="BP33" s="8">
        <f t="shared" si="38"/>
        <v>400</v>
      </c>
      <c r="BQ33" s="8"/>
      <c r="BR33" s="8">
        <v>5.9309787364733175</v>
      </c>
      <c r="BS33" s="8">
        <f t="shared" si="39"/>
        <v>5.9309787364733175</v>
      </c>
      <c r="BT33" s="8">
        <f t="shared" si="35"/>
        <v>11.861957472946635</v>
      </c>
      <c r="BU33" s="8">
        <f t="shared" si="40"/>
        <v>94.89565978357308</v>
      </c>
      <c r="BV33" s="18">
        <f t="shared" si="41"/>
        <v>305.10434021642692</v>
      </c>
      <c r="BW33" s="9">
        <f t="shared" si="42"/>
        <v>15.255217010821346</v>
      </c>
      <c r="BX33" s="9">
        <f t="shared" si="43"/>
        <v>1.2860623590679414</v>
      </c>
      <c r="CA33" s="126">
        <v>7</v>
      </c>
      <c r="CB33" s="127">
        <f t="shared" si="44"/>
        <v>6.5409836065573765</v>
      </c>
      <c r="CC33" s="128">
        <v>7</v>
      </c>
      <c r="CD33" s="129">
        <f t="shared" si="45"/>
        <v>5.6919316725640394</v>
      </c>
    </row>
    <row r="34" spans="1:82" x14ac:dyDescent="0.25">
      <c r="A34" t="s">
        <v>7</v>
      </c>
      <c r="AC34" s="10">
        <v>12</v>
      </c>
      <c r="AD34" s="60" t="s">
        <v>102</v>
      </c>
      <c r="AE34" s="14">
        <v>1991960</v>
      </c>
      <c r="AF34" s="14">
        <f t="shared" si="48"/>
        <v>2973783.1433227924</v>
      </c>
      <c r="AG34" s="14">
        <f t="shared" si="46"/>
        <v>2689370.4299860434</v>
      </c>
      <c r="AH34">
        <f t="shared" si="49"/>
        <v>2.416963732534025</v>
      </c>
      <c r="AI34" s="9">
        <f t="shared" si="50"/>
        <v>2.6167389830317407</v>
      </c>
      <c r="AJ34" s="8">
        <f t="shared" si="51"/>
        <v>2.3235113134830065</v>
      </c>
      <c r="AK34" s="9">
        <f t="shared" si="52"/>
        <v>2.5060419707141977</v>
      </c>
      <c r="AL34">
        <f t="shared" si="18"/>
        <v>2.3235113134830065</v>
      </c>
      <c r="AM34" s="9">
        <f t="shared" si="19"/>
        <v>2.5060419707141977</v>
      </c>
      <c r="AN34">
        <f t="shared" si="53"/>
        <v>4.6470226269660131</v>
      </c>
      <c r="AO34" s="9">
        <f t="shared" si="54"/>
        <v>5.0120839414283953</v>
      </c>
      <c r="AP34" s="8">
        <f t="shared" si="22"/>
        <v>37.176181015728105</v>
      </c>
      <c r="AQ34" s="9">
        <f t="shared" si="23"/>
        <v>40.096671531427162</v>
      </c>
      <c r="AR34" s="8">
        <v>12.5</v>
      </c>
      <c r="AS34" s="9">
        <f t="shared" si="29"/>
        <v>100</v>
      </c>
      <c r="AT34">
        <f t="shared" si="24"/>
        <v>62.823818984271895</v>
      </c>
      <c r="AU34" s="9">
        <f t="shared" si="25"/>
        <v>3.1411909492135948</v>
      </c>
      <c r="AV34">
        <f t="shared" si="26"/>
        <v>59.903328468572838</v>
      </c>
      <c r="AW34" s="9">
        <f t="shared" si="27"/>
        <v>2.9951664234286417</v>
      </c>
      <c r="AX34">
        <f t="shared" si="31"/>
        <v>0.67595774786757212</v>
      </c>
      <c r="AY34" s="9">
        <f t="shared" si="32"/>
        <v>0.59758903849783651</v>
      </c>
      <c r="AZ34" t="s">
        <v>46</v>
      </c>
      <c r="BA34">
        <f>AVERAGE(AX33:AX36)</f>
        <v>1.1271443151005323</v>
      </c>
      <c r="BB34">
        <f>AVERAGE(AY33:AY36)</f>
        <v>0.97145760625228317</v>
      </c>
      <c r="BM34" s="15" t="s">
        <v>112</v>
      </c>
      <c r="BN34" s="7">
        <v>5160900</v>
      </c>
      <c r="BO34" s="7">
        <v>50</v>
      </c>
      <c r="BP34" s="7">
        <f t="shared" si="38"/>
        <v>400</v>
      </c>
      <c r="BQ34" s="7"/>
      <c r="BR34" s="7">
        <v>5.9947396889695588</v>
      </c>
      <c r="BS34" s="7">
        <f t="shared" si="39"/>
        <v>5.9947396889695588</v>
      </c>
      <c r="BT34" s="7">
        <f t="shared" si="35"/>
        <v>11.989479377939118</v>
      </c>
      <c r="BU34" s="7">
        <f t="shared" si="40"/>
        <v>95.91583502351294</v>
      </c>
      <c r="BV34" s="5">
        <f t="shared" si="41"/>
        <v>304.08416497648705</v>
      </c>
      <c r="BW34" s="6">
        <f t="shared" si="42"/>
        <v>15.204208248824353</v>
      </c>
      <c r="BX34" s="6">
        <f t="shared" si="43"/>
        <v>1.2681291463581312</v>
      </c>
      <c r="CA34" s="126">
        <v>8</v>
      </c>
      <c r="CB34" s="127">
        <f t="shared" si="44"/>
        <v>7.1249999999999991</v>
      </c>
      <c r="CC34" s="128">
        <v>8</v>
      </c>
      <c r="CD34" s="129">
        <f t="shared" si="45"/>
        <v>6.3336379717098916</v>
      </c>
    </row>
    <row r="35" spans="1:82" x14ac:dyDescent="0.25">
      <c r="A35" t="s">
        <v>8</v>
      </c>
      <c r="G35" s="10"/>
      <c r="AC35" s="10">
        <v>13</v>
      </c>
      <c r="AD35" s="60" t="s">
        <v>103</v>
      </c>
      <c r="AE35" s="14">
        <v>1216284</v>
      </c>
      <c r="AF35" s="14">
        <f t="shared" si="48"/>
        <v>1893558.6903408046</v>
      </c>
      <c r="AG35" s="14">
        <f t="shared" si="46"/>
        <v>1609145.9770040559</v>
      </c>
      <c r="AH35">
        <f t="shared" si="49"/>
        <v>1.4399298343858085</v>
      </c>
      <c r="AI35" s="9">
        <f t="shared" si="50"/>
        <v>1.6364723775659009</v>
      </c>
      <c r="AJ35" s="8">
        <f t="shared" si="51"/>
        <v>1.3464774153347898</v>
      </c>
      <c r="AK35" s="9">
        <f t="shared" si="52"/>
        <v>1.5257753652483579</v>
      </c>
      <c r="AL35">
        <f t="shared" si="18"/>
        <v>1.3464774153347898</v>
      </c>
      <c r="AM35" s="9">
        <f t="shared" si="19"/>
        <v>1.5257753652483579</v>
      </c>
      <c r="AN35">
        <f t="shared" si="53"/>
        <v>2.6929548306695796</v>
      </c>
      <c r="AO35" s="9">
        <f t="shared" si="54"/>
        <v>3.0515507304967158</v>
      </c>
      <c r="AP35" s="8">
        <f t="shared" si="22"/>
        <v>21.543638645356637</v>
      </c>
      <c r="AQ35" s="9">
        <f t="shared" si="23"/>
        <v>24.412405843973726</v>
      </c>
      <c r="AR35" s="8">
        <v>12.5</v>
      </c>
      <c r="AS35" s="9">
        <f t="shared" si="29"/>
        <v>100</v>
      </c>
      <c r="AT35">
        <f t="shared" si="24"/>
        <v>78.456361354643363</v>
      </c>
      <c r="AU35" s="9">
        <f t="shared" si="25"/>
        <v>3.9228180677321682</v>
      </c>
      <c r="AV35">
        <f t="shared" si="26"/>
        <v>75.58759415602627</v>
      </c>
      <c r="AW35" s="9">
        <f t="shared" si="27"/>
        <v>3.7793797078013136</v>
      </c>
      <c r="AX35">
        <f t="shared" si="31"/>
        <v>1.456696571014076</v>
      </c>
      <c r="AY35" s="9">
        <f t="shared" si="32"/>
        <v>1.2385111838485234</v>
      </c>
      <c r="AZ35" t="s">
        <v>407</v>
      </c>
      <c r="BA35">
        <f>STDEV(AX33:AX36)</f>
        <v>0.32890015108399384</v>
      </c>
      <c r="BB35">
        <f>STDEV(AY33:AY36)</f>
        <v>0.27082233459676147</v>
      </c>
      <c r="BW35" t="s">
        <v>46</v>
      </c>
      <c r="BX35" s="60">
        <f>AVERAGE(BX23:BX30,BX33:BX34)</f>
        <v>1.025723839067282</v>
      </c>
      <c r="CA35" s="126">
        <v>9</v>
      </c>
      <c r="CB35" s="127">
        <f t="shared" si="44"/>
        <v>7.656716417910447</v>
      </c>
      <c r="CC35" s="128">
        <v>9</v>
      </c>
      <c r="CD35" s="129">
        <f t="shared" si="45"/>
        <v>6.9594553617543475</v>
      </c>
    </row>
    <row r="36" spans="1:82" x14ac:dyDescent="0.25">
      <c r="A36" s="1"/>
      <c r="B36" s="2"/>
      <c r="C36" s="8" t="s">
        <v>11</v>
      </c>
      <c r="E36" s="8" t="s">
        <v>14</v>
      </c>
      <c r="F36" s="9"/>
      <c r="G36" s="8" t="s">
        <v>9</v>
      </c>
      <c r="H36" s="9"/>
      <c r="I36" s="14" t="s">
        <v>362</v>
      </c>
      <c r="AC36" s="10">
        <v>14</v>
      </c>
      <c r="AD36" s="96" t="s">
        <v>104</v>
      </c>
      <c r="AE36" s="15">
        <v>1286556</v>
      </c>
      <c r="AF36" s="15">
        <f t="shared" si="48"/>
        <v>2092594.6588719061</v>
      </c>
      <c r="AG36" s="15">
        <f t="shared" si="46"/>
        <v>1808181.9455351573</v>
      </c>
      <c r="AH36" s="7">
        <f t="shared" si="49"/>
        <v>1.6199525025163275</v>
      </c>
      <c r="AI36" s="6">
        <f t="shared" si="50"/>
        <v>1.8170906858248808</v>
      </c>
      <c r="AJ36" s="7">
        <f t="shared" si="51"/>
        <v>1.5265000834653089</v>
      </c>
      <c r="AK36" s="6">
        <f t="shared" si="52"/>
        <v>1.7063936735073377</v>
      </c>
      <c r="AL36" s="7">
        <f t="shared" si="18"/>
        <v>1.5265000834653089</v>
      </c>
      <c r="AM36" s="6">
        <f t="shared" si="19"/>
        <v>1.7063936735073377</v>
      </c>
      <c r="AN36" s="7">
        <f t="shared" si="53"/>
        <v>3.0530001669306177</v>
      </c>
      <c r="AO36" s="6">
        <f t="shared" si="54"/>
        <v>3.4127873470146755</v>
      </c>
      <c r="AP36" s="7">
        <f t="shared" si="22"/>
        <v>24.424001335444942</v>
      </c>
      <c r="AQ36" s="6">
        <f t="shared" si="23"/>
        <v>27.302298776117404</v>
      </c>
      <c r="AR36" s="5">
        <v>12.5</v>
      </c>
      <c r="AS36" s="6">
        <f t="shared" si="29"/>
        <v>100</v>
      </c>
      <c r="AT36" s="7">
        <f t="shared" si="24"/>
        <v>75.575998664555058</v>
      </c>
      <c r="AU36" s="6">
        <f t="shared" si="25"/>
        <v>3.7787999332277531</v>
      </c>
      <c r="AV36" s="7">
        <f t="shared" si="26"/>
        <v>72.697701223882603</v>
      </c>
      <c r="AW36" s="6">
        <f t="shared" si="27"/>
        <v>3.6348850611941304</v>
      </c>
      <c r="AX36" s="7">
        <f t="shared" si="31"/>
        <v>1.2377332874589488</v>
      </c>
      <c r="AY36" s="6">
        <f t="shared" si="32"/>
        <v>1.0650780993939555</v>
      </c>
      <c r="AZ36" t="s">
        <v>408</v>
      </c>
      <c r="BA36">
        <f>(BA35/BA34)*100</f>
        <v>29.179950311390122</v>
      </c>
      <c r="BB36">
        <f>(BB35/BB34)*100</f>
        <v>27.877936500136901</v>
      </c>
      <c r="CA36" s="126">
        <v>10</v>
      </c>
      <c r="CB36" s="127">
        <f t="shared" si="44"/>
        <v>8.1428571428571423</v>
      </c>
      <c r="CC36" s="128">
        <v>10</v>
      </c>
      <c r="CD36" s="129">
        <f t="shared" si="45"/>
        <v>7.5714881337623208</v>
      </c>
    </row>
    <row r="37" spans="1:82" x14ac:dyDescent="0.25">
      <c r="A37" s="5" t="s">
        <v>2</v>
      </c>
      <c r="B37" s="6" t="s">
        <v>3</v>
      </c>
      <c r="C37" s="7" t="s">
        <v>12</v>
      </c>
      <c r="D37" s="6" t="s">
        <v>13</v>
      </c>
      <c r="E37" s="7" t="s">
        <v>15</v>
      </c>
      <c r="F37" s="6" t="s">
        <v>16</v>
      </c>
      <c r="G37" s="7" t="s">
        <v>17</v>
      </c>
      <c r="H37" s="6" t="s">
        <v>18</v>
      </c>
      <c r="I37" s="87" t="s">
        <v>363</v>
      </c>
      <c r="AC37" s="10">
        <v>15</v>
      </c>
      <c r="AD37" s="60" t="s">
        <v>105</v>
      </c>
      <c r="AE37" s="14">
        <v>2826529</v>
      </c>
      <c r="AF37" s="14">
        <f t="shared" si="48"/>
        <v>4812747.7884792676</v>
      </c>
      <c r="AG37" s="14">
        <f t="shared" si="46"/>
        <v>4528335.0751425186</v>
      </c>
      <c r="AH37">
        <f t="shared" si="49"/>
        <v>4.0802576811704041</v>
      </c>
      <c r="AI37" s="9">
        <f t="shared" si="50"/>
        <v>4.2855362642846302</v>
      </c>
      <c r="AJ37" s="8">
        <f t="shared" si="51"/>
        <v>3.9868052621193857</v>
      </c>
      <c r="AK37" s="9">
        <f t="shared" si="52"/>
        <v>4.1748392519670867</v>
      </c>
      <c r="AL37">
        <f t="shared" si="18"/>
        <v>3.9868052621193857</v>
      </c>
      <c r="AM37" s="9">
        <f t="shared" si="19"/>
        <v>4.1748392519670867</v>
      </c>
      <c r="AN37">
        <f t="shared" si="53"/>
        <v>7.9736105242387714</v>
      </c>
      <c r="AO37" s="9">
        <f t="shared" si="54"/>
        <v>8.3496785039341734</v>
      </c>
      <c r="AP37" s="8">
        <f t="shared" si="22"/>
        <v>63.788884193910171</v>
      </c>
      <c r="AQ37" s="9">
        <f t="shared" si="23"/>
        <v>66.797428031473387</v>
      </c>
      <c r="AR37" s="8">
        <v>25</v>
      </c>
      <c r="AS37" s="9">
        <f t="shared" si="29"/>
        <v>200</v>
      </c>
      <c r="AT37">
        <f t="shared" si="24"/>
        <v>136.21111580608982</v>
      </c>
      <c r="AU37" s="9">
        <f t="shared" si="25"/>
        <v>6.8105557903044911</v>
      </c>
      <c r="AV37">
        <f t="shared" si="26"/>
        <v>133.20257196852663</v>
      </c>
      <c r="AW37" s="9">
        <f t="shared" si="27"/>
        <v>6.660128598426331</v>
      </c>
      <c r="AX37">
        <f t="shared" si="31"/>
        <v>0.85413700225277611</v>
      </c>
      <c r="AY37" s="9">
        <f t="shared" si="32"/>
        <v>0.79765090300042496</v>
      </c>
      <c r="BA37" t="s">
        <v>405</v>
      </c>
      <c r="BB37" t="s">
        <v>406</v>
      </c>
      <c r="CA37" s="126">
        <v>11</v>
      </c>
      <c r="CB37" s="127">
        <f t="shared" si="44"/>
        <v>8.5890410958904102</v>
      </c>
      <c r="CC37" s="128">
        <v>11</v>
      </c>
      <c r="CD37" s="129">
        <f t="shared" si="45"/>
        <v>8.1713797530267627</v>
      </c>
    </row>
    <row r="38" spans="1:82" x14ac:dyDescent="0.25">
      <c r="A38" s="61">
        <v>1</v>
      </c>
      <c r="B38" s="77" t="s">
        <v>92</v>
      </c>
      <c r="D38" s="4"/>
      <c r="F38" s="4"/>
      <c r="G38"/>
      <c r="H38" s="4"/>
      <c r="I38" s="14"/>
      <c r="AC38" s="10">
        <v>16</v>
      </c>
      <c r="AD38" s="60" t="s">
        <v>106</v>
      </c>
      <c r="AE38" s="14">
        <v>3631848</v>
      </c>
      <c r="AF38" s="14">
        <f t="shared" si="48"/>
        <v>6487908.7311972985</v>
      </c>
      <c r="AG38" s="14">
        <f t="shared" si="46"/>
        <v>6203496.0178605495</v>
      </c>
      <c r="AH38">
        <f t="shared" si="49"/>
        <v>5.5953955966020681</v>
      </c>
      <c r="AI38" s="9">
        <f t="shared" si="50"/>
        <v>5.8056873091846866</v>
      </c>
      <c r="AJ38" s="8">
        <f t="shared" si="51"/>
        <v>5.5019431775510492</v>
      </c>
      <c r="AK38" s="9">
        <f t="shared" si="52"/>
        <v>5.6949902968671431</v>
      </c>
      <c r="AL38">
        <f t="shared" si="18"/>
        <v>5.5019431775510492</v>
      </c>
      <c r="AM38" s="9">
        <f t="shared" si="19"/>
        <v>5.6949902968671431</v>
      </c>
      <c r="AN38">
        <f t="shared" si="53"/>
        <v>11.003886355102098</v>
      </c>
      <c r="AO38" s="9">
        <f t="shared" si="54"/>
        <v>11.389980593734286</v>
      </c>
      <c r="AP38" s="8">
        <f t="shared" si="22"/>
        <v>88.031090840816788</v>
      </c>
      <c r="AQ38" s="9">
        <f t="shared" si="23"/>
        <v>91.119844749874289</v>
      </c>
      <c r="AR38" s="8">
        <v>25</v>
      </c>
      <c r="AS38" s="9">
        <f t="shared" si="29"/>
        <v>200</v>
      </c>
      <c r="AT38">
        <f t="shared" si="24"/>
        <v>111.96890915918321</v>
      </c>
      <c r="AU38" s="9">
        <f t="shared" si="25"/>
        <v>5.5984454579591603</v>
      </c>
      <c r="AV38">
        <f t="shared" si="26"/>
        <v>108.88015525012571</v>
      </c>
      <c r="AW38" s="9">
        <f t="shared" si="27"/>
        <v>5.4440077625062857</v>
      </c>
      <c r="AX38">
        <f t="shared" si="31"/>
        <v>0.50876983615551119</v>
      </c>
      <c r="AY38" s="9">
        <f t="shared" si="32"/>
        <v>0.47796462142359358</v>
      </c>
      <c r="AZ38" t="s">
        <v>46</v>
      </c>
      <c r="BA38">
        <f>AVERAGE(AX37:AX40)</f>
        <v>0.55268859635132639</v>
      </c>
      <c r="BB38">
        <f>AVERAGE(AY37:AY40)</f>
        <v>0.51804121140872805</v>
      </c>
      <c r="BM38" t="s">
        <v>288</v>
      </c>
      <c r="CA38" s="126">
        <v>12</v>
      </c>
      <c r="CB38" s="127">
        <f t="shared" si="44"/>
        <v>8.9999999999999982</v>
      </c>
      <c r="CC38" s="128">
        <v>12</v>
      </c>
      <c r="CD38" s="129">
        <f t="shared" si="45"/>
        <v>8.7604465232621624</v>
      </c>
    </row>
    <row r="39" spans="1:82" x14ac:dyDescent="0.25">
      <c r="A39" s="61">
        <v>2</v>
      </c>
      <c r="B39" s="60" t="s">
        <v>94</v>
      </c>
      <c r="C39">
        <v>0</v>
      </c>
      <c r="D39" s="9">
        <v>45132</v>
      </c>
      <c r="E39" s="10">
        <v>0</v>
      </c>
      <c r="F39" s="9">
        <v>0</v>
      </c>
      <c r="G39">
        <v>341416</v>
      </c>
      <c r="H39" s="89">
        <v>341416</v>
      </c>
      <c r="I39" s="14">
        <f t="shared" si="9"/>
        <v>0</v>
      </c>
      <c r="AC39" s="10">
        <v>17</v>
      </c>
      <c r="AD39" s="60" t="s">
        <v>107</v>
      </c>
      <c r="AE39" s="14">
        <v>3718770</v>
      </c>
      <c r="AF39" s="14">
        <f t="shared" si="48"/>
        <v>6986572.7031412441</v>
      </c>
      <c r="AG39" s="14">
        <f t="shared" si="46"/>
        <v>6702159.9898044951</v>
      </c>
      <c r="AH39">
        <f t="shared" si="49"/>
        <v>6.0464237167575652</v>
      </c>
      <c r="AI39" s="9">
        <f t="shared" si="50"/>
        <v>6.2582077438926715</v>
      </c>
      <c r="AJ39" s="8">
        <f t="shared" si="51"/>
        <v>5.9529712977065463</v>
      </c>
      <c r="AK39" s="9">
        <f t="shared" si="52"/>
        <v>6.1475107315751281</v>
      </c>
      <c r="AL39">
        <f t="shared" si="18"/>
        <v>5.9529712977065463</v>
      </c>
      <c r="AM39" s="9">
        <f t="shared" si="19"/>
        <v>6.1475107315751281</v>
      </c>
      <c r="AN39">
        <f t="shared" si="53"/>
        <v>11.905942595413093</v>
      </c>
      <c r="AO39" s="9">
        <f t="shared" si="54"/>
        <v>12.295021463150256</v>
      </c>
      <c r="AP39" s="8">
        <f t="shared" si="22"/>
        <v>95.247540763304741</v>
      </c>
      <c r="AQ39" s="9">
        <f t="shared" si="23"/>
        <v>98.360171705202049</v>
      </c>
      <c r="AR39" s="8">
        <v>25</v>
      </c>
      <c r="AS39" s="9">
        <f t="shared" si="29"/>
        <v>200</v>
      </c>
      <c r="AT39">
        <f t="shared" si="24"/>
        <v>104.75245923669526</v>
      </c>
      <c r="AU39" s="9">
        <f t="shared" si="25"/>
        <v>5.2376229618347629</v>
      </c>
      <c r="AV39">
        <f t="shared" si="26"/>
        <v>101.63982829479795</v>
      </c>
      <c r="AW39" s="9">
        <f t="shared" si="27"/>
        <v>5.0819914147398979</v>
      </c>
      <c r="AX39">
        <f t="shared" si="31"/>
        <v>0.43991669872930683</v>
      </c>
      <c r="AY39" s="9">
        <f t="shared" si="32"/>
        <v>0.41333733576401416</v>
      </c>
      <c r="AZ39" t="s">
        <v>407</v>
      </c>
      <c r="BA39">
        <f>STDEV(AX37:AX40)</f>
        <v>0.20532275847323336</v>
      </c>
      <c r="BB39">
        <f>STDEV(AY37:AY40)</f>
        <v>0.19055142302043224</v>
      </c>
      <c r="BM39" s="48" t="s">
        <v>289</v>
      </c>
      <c r="CA39" s="126">
        <v>13</v>
      </c>
      <c r="CB39" s="127">
        <f t="shared" si="44"/>
        <v>9.3797468354430382</v>
      </c>
      <c r="CC39" s="128">
        <v>13</v>
      </c>
      <c r="CD39" s="129">
        <f t="shared" si="45"/>
        <v>9.3397645464473644</v>
      </c>
    </row>
    <row r="40" spans="1:82" x14ac:dyDescent="0.25">
      <c r="A40" s="61">
        <v>3</v>
      </c>
      <c r="B40" s="60" t="s">
        <v>95</v>
      </c>
      <c r="C40">
        <v>0</v>
      </c>
      <c r="D40" s="9">
        <v>50110</v>
      </c>
      <c r="E40" s="10">
        <v>0</v>
      </c>
      <c r="F40" s="9">
        <v>0</v>
      </c>
      <c r="G40">
        <v>607250</v>
      </c>
      <c r="H40" s="89">
        <v>607250</v>
      </c>
      <c r="I40" s="14">
        <f t="shared" si="9"/>
        <v>0</v>
      </c>
      <c r="AC40" s="10">
        <v>18</v>
      </c>
      <c r="AD40" s="96" t="s">
        <v>108</v>
      </c>
      <c r="AE40" s="15">
        <v>3658071</v>
      </c>
      <c r="AF40" s="15">
        <f t="shared" si="48"/>
        <v>7247141.179127926</v>
      </c>
      <c r="AG40" s="15">
        <f t="shared" si="46"/>
        <v>6962728.465791177</v>
      </c>
      <c r="AH40" s="7">
        <f t="shared" si="49"/>
        <v>6.2821008791519377</v>
      </c>
      <c r="AI40" s="6">
        <f t="shared" si="50"/>
        <v>6.4946646901706044</v>
      </c>
      <c r="AJ40" s="7">
        <f t="shared" si="51"/>
        <v>6.1886484601009188</v>
      </c>
      <c r="AK40" s="6">
        <f t="shared" si="52"/>
        <v>6.383967677853061</v>
      </c>
      <c r="AL40" s="7">
        <f t="shared" si="18"/>
        <v>6.1886484601009188</v>
      </c>
      <c r="AM40" s="6">
        <f t="shared" si="19"/>
        <v>6.383967677853061</v>
      </c>
      <c r="AN40" s="7">
        <f t="shared" si="53"/>
        <v>12.377296920201838</v>
      </c>
      <c r="AO40" s="6">
        <f t="shared" si="54"/>
        <v>12.767935355706122</v>
      </c>
      <c r="AP40" s="7">
        <f t="shared" si="22"/>
        <v>99.018375361614702</v>
      </c>
      <c r="AQ40" s="6">
        <f t="shared" si="23"/>
        <v>102.14348284564898</v>
      </c>
      <c r="AR40" s="5">
        <v>25</v>
      </c>
      <c r="AS40" s="6">
        <f t="shared" si="29"/>
        <v>200</v>
      </c>
      <c r="AT40" s="7">
        <f t="shared" si="24"/>
        <v>100.9816246383853</v>
      </c>
      <c r="AU40" s="6">
        <f t="shared" si="25"/>
        <v>5.0490812319192653</v>
      </c>
      <c r="AV40" s="7">
        <f t="shared" si="26"/>
        <v>97.856517154351025</v>
      </c>
      <c r="AW40" s="6">
        <f t="shared" si="27"/>
        <v>4.8928258577175514</v>
      </c>
      <c r="AX40" s="7">
        <f t="shared" si="31"/>
        <v>0.4079308482677112</v>
      </c>
      <c r="AY40" s="6">
        <f t="shared" si="32"/>
        <v>0.3832119854468794</v>
      </c>
      <c r="AZ40" t="s">
        <v>408</v>
      </c>
      <c r="BA40">
        <f>(BA39/BA38)*100</f>
        <v>37.149809102034787</v>
      </c>
      <c r="BB40">
        <f>(BB39/BB38)*100</f>
        <v>36.783062587290864</v>
      </c>
      <c r="BM40" s="35" t="s">
        <v>55</v>
      </c>
      <c r="BN40" t="s">
        <v>56</v>
      </c>
      <c r="BO40" t="s">
        <v>57</v>
      </c>
      <c r="BP40" t="s">
        <v>61</v>
      </c>
      <c r="BR40" t="s">
        <v>66</v>
      </c>
      <c r="BS40" t="s">
        <v>65</v>
      </c>
      <c r="BT40" s="48" t="s">
        <v>68</v>
      </c>
      <c r="BU40" t="s">
        <v>68</v>
      </c>
      <c r="BV40" s="18" t="s">
        <v>71</v>
      </c>
      <c r="BW40" s="9" t="s">
        <v>73</v>
      </c>
      <c r="BX40" s="10" t="s">
        <v>88</v>
      </c>
      <c r="CA40" s="126">
        <v>14</v>
      </c>
      <c r="CB40" s="127">
        <f t="shared" si="44"/>
        <v>9.7317073170731696</v>
      </c>
      <c r="CC40" s="128">
        <v>14</v>
      </c>
      <c r="CD40" s="129">
        <f t="shared" si="45"/>
        <v>9.9102286475873509</v>
      </c>
    </row>
    <row r="41" spans="1:82" x14ac:dyDescent="0.25">
      <c r="A41" s="61">
        <v>4</v>
      </c>
      <c r="B41" s="60" t="s">
        <v>93</v>
      </c>
      <c r="C41">
        <v>844407</v>
      </c>
      <c r="D41" s="9">
        <v>844407</v>
      </c>
      <c r="E41">
        <v>0</v>
      </c>
      <c r="F41" s="9">
        <v>127396</v>
      </c>
      <c r="G41">
        <v>130937</v>
      </c>
      <c r="H41" s="9">
        <v>136149</v>
      </c>
      <c r="I41" s="14">
        <f t="shared" si="9"/>
        <v>0.15087037412053667</v>
      </c>
      <c r="AC41" s="10">
        <v>19</v>
      </c>
      <c r="AD41" s="60" t="s">
        <v>109</v>
      </c>
      <c r="AE41" s="14">
        <v>8134064</v>
      </c>
      <c r="AF41" s="14">
        <f t="shared" si="48"/>
        <v>17043710.501579549</v>
      </c>
      <c r="AG41" s="14">
        <f t="shared" si="46"/>
        <v>16759297.7882428</v>
      </c>
      <c r="AH41">
        <f t="shared" si="49"/>
        <v>15.142833745522021</v>
      </c>
      <c r="AI41" s="9">
        <f t="shared" si="50"/>
        <v>15.384715020377824</v>
      </c>
      <c r="AJ41" s="8">
        <f t="shared" si="51"/>
        <v>15.049381326471002</v>
      </c>
      <c r="AK41" s="9">
        <f t="shared" si="52"/>
        <v>15.274018008060281</v>
      </c>
      <c r="AL41">
        <f t="shared" si="18"/>
        <v>15.049381326471002</v>
      </c>
      <c r="AM41" s="9">
        <f t="shared" si="19"/>
        <v>15.274018008060281</v>
      </c>
      <c r="AN41">
        <f t="shared" si="53"/>
        <v>30.098762652942003</v>
      </c>
      <c r="AO41" s="9">
        <f t="shared" si="54"/>
        <v>30.548036016120562</v>
      </c>
      <c r="AP41" s="8">
        <f t="shared" si="22"/>
        <v>240.79010122353603</v>
      </c>
      <c r="AQ41" s="9">
        <f t="shared" si="23"/>
        <v>244.3842881289645</v>
      </c>
      <c r="AR41" s="8">
        <v>50</v>
      </c>
      <c r="AS41" s="9">
        <f t="shared" si="29"/>
        <v>400</v>
      </c>
      <c r="AT41">
        <f t="shared" si="24"/>
        <v>159.20989877646397</v>
      </c>
      <c r="AU41" s="9">
        <f t="shared" si="25"/>
        <v>7.9604949388231985</v>
      </c>
      <c r="AV41">
        <f t="shared" si="26"/>
        <v>155.6157118710355</v>
      </c>
      <c r="AW41" s="9">
        <f t="shared" si="27"/>
        <v>7.7807855935517747</v>
      </c>
      <c r="AX41">
        <f t="shared" si="31"/>
        <v>0.26447914256851018</v>
      </c>
      <c r="AY41" s="9">
        <f t="shared" si="32"/>
        <v>0.25470657391675727</v>
      </c>
      <c r="BA41" t="s">
        <v>405</v>
      </c>
      <c r="BB41" t="s">
        <v>406</v>
      </c>
      <c r="BM41" t="s">
        <v>54</v>
      </c>
      <c r="BN41" t="s">
        <v>12</v>
      </c>
      <c r="BO41" t="s">
        <v>59</v>
      </c>
      <c r="BP41" t="s">
        <v>60</v>
      </c>
      <c r="BR41" t="s">
        <v>63</v>
      </c>
      <c r="BS41" t="s">
        <v>67</v>
      </c>
      <c r="BT41" t="s">
        <v>67</v>
      </c>
      <c r="BU41" t="s">
        <v>70</v>
      </c>
      <c r="BV41" s="18" t="s">
        <v>70</v>
      </c>
      <c r="BW41" s="9" t="s">
        <v>74</v>
      </c>
      <c r="BX41" s="10" t="s">
        <v>89</v>
      </c>
      <c r="CA41" s="126">
        <v>15</v>
      </c>
      <c r="CB41" s="127">
        <f t="shared" si="44"/>
        <v>10.058823529411764</v>
      </c>
      <c r="CC41" s="128">
        <v>15</v>
      </c>
      <c r="CD41" s="129">
        <f t="shared" si="45"/>
        <v>10.472593664748386</v>
      </c>
    </row>
    <row r="42" spans="1:82" x14ac:dyDescent="0.25">
      <c r="A42" s="61">
        <v>5</v>
      </c>
      <c r="B42" s="60" t="s">
        <v>96</v>
      </c>
      <c r="C42">
        <v>803690</v>
      </c>
      <c r="D42" s="9">
        <v>803690</v>
      </c>
      <c r="E42">
        <v>0</v>
      </c>
      <c r="F42" s="9">
        <v>121707</v>
      </c>
      <c r="G42">
        <v>97902</v>
      </c>
      <c r="H42" s="9">
        <v>98704</v>
      </c>
      <c r="I42" s="14">
        <f t="shared" si="9"/>
        <v>0.15143525488683449</v>
      </c>
      <c r="AC42" s="10">
        <v>20</v>
      </c>
      <c r="AD42" s="60" t="s">
        <v>110</v>
      </c>
      <c r="AE42" s="14">
        <v>9565766</v>
      </c>
      <c r="AF42" s="14">
        <f t="shared" si="48"/>
        <v>21269833.002814539</v>
      </c>
      <c r="AG42" s="14">
        <f t="shared" si="46"/>
        <v>20985420.289477792</v>
      </c>
      <c r="AH42">
        <f t="shared" si="49"/>
        <v>18.965247624447947</v>
      </c>
      <c r="AI42" s="9">
        <f t="shared" si="50"/>
        <v>19.21977610155621</v>
      </c>
      <c r="AJ42" s="8">
        <f t="shared" si="51"/>
        <v>18.871795205396928</v>
      </c>
      <c r="AK42" s="9">
        <f t="shared" si="52"/>
        <v>19.109079089238666</v>
      </c>
      <c r="AL42">
        <f t="shared" si="18"/>
        <v>18.871795205396928</v>
      </c>
      <c r="AM42" s="9">
        <f t="shared" si="19"/>
        <v>19.109079089238666</v>
      </c>
      <c r="AN42">
        <f t="shared" si="53"/>
        <v>37.743590410793857</v>
      </c>
      <c r="AO42" s="9">
        <f t="shared" si="54"/>
        <v>38.218158178477331</v>
      </c>
      <c r="AP42" s="8">
        <f t="shared" si="22"/>
        <v>301.94872328635086</v>
      </c>
      <c r="AQ42" s="9">
        <f t="shared" si="23"/>
        <v>305.74526542781865</v>
      </c>
      <c r="AR42" s="8">
        <v>50</v>
      </c>
      <c r="AS42" s="9">
        <f t="shared" si="29"/>
        <v>400</v>
      </c>
      <c r="AT42">
        <f t="shared" si="24"/>
        <v>98.051276713649145</v>
      </c>
      <c r="AU42" s="9">
        <f t="shared" si="25"/>
        <v>4.9025638356824572</v>
      </c>
      <c r="AV42">
        <f t="shared" si="26"/>
        <v>94.254734572181349</v>
      </c>
      <c r="AW42" s="9">
        <f t="shared" si="27"/>
        <v>4.7127367286090678</v>
      </c>
      <c r="AX42">
        <f t="shared" si="31"/>
        <v>0.12989129498078777</v>
      </c>
      <c r="AY42" s="9">
        <f t="shared" si="32"/>
        <v>0.12331145594721672</v>
      </c>
      <c r="AZ42" t="s">
        <v>46</v>
      </c>
      <c r="BA42">
        <f>AVERAGE(AX41:AX44)</f>
        <v>0.35580650602793262</v>
      </c>
      <c r="BB42">
        <f>AVERAGE(AY41:AY44)</f>
        <v>0.34305064507367145</v>
      </c>
      <c r="BM42" s="16" t="s">
        <v>21</v>
      </c>
      <c r="BN42" s="17">
        <v>0</v>
      </c>
      <c r="BO42" s="3">
        <v>0</v>
      </c>
      <c r="BP42" s="3">
        <f>BO42*8</f>
        <v>0</v>
      </c>
      <c r="BQ42" s="3"/>
      <c r="BR42" s="41">
        <v>0</v>
      </c>
      <c r="BS42" s="41">
        <f>BR42</f>
        <v>0</v>
      </c>
      <c r="BT42" s="41">
        <f>BS42</f>
        <v>0</v>
      </c>
      <c r="BU42" s="4">
        <f>BT42*8</f>
        <v>0</v>
      </c>
      <c r="BV42" s="32">
        <f t="shared" ref="BV42:BV53" si="55">BP42-BU42</f>
        <v>0</v>
      </c>
      <c r="BW42" s="4">
        <f t="shared" ref="BW42:BW53" si="56">BV42/20</f>
        <v>0</v>
      </c>
      <c r="CA42" s="126">
        <v>16</v>
      </c>
      <c r="CB42" s="127">
        <f t="shared" si="44"/>
        <v>10.363636363636363</v>
      </c>
      <c r="CC42" s="128">
        <v>16</v>
      </c>
      <c r="CD42" s="129">
        <f t="shared" si="45"/>
        <v>11.027504207971534</v>
      </c>
    </row>
    <row r="43" spans="1:82" x14ac:dyDescent="0.25">
      <c r="A43" s="61">
        <v>6</v>
      </c>
      <c r="B43" s="60" t="s">
        <v>97</v>
      </c>
      <c r="C43">
        <v>8946010</v>
      </c>
      <c r="D43" s="9">
        <v>8918872</v>
      </c>
      <c r="E43">
        <v>1348714</v>
      </c>
      <c r="F43" s="9">
        <v>1348714</v>
      </c>
      <c r="G43">
        <v>279894</v>
      </c>
      <c r="H43" s="9">
        <v>279894</v>
      </c>
      <c r="I43" s="14">
        <f t="shared" si="9"/>
        <v>0.15122024399498052</v>
      </c>
      <c r="AC43" s="10">
        <v>21</v>
      </c>
      <c r="AD43" s="60" t="s">
        <v>111</v>
      </c>
      <c r="AE43" s="14">
        <v>5071788</v>
      </c>
      <c r="AF43" s="14">
        <f t="shared" si="48"/>
        <v>12012174.291481525</v>
      </c>
      <c r="AG43" s="14">
        <f t="shared" si="46"/>
        <v>11727761.578144776</v>
      </c>
      <c r="AH43">
        <f t="shared" si="49"/>
        <v>10.591944878439552</v>
      </c>
      <c r="AI43" s="9">
        <f t="shared" si="50"/>
        <v>10.818768649384602</v>
      </c>
      <c r="AJ43" s="8">
        <f t="shared" si="51"/>
        <v>10.498492459388533</v>
      </c>
      <c r="AK43" s="9">
        <f t="shared" si="52"/>
        <v>10.708071637067059</v>
      </c>
      <c r="AL43">
        <f t="shared" si="18"/>
        <v>10.498492459388533</v>
      </c>
      <c r="AM43" s="9">
        <f t="shared" si="19"/>
        <v>10.708071637067059</v>
      </c>
      <c r="AN43">
        <f t="shared" si="53"/>
        <v>20.996984918777066</v>
      </c>
      <c r="AO43" s="9">
        <f t="shared" si="54"/>
        <v>21.416143274134118</v>
      </c>
      <c r="AP43" s="8">
        <f t="shared" si="22"/>
        <v>167.97587935021653</v>
      </c>
      <c r="AQ43" s="9">
        <f t="shared" si="23"/>
        <v>171.32914619307294</v>
      </c>
      <c r="AR43" s="8">
        <v>50</v>
      </c>
      <c r="AS43" s="9">
        <f t="shared" si="29"/>
        <v>400</v>
      </c>
      <c r="AT43">
        <f t="shared" si="24"/>
        <v>232.02412064978347</v>
      </c>
      <c r="AU43" s="9">
        <f t="shared" si="25"/>
        <v>11.601206032489173</v>
      </c>
      <c r="AV43">
        <f t="shared" si="26"/>
        <v>228.67085380692706</v>
      </c>
      <c r="AW43" s="9">
        <f t="shared" si="27"/>
        <v>11.433542690346354</v>
      </c>
      <c r="AX43">
        <f t="shared" si="31"/>
        <v>0.55251771039348185</v>
      </c>
      <c r="AY43" s="9">
        <f t="shared" si="32"/>
        <v>0.53387496263883794</v>
      </c>
      <c r="AZ43" t="s">
        <v>407</v>
      </c>
      <c r="BA43">
        <f>STDEV(AX41:AX44)</f>
        <v>0.19373648684914038</v>
      </c>
      <c r="BB43">
        <f>STDEV(AY41:AY44)</f>
        <v>0.18819632122523181</v>
      </c>
      <c r="BM43" s="14" t="s">
        <v>22</v>
      </c>
      <c r="BN43" s="42">
        <v>0</v>
      </c>
      <c r="BO43" s="10">
        <v>0</v>
      </c>
      <c r="BP43" s="8">
        <f t="shared" ref="BP43:BP53" si="57">BO43*8</f>
        <v>0</v>
      </c>
      <c r="BQ43" s="8"/>
      <c r="BR43" s="22">
        <v>0</v>
      </c>
      <c r="BS43" s="22">
        <f t="shared" ref="BS43:BT58" si="58">BR43</f>
        <v>0</v>
      </c>
      <c r="BT43" s="22">
        <f t="shared" si="58"/>
        <v>0</v>
      </c>
      <c r="BU43" s="9">
        <f>BT43*8</f>
        <v>0</v>
      </c>
      <c r="BV43" s="33">
        <f t="shared" si="55"/>
        <v>0</v>
      </c>
      <c r="BW43" s="9">
        <f t="shared" si="56"/>
        <v>0</v>
      </c>
      <c r="CA43" s="126">
        <v>17</v>
      </c>
      <c r="CB43" s="127">
        <f t="shared" si="44"/>
        <v>10.648351648351648</v>
      </c>
      <c r="CC43" s="128">
        <v>17</v>
      </c>
      <c r="CD43" s="129">
        <f t="shared" si="45"/>
        <v>11.575516627700237</v>
      </c>
    </row>
    <row r="44" spans="1:82" x14ac:dyDescent="0.25">
      <c r="A44" s="61">
        <v>7</v>
      </c>
      <c r="B44" s="60" t="s">
        <v>98</v>
      </c>
      <c r="C44">
        <v>9017042</v>
      </c>
      <c r="D44" s="9">
        <v>8990727</v>
      </c>
      <c r="E44">
        <v>1360347</v>
      </c>
      <c r="F44" s="9">
        <v>1359038</v>
      </c>
      <c r="G44">
        <v>282159</v>
      </c>
      <c r="H44" s="9">
        <v>282159</v>
      </c>
      <c r="I44" s="14">
        <f t="shared" si="9"/>
        <v>0.15115996737527454</v>
      </c>
      <c r="AC44" s="10">
        <v>22</v>
      </c>
      <c r="AD44" s="96" t="s">
        <v>112</v>
      </c>
      <c r="AE44" s="15">
        <v>5139561</v>
      </c>
      <c r="AF44" s="15">
        <f t="shared" si="48"/>
        <v>13021194.242567243</v>
      </c>
      <c r="AG44" s="15">
        <f t="shared" si="46"/>
        <v>12736781.529230494</v>
      </c>
      <c r="AH44" s="7">
        <f t="shared" si="49"/>
        <v>11.504576224079941</v>
      </c>
      <c r="AI44" s="6">
        <f t="shared" si="50"/>
        <v>11.734419613929651</v>
      </c>
      <c r="AJ44" s="7">
        <f t="shared" si="51"/>
        <v>11.411123805028922</v>
      </c>
      <c r="AK44" s="6">
        <f t="shared" si="52"/>
        <v>11.623722601612108</v>
      </c>
      <c r="AL44" s="7">
        <f t="shared" si="18"/>
        <v>11.411123805028922</v>
      </c>
      <c r="AM44" s="6">
        <f t="shared" si="19"/>
        <v>11.623722601612108</v>
      </c>
      <c r="AN44" s="7">
        <f t="shared" si="53"/>
        <v>22.822247610057843</v>
      </c>
      <c r="AO44" s="6">
        <f t="shared" si="54"/>
        <v>23.247445203224217</v>
      </c>
      <c r="AP44" s="7">
        <f t="shared" si="22"/>
        <v>182.57798088046275</v>
      </c>
      <c r="AQ44" s="6">
        <f t="shared" si="23"/>
        <v>185.97956162579374</v>
      </c>
      <c r="AR44" s="7">
        <v>50</v>
      </c>
      <c r="AS44" s="6">
        <f t="shared" si="29"/>
        <v>400</v>
      </c>
      <c r="AT44" s="7">
        <f t="shared" si="24"/>
        <v>217.42201911953725</v>
      </c>
      <c r="AU44" s="6">
        <f t="shared" si="25"/>
        <v>10.871100955976862</v>
      </c>
      <c r="AV44" s="7">
        <f t="shared" si="26"/>
        <v>214.02043837420626</v>
      </c>
      <c r="AW44" s="6">
        <f t="shared" si="27"/>
        <v>10.701021918710314</v>
      </c>
      <c r="AX44" s="7">
        <f t="shared" si="31"/>
        <v>0.47633787616895062</v>
      </c>
      <c r="AY44" s="6">
        <f t="shared" si="32"/>
        <v>0.46030958779187381</v>
      </c>
      <c r="AZ44" t="s">
        <v>408</v>
      </c>
      <c r="BA44">
        <f>(BA43/BA42)*100</f>
        <v>54.449956245019052</v>
      </c>
      <c r="BB44">
        <f>(BB43/BB42)*100</f>
        <v>54.859631931260743</v>
      </c>
      <c r="BM44" s="14" t="s">
        <v>29</v>
      </c>
      <c r="BN44" s="18">
        <v>0</v>
      </c>
      <c r="BO44" s="8">
        <v>0</v>
      </c>
      <c r="BP44" s="8">
        <f t="shared" si="57"/>
        <v>0</v>
      </c>
      <c r="BQ44" s="8"/>
      <c r="BR44" s="22">
        <v>0</v>
      </c>
      <c r="BS44" s="22">
        <f t="shared" si="58"/>
        <v>0</v>
      </c>
      <c r="BT44" s="22">
        <f t="shared" si="58"/>
        <v>0</v>
      </c>
      <c r="BU44" s="9">
        <f>BT44*8</f>
        <v>0</v>
      </c>
      <c r="BV44" s="33">
        <f t="shared" si="55"/>
        <v>0</v>
      </c>
      <c r="BW44" s="9">
        <f t="shared" si="56"/>
        <v>0</v>
      </c>
      <c r="CA44" s="126">
        <v>18</v>
      </c>
      <c r="CB44" s="127">
        <f t="shared" si="44"/>
        <v>10.914893617021276</v>
      </c>
      <c r="CC44" s="128">
        <v>18</v>
      </c>
      <c r="CD44" s="129">
        <f t="shared" si="45"/>
        <v>12.117115570818955</v>
      </c>
    </row>
    <row r="45" spans="1:82" x14ac:dyDescent="0.25">
      <c r="A45" s="61">
        <v>8</v>
      </c>
      <c r="B45" s="60" t="s">
        <v>99</v>
      </c>
      <c r="C45">
        <v>21292759</v>
      </c>
      <c r="D45" s="9">
        <v>21232349</v>
      </c>
      <c r="E45">
        <v>3214076</v>
      </c>
      <c r="F45" s="9">
        <v>3209351</v>
      </c>
      <c r="G45">
        <v>487153</v>
      </c>
      <c r="H45" s="9">
        <v>487153</v>
      </c>
      <c r="I45" s="14">
        <f t="shared" si="9"/>
        <v>0.15115383606401722</v>
      </c>
      <c r="AC45" s="10">
        <v>23</v>
      </c>
      <c r="AD45" s="60" t="s">
        <v>114</v>
      </c>
      <c r="AE45" s="14">
        <v>133944</v>
      </c>
      <c r="AF45" s="14">
        <f t="shared" si="48"/>
        <v>364777.16067666904</v>
      </c>
      <c r="AG45" s="14">
        <f t="shared" si="46"/>
        <v>80364.447339920211</v>
      </c>
      <c r="AH45">
        <f t="shared" si="49"/>
        <v>5.7188152116512431E-2</v>
      </c>
      <c r="AI45" s="9">
        <f t="shared" si="50"/>
        <v>0.24915562460240828</v>
      </c>
      <c r="AJ45" s="8">
        <f t="shared" si="51"/>
        <v>0</v>
      </c>
      <c r="AK45" s="9">
        <f t="shared" si="52"/>
        <v>0.1384586122848652</v>
      </c>
      <c r="AL45">
        <f t="shared" si="18"/>
        <v>0</v>
      </c>
      <c r="AM45" s="9">
        <f t="shared" si="19"/>
        <v>0.1384586122848652</v>
      </c>
      <c r="AN45">
        <f t="shared" si="53"/>
        <v>0</v>
      </c>
      <c r="AO45" s="9">
        <f t="shared" si="54"/>
        <v>0.27691722456973039</v>
      </c>
      <c r="AP45" s="8">
        <f t="shared" si="22"/>
        <v>0</v>
      </c>
      <c r="AQ45" s="9">
        <f t="shared" si="23"/>
        <v>2.2153377965578431</v>
      </c>
      <c r="AR45" s="8">
        <v>0</v>
      </c>
      <c r="AS45" s="9">
        <f t="shared" si="29"/>
        <v>0</v>
      </c>
      <c r="AT45">
        <f t="shared" si="24"/>
        <v>0</v>
      </c>
      <c r="AU45" s="9">
        <f t="shared" si="25"/>
        <v>0</v>
      </c>
      <c r="AV45">
        <f t="shared" si="26"/>
        <v>-2.2153377965578431</v>
      </c>
      <c r="AW45" s="9">
        <f t="shared" si="27"/>
        <v>-0.11076688982789215</v>
      </c>
      <c r="AY45" s="9"/>
      <c r="BM45" s="15" t="s">
        <v>30</v>
      </c>
      <c r="BN45" s="43">
        <v>0</v>
      </c>
      <c r="BO45" s="44">
        <v>0</v>
      </c>
      <c r="BP45" s="7">
        <f t="shared" si="57"/>
        <v>0</v>
      </c>
      <c r="BQ45" s="7"/>
      <c r="BR45" s="45">
        <v>0</v>
      </c>
      <c r="BS45" s="45">
        <f t="shared" si="58"/>
        <v>0</v>
      </c>
      <c r="BT45" s="45">
        <f t="shared" si="58"/>
        <v>0</v>
      </c>
      <c r="BU45" s="6">
        <f>BT45*8</f>
        <v>0</v>
      </c>
      <c r="BV45" s="46">
        <f t="shared" si="55"/>
        <v>0</v>
      </c>
      <c r="BW45" s="6">
        <f t="shared" si="56"/>
        <v>0</v>
      </c>
      <c r="CA45" s="126">
        <v>19</v>
      </c>
      <c r="CB45" s="127">
        <f t="shared" si="44"/>
        <v>11.164948453608245</v>
      </c>
      <c r="CC45" s="128">
        <v>19</v>
      </c>
      <c r="CD45" s="129">
        <f t="shared" si="45"/>
        <v>12.652726684486476</v>
      </c>
    </row>
    <row r="46" spans="1:82" x14ac:dyDescent="0.25">
      <c r="A46" s="61">
        <v>9</v>
      </c>
      <c r="B46" s="60" t="s">
        <v>100</v>
      </c>
      <c r="C46" s="61">
        <v>21344369</v>
      </c>
      <c r="D46" s="60">
        <v>21268193</v>
      </c>
      <c r="E46" s="61">
        <v>3210869</v>
      </c>
      <c r="F46" s="60">
        <v>3209718</v>
      </c>
      <c r="G46">
        <v>588156</v>
      </c>
      <c r="H46" s="9">
        <v>588156</v>
      </c>
      <c r="I46" s="14">
        <f t="shared" si="9"/>
        <v>0.15091634724209999</v>
      </c>
      <c r="BM46" s="36" t="s">
        <v>31</v>
      </c>
      <c r="BN46" s="18">
        <v>180679</v>
      </c>
      <c r="BO46" s="8">
        <v>2.5</v>
      </c>
      <c r="BP46" s="8">
        <f t="shared" si="57"/>
        <v>20</v>
      </c>
      <c r="BQ46" s="8"/>
      <c r="BR46" s="28">
        <v>0.4914901072268959</v>
      </c>
      <c r="BS46" s="28">
        <f t="shared" si="58"/>
        <v>0.4914901072268959</v>
      </c>
      <c r="BT46" s="28">
        <f t="shared" si="58"/>
        <v>0.4914901072268959</v>
      </c>
      <c r="BU46" s="28">
        <f>BT46*8</f>
        <v>3.9319208578151672</v>
      </c>
      <c r="BV46" s="24">
        <f t="shared" si="55"/>
        <v>16.068079142184832</v>
      </c>
      <c r="BW46" s="25">
        <f t="shared" si="56"/>
        <v>0.80340395710924162</v>
      </c>
      <c r="BX46">
        <f t="shared" ref="BX46:BX65" si="59">BW46/BT46</f>
        <v>1.6346289483673189</v>
      </c>
      <c r="CA46" s="126">
        <v>20</v>
      </c>
      <c r="CB46" s="127">
        <f t="shared" si="44"/>
        <v>11.399999999999999</v>
      </c>
      <c r="CC46" s="128">
        <v>20</v>
      </c>
      <c r="CD46" s="129">
        <f t="shared" si="45"/>
        <v>13.182726519673412</v>
      </c>
    </row>
    <row r="47" spans="1:82" x14ac:dyDescent="0.25">
      <c r="A47" s="44">
        <v>10</v>
      </c>
      <c r="B47" s="96" t="s">
        <v>113</v>
      </c>
      <c r="C47" s="44">
        <v>485398</v>
      </c>
      <c r="D47" s="96">
        <v>486020</v>
      </c>
      <c r="E47" s="44">
        <v>0</v>
      </c>
      <c r="F47" s="96">
        <v>74093</v>
      </c>
      <c r="G47" s="7">
        <v>509719</v>
      </c>
      <c r="H47" s="138">
        <v>505768</v>
      </c>
      <c r="I47" s="15">
        <f t="shared" si="9"/>
        <v>0.15244845891115591</v>
      </c>
      <c r="BM47" s="37" t="s">
        <v>32</v>
      </c>
      <c r="BN47" s="18">
        <v>207828</v>
      </c>
      <c r="BO47" s="8">
        <v>2.5</v>
      </c>
      <c r="BP47" s="8">
        <f t="shared" si="57"/>
        <v>20</v>
      </c>
      <c r="BQ47" s="8"/>
      <c r="BR47" s="28">
        <v>0.55315299320617817</v>
      </c>
      <c r="BS47" s="28">
        <f t="shared" si="58"/>
        <v>0.55315299320617817</v>
      </c>
      <c r="BT47" s="28">
        <f t="shared" si="58"/>
        <v>0.55315299320617817</v>
      </c>
      <c r="BU47" s="28">
        <f t="shared" ref="BU47:BU53" si="60">BT47*8</f>
        <v>4.4252239456494253</v>
      </c>
      <c r="BV47" s="26">
        <f t="shared" si="55"/>
        <v>15.574776054350576</v>
      </c>
      <c r="BW47" s="27">
        <f t="shared" si="56"/>
        <v>0.77873880271752882</v>
      </c>
      <c r="BX47">
        <f t="shared" si="59"/>
        <v>1.407818112316112</v>
      </c>
      <c r="CA47" s="126">
        <v>21</v>
      </c>
      <c r="CB47" s="127">
        <f t="shared" si="44"/>
        <v>11.621359223300971</v>
      </c>
      <c r="CC47" s="128">
        <v>21</v>
      </c>
      <c r="CD47" s="129">
        <f t="shared" si="45"/>
        <v>13.707450360799738</v>
      </c>
    </row>
    <row r="48" spans="1:82" x14ac:dyDescent="0.25">
      <c r="A48" s="61">
        <v>11</v>
      </c>
      <c r="B48" s="60" t="s">
        <v>101</v>
      </c>
      <c r="C48">
        <v>1537277</v>
      </c>
      <c r="D48" s="9">
        <v>1535444</v>
      </c>
      <c r="E48">
        <v>232839</v>
      </c>
      <c r="F48" s="9">
        <v>233238</v>
      </c>
      <c r="G48">
        <v>270128</v>
      </c>
      <c r="H48" s="9">
        <v>268122</v>
      </c>
      <c r="I48" s="14">
        <f t="shared" si="9"/>
        <v>0.15190264184170832</v>
      </c>
      <c r="BM48" s="37" t="s">
        <v>34</v>
      </c>
      <c r="BN48" s="18">
        <v>194928</v>
      </c>
      <c r="BO48" s="8">
        <v>2.5</v>
      </c>
      <c r="BP48" s="8">
        <f t="shared" si="57"/>
        <v>20</v>
      </c>
      <c r="BQ48" s="8"/>
      <c r="BR48" s="28">
        <v>0.52385352622276293</v>
      </c>
      <c r="BS48" s="28">
        <f t="shared" si="58"/>
        <v>0.52385352622276293</v>
      </c>
      <c r="BT48" s="28">
        <f t="shared" si="58"/>
        <v>0.52385352622276293</v>
      </c>
      <c r="BU48" s="28">
        <f t="shared" si="60"/>
        <v>4.1908282097821035</v>
      </c>
      <c r="BV48" s="26">
        <f t="shared" si="55"/>
        <v>15.809171790217896</v>
      </c>
      <c r="BW48" s="27">
        <f t="shared" si="56"/>
        <v>0.79045858951089476</v>
      </c>
      <c r="BX48">
        <f t="shared" si="59"/>
        <v>1.5089305501300776</v>
      </c>
      <c r="CA48" s="126">
        <v>22</v>
      </c>
      <c r="CB48" s="127">
        <f t="shared" si="44"/>
        <v>11.830188679245282</v>
      </c>
      <c r="CC48" s="128">
        <v>22</v>
      </c>
      <c r="CD48" s="129">
        <f t="shared" si="45"/>
        <v>14.227198493807988</v>
      </c>
    </row>
    <row r="49" spans="1:84" x14ac:dyDescent="0.25">
      <c r="A49" s="61">
        <v>12</v>
      </c>
      <c r="B49" s="60" t="s">
        <v>102</v>
      </c>
      <c r="C49">
        <v>1991960</v>
      </c>
      <c r="D49" s="9">
        <v>1991960</v>
      </c>
      <c r="E49">
        <v>301629</v>
      </c>
      <c r="F49" s="9">
        <v>301629</v>
      </c>
      <c r="G49">
        <v>237239</v>
      </c>
      <c r="H49" s="9">
        <v>237239</v>
      </c>
      <c r="I49" s="14">
        <f t="shared" si="9"/>
        <v>0.1514232213498263</v>
      </c>
      <c r="BM49" s="15" t="s">
        <v>35</v>
      </c>
      <c r="BN49" s="18">
        <v>275736</v>
      </c>
      <c r="BO49" s="8">
        <v>2.5</v>
      </c>
      <c r="BP49" s="8">
        <f t="shared" si="57"/>
        <v>20</v>
      </c>
      <c r="BQ49" s="8"/>
      <c r="BR49" s="28">
        <v>0.70739083847050077</v>
      </c>
      <c r="BS49" s="28">
        <f t="shared" si="58"/>
        <v>0.70739083847050077</v>
      </c>
      <c r="BT49" s="28">
        <f t="shared" si="58"/>
        <v>0.70739083847050077</v>
      </c>
      <c r="BU49" s="28">
        <f t="shared" si="60"/>
        <v>5.6591267077640062</v>
      </c>
      <c r="BV49" s="47">
        <f t="shared" si="55"/>
        <v>14.340873292235994</v>
      </c>
      <c r="BW49" s="40">
        <f t="shared" si="56"/>
        <v>0.71704366461179969</v>
      </c>
      <c r="BX49">
        <f t="shared" si="59"/>
        <v>1.0136456759352015</v>
      </c>
      <c r="CA49" s="126">
        <v>23</v>
      </c>
      <c r="CB49" s="127">
        <f t="shared" si="44"/>
        <v>12.027522935779816</v>
      </c>
      <c r="CC49" s="128">
        <v>23</v>
      </c>
      <c r="CD49" s="129">
        <f t="shared" si="45"/>
        <v>14.742241280900444</v>
      </c>
    </row>
    <row r="50" spans="1:84" x14ac:dyDescent="0.25">
      <c r="A50" s="61">
        <v>13</v>
      </c>
      <c r="B50" s="60" t="s">
        <v>103</v>
      </c>
      <c r="C50">
        <v>1217692</v>
      </c>
      <c r="D50" s="9">
        <v>1216284</v>
      </c>
      <c r="E50">
        <v>181997</v>
      </c>
      <c r="F50" s="9">
        <v>182530</v>
      </c>
      <c r="G50">
        <v>435691</v>
      </c>
      <c r="H50" s="9">
        <v>435691</v>
      </c>
      <c r="I50" s="14">
        <f t="shared" si="9"/>
        <v>0.15007185821732424</v>
      </c>
      <c r="BM50" s="16" t="s">
        <v>36</v>
      </c>
      <c r="BN50" s="17">
        <v>742742</v>
      </c>
      <c r="BO50" s="3">
        <v>7.5</v>
      </c>
      <c r="BP50" s="3">
        <f t="shared" si="57"/>
        <v>60</v>
      </c>
      <c r="BQ50" s="3"/>
      <c r="BR50" s="38">
        <v>1.7680905964594018</v>
      </c>
      <c r="BS50" s="38">
        <f t="shared" si="58"/>
        <v>1.7680905964594018</v>
      </c>
      <c r="BT50" s="38">
        <f t="shared" si="58"/>
        <v>1.7680905964594018</v>
      </c>
      <c r="BU50" s="25">
        <f t="shared" si="60"/>
        <v>14.144724771675214</v>
      </c>
      <c r="BV50" s="24">
        <f t="shared" si="55"/>
        <v>45.855275228324786</v>
      </c>
      <c r="BW50" s="25">
        <f t="shared" si="56"/>
        <v>2.2927637614162393</v>
      </c>
      <c r="BX50">
        <f t="shared" si="59"/>
        <v>1.2967456339666612</v>
      </c>
      <c r="CA50" s="126">
        <v>24</v>
      </c>
      <c r="CB50" s="127">
        <f t="shared" si="44"/>
        <v>12.214285714285714</v>
      </c>
      <c r="CC50" s="128">
        <v>24</v>
      </c>
      <c r="CD50" s="129">
        <f t="shared" si="45"/>
        <v>15.252823311102901</v>
      </c>
    </row>
    <row r="51" spans="1:84" ht="15.75" thickBot="1" x14ac:dyDescent="0.3">
      <c r="A51" s="61">
        <v>14</v>
      </c>
      <c r="B51" s="60" t="s">
        <v>104</v>
      </c>
      <c r="C51">
        <v>1289070</v>
      </c>
      <c r="D51" s="9">
        <v>1286556</v>
      </c>
      <c r="E51">
        <v>191740</v>
      </c>
      <c r="F51" s="9">
        <v>191740</v>
      </c>
      <c r="G51">
        <v>409520</v>
      </c>
      <c r="H51" s="9">
        <v>406602</v>
      </c>
      <c r="I51" s="14">
        <f t="shared" si="9"/>
        <v>0.14903354381775841</v>
      </c>
      <c r="BM51" s="14" t="s">
        <v>37</v>
      </c>
      <c r="BN51" s="18">
        <v>666333</v>
      </c>
      <c r="BO51" s="8">
        <v>7.5</v>
      </c>
      <c r="BP51" s="8">
        <f t="shared" si="57"/>
        <v>60</v>
      </c>
      <c r="BQ51" s="8"/>
      <c r="BR51" s="28">
        <v>1.5945446295806596</v>
      </c>
      <c r="BS51" s="28">
        <f t="shared" si="58"/>
        <v>1.5945446295806596</v>
      </c>
      <c r="BT51" s="28">
        <f t="shared" si="58"/>
        <v>1.5945446295806596</v>
      </c>
      <c r="BU51" s="27">
        <f t="shared" si="60"/>
        <v>12.756357036645277</v>
      </c>
      <c r="BV51" s="26">
        <f t="shared" si="55"/>
        <v>47.243642963354723</v>
      </c>
      <c r="BW51" s="27">
        <f t="shared" si="56"/>
        <v>2.3621821481677361</v>
      </c>
      <c r="BX51">
        <f t="shared" si="59"/>
        <v>1.4814148844419319</v>
      </c>
      <c r="CA51" s="130">
        <v>25</v>
      </c>
      <c r="CB51" s="131">
        <f t="shared" si="44"/>
        <v>12.391304347826086</v>
      </c>
      <c r="CC51" s="132">
        <v>25</v>
      </c>
      <c r="CD51" s="133">
        <f t="shared" si="45"/>
        <v>15.759166826422604</v>
      </c>
    </row>
    <row r="52" spans="1:84" x14ac:dyDescent="0.25">
      <c r="A52" s="61">
        <v>15</v>
      </c>
      <c r="B52" s="60" t="s">
        <v>105</v>
      </c>
      <c r="C52">
        <v>2840377</v>
      </c>
      <c r="D52" s="9">
        <v>2826529</v>
      </c>
      <c r="E52">
        <v>420845</v>
      </c>
      <c r="F52" s="9">
        <v>420845</v>
      </c>
      <c r="G52">
        <v>374085</v>
      </c>
      <c r="H52" s="9">
        <v>373631</v>
      </c>
      <c r="I52" s="14">
        <f t="shared" si="9"/>
        <v>0.14889109575737591</v>
      </c>
      <c r="BM52" s="14" t="s">
        <v>38</v>
      </c>
      <c r="BN52" s="18">
        <v>568617</v>
      </c>
      <c r="BO52" s="8">
        <v>7.5</v>
      </c>
      <c r="BP52" s="8">
        <f t="shared" si="57"/>
        <v>60</v>
      </c>
      <c r="BQ52" s="8"/>
      <c r="BR52" s="28">
        <v>1.3726045740960544</v>
      </c>
      <c r="BS52" s="28">
        <f t="shared" si="58"/>
        <v>1.3726045740960544</v>
      </c>
      <c r="BT52" s="28">
        <f t="shared" si="58"/>
        <v>1.3726045740960544</v>
      </c>
      <c r="BU52" s="27">
        <f t="shared" si="60"/>
        <v>10.980836592768435</v>
      </c>
      <c r="BV52" s="26">
        <f t="shared" si="55"/>
        <v>49.019163407231567</v>
      </c>
      <c r="BW52" s="27">
        <f t="shared" si="56"/>
        <v>2.4509581703615781</v>
      </c>
      <c r="BX52">
        <f t="shared" si="59"/>
        <v>1.7856258216068432</v>
      </c>
    </row>
    <row r="53" spans="1:84" ht="15.75" thickBot="1" x14ac:dyDescent="0.3">
      <c r="A53" s="61">
        <v>16</v>
      </c>
      <c r="B53" s="60" t="s">
        <v>106</v>
      </c>
      <c r="C53">
        <v>3645438</v>
      </c>
      <c r="D53" s="9">
        <v>3631848</v>
      </c>
      <c r="E53">
        <v>549052</v>
      </c>
      <c r="F53" s="9">
        <v>549052</v>
      </c>
      <c r="G53">
        <v>493403</v>
      </c>
      <c r="H53" s="9">
        <v>491254</v>
      </c>
      <c r="I53" s="14">
        <f t="shared" si="9"/>
        <v>0.15117703163788793</v>
      </c>
      <c r="BM53" s="15" t="s">
        <v>39</v>
      </c>
      <c r="BN53" s="5">
        <v>616447</v>
      </c>
      <c r="BO53" s="7">
        <v>7.5</v>
      </c>
      <c r="BP53" s="7">
        <f t="shared" si="57"/>
        <v>60</v>
      </c>
      <c r="BQ53" s="7"/>
      <c r="BR53" s="39">
        <v>1.4812397295857251</v>
      </c>
      <c r="BS53" s="39">
        <f t="shared" si="58"/>
        <v>1.4812397295857251</v>
      </c>
      <c r="BT53" s="39">
        <f t="shared" si="58"/>
        <v>1.4812397295857251</v>
      </c>
      <c r="BU53" s="40">
        <f t="shared" si="60"/>
        <v>11.849917836685801</v>
      </c>
      <c r="BV53" s="47">
        <f t="shared" si="55"/>
        <v>48.150082163314195</v>
      </c>
      <c r="BW53" s="40">
        <f t="shared" si="56"/>
        <v>2.4075041081657096</v>
      </c>
      <c r="BX53">
        <f t="shared" si="59"/>
        <v>1.6253304985541017</v>
      </c>
    </row>
    <row r="54" spans="1:84" x14ac:dyDescent="0.25">
      <c r="A54" s="61">
        <v>17</v>
      </c>
      <c r="B54" s="60" t="s">
        <v>107</v>
      </c>
      <c r="C54">
        <v>3724084</v>
      </c>
      <c r="D54" s="9">
        <v>3718770</v>
      </c>
      <c r="E54">
        <v>564690</v>
      </c>
      <c r="F54" s="9">
        <v>564690</v>
      </c>
      <c r="G54">
        <v>173044</v>
      </c>
      <c r="H54" s="9">
        <v>173044</v>
      </c>
      <c r="I54" s="14">
        <f t="shared" si="9"/>
        <v>0.15184859509999274</v>
      </c>
      <c r="BM54" s="62" t="s">
        <v>101</v>
      </c>
      <c r="BN54" s="8">
        <v>1537277</v>
      </c>
      <c r="BO54" s="8">
        <v>12.5</v>
      </c>
      <c r="BP54" s="8">
        <f>BO54*8</f>
        <v>100</v>
      </c>
      <c r="BQ54" s="8"/>
      <c r="BR54" s="8">
        <v>1.7952839841585939</v>
      </c>
      <c r="BS54" s="8">
        <f>BR54</f>
        <v>1.7952839841585939</v>
      </c>
      <c r="BT54" s="28">
        <f t="shared" si="58"/>
        <v>1.7952839841585939</v>
      </c>
      <c r="BU54" s="8">
        <f>BT54*8</f>
        <v>14.362271873268751</v>
      </c>
      <c r="BV54" s="63">
        <f>BP54-BU54</f>
        <v>85.637728126731247</v>
      </c>
      <c r="BW54" s="64">
        <f>BV54/20</f>
        <v>4.2818864063365627</v>
      </c>
      <c r="BX54" s="53">
        <f t="shared" si="59"/>
        <v>2.3850746979973638</v>
      </c>
    </row>
    <row r="55" spans="1:84" x14ac:dyDescent="0.25">
      <c r="A55" s="61">
        <v>18</v>
      </c>
      <c r="B55" s="60" t="s">
        <v>108</v>
      </c>
      <c r="C55">
        <v>3662902</v>
      </c>
      <c r="D55" s="9">
        <v>3658071</v>
      </c>
      <c r="E55">
        <v>549240</v>
      </c>
      <c r="F55" s="9">
        <v>549240</v>
      </c>
      <c r="G55">
        <v>195773</v>
      </c>
      <c r="H55" s="9">
        <v>195773</v>
      </c>
      <c r="I55" s="14">
        <f t="shared" si="9"/>
        <v>0.15014470741546571</v>
      </c>
      <c r="BM55" s="65" t="s">
        <v>102</v>
      </c>
      <c r="BN55" s="8">
        <v>1991960</v>
      </c>
      <c r="BO55" s="8">
        <v>12.5</v>
      </c>
      <c r="BP55" s="8">
        <f t="shared" ref="BP55:BP65" si="61">BO55*8</f>
        <v>100</v>
      </c>
      <c r="BQ55" s="8"/>
      <c r="BR55" s="8">
        <v>2.3222210077481238</v>
      </c>
      <c r="BS55" s="8">
        <f t="shared" ref="BS55:BT65" si="62">BR55</f>
        <v>2.3222210077481238</v>
      </c>
      <c r="BT55" s="28">
        <f t="shared" si="58"/>
        <v>2.3222210077481238</v>
      </c>
      <c r="BU55" s="8">
        <f t="shared" ref="BU55:BU65" si="63">BT55*8</f>
        <v>18.57776806198499</v>
      </c>
      <c r="BV55" s="18">
        <f t="shared" ref="BV55:BV65" si="64">BP55-BU55</f>
        <v>81.422231938015017</v>
      </c>
      <c r="BW55" s="9">
        <f t="shared" ref="BW55:BW64" si="65">BV55/20</f>
        <v>4.0711115969007512</v>
      </c>
      <c r="BX55" s="66">
        <f t="shared" si="59"/>
        <v>1.753111173879415</v>
      </c>
    </row>
    <row r="56" spans="1:84" x14ac:dyDescent="0.25">
      <c r="A56" s="61">
        <v>19</v>
      </c>
      <c r="B56" s="60" t="s">
        <v>109</v>
      </c>
      <c r="C56">
        <v>8169291</v>
      </c>
      <c r="D56" s="9">
        <v>8134064</v>
      </c>
      <c r="E56">
        <v>1221462</v>
      </c>
      <c r="F56" s="9">
        <v>1221170</v>
      </c>
      <c r="G56">
        <v>136648</v>
      </c>
      <c r="H56" s="9">
        <v>137318</v>
      </c>
      <c r="I56" s="14">
        <f t="shared" si="9"/>
        <v>0.1501303653376713</v>
      </c>
      <c r="BM56" s="65" t="s">
        <v>103</v>
      </c>
      <c r="BN56" s="8">
        <v>1217692</v>
      </c>
      <c r="BO56" s="8">
        <v>12.5</v>
      </c>
      <c r="BP56" s="8">
        <f t="shared" si="61"/>
        <v>100</v>
      </c>
      <c r="BQ56" s="8"/>
      <c r="BR56" s="8">
        <v>1.4249134871664917</v>
      </c>
      <c r="BS56" s="8">
        <f t="shared" si="62"/>
        <v>1.4249134871664917</v>
      </c>
      <c r="BT56" s="28">
        <f t="shared" si="58"/>
        <v>1.4249134871664917</v>
      </c>
      <c r="BU56" s="8">
        <f t="shared" si="63"/>
        <v>11.399307897331934</v>
      </c>
      <c r="BV56" s="18">
        <f t="shared" si="64"/>
        <v>88.600692102668063</v>
      </c>
      <c r="BW56" s="9">
        <f t="shared" si="65"/>
        <v>4.430034605133403</v>
      </c>
      <c r="BX56" s="66">
        <f t="shared" si="59"/>
        <v>3.1089849629697435</v>
      </c>
    </row>
    <row r="57" spans="1:84" ht="15.75" thickBot="1" x14ac:dyDescent="0.3">
      <c r="A57" s="61">
        <v>20</v>
      </c>
      <c r="B57" s="60" t="s">
        <v>110</v>
      </c>
      <c r="C57">
        <v>9621603</v>
      </c>
      <c r="D57" s="9">
        <v>9565766</v>
      </c>
      <c r="E57">
        <v>1438299</v>
      </c>
      <c r="F57" s="9">
        <v>1438299</v>
      </c>
      <c r="G57">
        <v>226320</v>
      </c>
      <c r="H57" s="9">
        <v>227867</v>
      </c>
      <c r="I57" s="14">
        <f t="shared" si="9"/>
        <v>0.15035899895523264</v>
      </c>
      <c r="BM57" s="67" t="s">
        <v>104</v>
      </c>
      <c r="BN57" s="8">
        <v>1289070</v>
      </c>
      <c r="BO57" s="8">
        <v>12.5</v>
      </c>
      <c r="BP57" s="8">
        <f t="shared" si="61"/>
        <v>100</v>
      </c>
      <c r="BQ57" s="8"/>
      <c r="BR57" s="8">
        <v>1.5076342197863026</v>
      </c>
      <c r="BS57" s="8">
        <f t="shared" si="62"/>
        <v>1.5076342197863026</v>
      </c>
      <c r="BT57" s="28">
        <f t="shared" si="58"/>
        <v>1.5076342197863026</v>
      </c>
      <c r="BU57" s="8">
        <f t="shared" si="63"/>
        <v>12.061073758290421</v>
      </c>
      <c r="BV57" s="68">
        <f t="shared" si="64"/>
        <v>87.938926241709581</v>
      </c>
      <c r="BW57" s="69">
        <f t="shared" si="65"/>
        <v>4.396946312085479</v>
      </c>
      <c r="BX57" s="56">
        <f t="shared" si="59"/>
        <v>2.916454305944792</v>
      </c>
      <c r="CB57" t="s">
        <v>78</v>
      </c>
      <c r="CC57" t="s">
        <v>82</v>
      </c>
      <c r="CD57" t="s">
        <v>84</v>
      </c>
      <c r="CE57" t="s">
        <v>85</v>
      </c>
      <c r="CF57" t="s">
        <v>88</v>
      </c>
    </row>
    <row r="58" spans="1:84" x14ac:dyDescent="0.25">
      <c r="A58" s="61">
        <v>21</v>
      </c>
      <c r="B58" s="60" t="s">
        <v>111</v>
      </c>
      <c r="C58">
        <v>5105882</v>
      </c>
      <c r="D58" s="9">
        <v>5071788</v>
      </c>
      <c r="E58">
        <v>762644</v>
      </c>
      <c r="F58" s="9">
        <v>762644</v>
      </c>
      <c r="G58">
        <v>261092</v>
      </c>
      <c r="H58" s="9">
        <v>262544</v>
      </c>
      <c r="I58" s="14">
        <f t="shared" si="9"/>
        <v>0.15036984984388149</v>
      </c>
      <c r="BM58" s="37" t="s">
        <v>105</v>
      </c>
      <c r="BN58" s="17">
        <v>2840377</v>
      </c>
      <c r="BO58" s="3">
        <v>25</v>
      </c>
      <c r="BP58" s="3">
        <f t="shared" si="61"/>
        <v>200</v>
      </c>
      <c r="BQ58" s="3"/>
      <c r="BR58" s="3">
        <v>3.3054606026807662</v>
      </c>
      <c r="BS58" s="3">
        <f t="shared" si="62"/>
        <v>3.3054606026807662</v>
      </c>
      <c r="BT58" s="38">
        <f t="shared" si="58"/>
        <v>3.3054606026807662</v>
      </c>
      <c r="BU58" s="4">
        <f t="shared" si="63"/>
        <v>26.44368482144613</v>
      </c>
      <c r="BV58" s="18">
        <f t="shared" si="64"/>
        <v>173.55631517855386</v>
      </c>
      <c r="BW58" s="9">
        <f t="shared" si="65"/>
        <v>8.677815758927693</v>
      </c>
      <c r="BX58" s="9">
        <f t="shared" si="59"/>
        <v>2.6252969864139013</v>
      </c>
      <c r="CB58" t="s">
        <v>55</v>
      </c>
      <c r="CC58" t="s">
        <v>83</v>
      </c>
      <c r="CD58" t="s">
        <v>83</v>
      </c>
      <c r="CE58" t="s">
        <v>86</v>
      </c>
    </row>
    <row r="59" spans="1:84" x14ac:dyDescent="0.25">
      <c r="A59" s="61">
        <v>22</v>
      </c>
      <c r="B59" s="60" t="s">
        <v>112</v>
      </c>
      <c r="C59">
        <v>5160900</v>
      </c>
      <c r="D59" s="9">
        <v>5139561</v>
      </c>
      <c r="E59">
        <v>771522</v>
      </c>
      <c r="F59" s="9">
        <v>771522</v>
      </c>
      <c r="G59">
        <v>229732</v>
      </c>
      <c r="H59" s="9">
        <v>229732</v>
      </c>
      <c r="I59" s="14">
        <f t="shared" si="9"/>
        <v>0.15011437747309547</v>
      </c>
      <c r="BM59" s="14" t="s">
        <v>106</v>
      </c>
      <c r="BN59" s="18">
        <v>3645438</v>
      </c>
      <c r="BO59" s="8">
        <v>25</v>
      </c>
      <c r="BP59" s="8">
        <f t="shared" si="61"/>
        <v>200</v>
      </c>
      <c r="BQ59" s="8"/>
      <c r="BR59" s="8">
        <v>4.2384544624644196</v>
      </c>
      <c r="BS59" s="8">
        <f t="shared" si="62"/>
        <v>4.2384544624644196</v>
      </c>
      <c r="BT59" s="28">
        <f t="shared" si="62"/>
        <v>4.2384544624644196</v>
      </c>
      <c r="BU59" s="9">
        <f t="shared" si="63"/>
        <v>33.907635699715357</v>
      </c>
      <c r="BV59" s="18">
        <f t="shared" si="64"/>
        <v>166.09236430028466</v>
      </c>
      <c r="BW59" s="9">
        <f t="shared" si="65"/>
        <v>8.3046182150142336</v>
      </c>
      <c r="BX59" s="9">
        <f t="shared" si="59"/>
        <v>1.9593505813403436</v>
      </c>
      <c r="CB59" t="s">
        <v>79</v>
      </c>
      <c r="CC59">
        <v>0</v>
      </c>
      <c r="CD59">
        <f>AVERAGE(BT6:BT9)</f>
        <v>0</v>
      </c>
      <c r="CE59">
        <f>AVERAGE(BW6:BW9)</f>
        <v>0</v>
      </c>
    </row>
    <row r="60" spans="1:84" x14ac:dyDescent="0.25">
      <c r="A60" s="61">
        <v>23</v>
      </c>
      <c r="B60" s="60" t="s">
        <v>114</v>
      </c>
      <c r="C60">
        <v>0</v>
      </c>
      <c r="D60" s="9">
        <v>133944</v>
      </c>
      <c r="E60">
        <v>0</v>
      </c>
      <c r="F60" s="9">
        <v>21373</v>
      </c>
      <c r="G60">
        <v>241496</v>
      </c>
      <c r="H60" s="89">
        <v>241496</v>
      </c>
      <c r="I60" s="14">
        <f t="shared" si="9"/>
        <v>0.15956668458460252</v>
      </c>
      <c r="BM60" s="14" t="s">
        <v>107</v>
      </c>
      <c r="BN60" s="18">
        <v>3724084</v>
      </c>
      <c r="BO60" s="8">
        <v>25</v>
      </c>
      <c r="BP60" s="8">
        <f t="shared" si="61"/>
        <v>200</v>
      </c>
      <c r="BQ60" s="8"/>
      <c r="BR60" s="8">
        <v>4.3295981585278795</v>
      </c>
      <c r="BS60" s="8">
        <f t="shared" si="62"/>
        <v>4.3295981585278795</v>
      </c>
      <c r="BT60" s="28">
        <f t="shared" si="62"/>
        <v>4.3295981585278795</v>
      </c>
      <c r="BU60" s="9">
        <f t="shared" si="63"/>
        <v>34.636785268223036</v>
      </c>
      <c r="BV60" s="18">
        <f t="shared" si="64"/>
        <v>165.36321473177696</v>
      </c>
      <c r="BW60" s="9">
        <f t="shared" si="65"/>
        <v>8.2681607365888485</v>
      </c>
      <c r="BX60" s="9">
        <f t="shared" si="59"/>
        <v>1.9096831700889609</v>
      </c>
      <c r="CB60" t="s">
        <v>80</v>
      </c>
      <c r="CC60">
        <v>2.5</v>
      </c>
      <c r="CD60" s="29">
        <f>AVERAGE(BT10:BT13)</f>
        <v>1.1379437325631689</v>
      </c>
      <c r="CE60" s="29">
        <f>AVERAGE(BW10:BW13)</f>
        <v>0.54482250697473245</v>
      </c>
      <c r="CF60">
        <f>AVERAGE(BX10:BX13)</f>
        <v>0.49562791084358865</v>
      </c>
    </row>
    <row r="61" spans="1:84" x14ac:dyDescent="0.25">
      <c r="BM61" s="15" t="s">
        <v>108</v>
      </c>
      <c r="BN61" s="5">
        <v>3662902</v>
      </c>
      <c r="BO61" s="7">
        <v>25</v>
      </c>
      <c r="BP61" s="7">
        <f t="shared" si="61"/>
        <v>200</v>
      </c>
      <c r="BQ61" s="7"/>
      <c r="BR61" s="7">
        <v>4.2586936800730992</v>
      </c>
      <c r="BS61" s="7">
        <f t="shared" si="62"/>
        <v>4.2586936800730992</v>
      </c>
      <c r="BT61" s="39">
        <f t="shared" si="62"/>
        <v>4.2586936800730992</v>
      </c>
      <c r="BU61" s="6">
        <f t="shared" si="63"/>
        <v>34.069549440584794</v>
      </c>
      <c r="BV61" s="5">
        <f t="shared" si="64"/>
        <v>165.93045055941519</v>
      </c>
      <c r="BW61" s="6">
        <f t="shared" si="65"/>
        <v>8.29652252797076</v>
      </c>
      <c r="BX61" s="6">
        <f t="shared" si="59"/>
        <v>1.9481378918589778</v>
      </c>
      <c r="CB61" t="s">
        <v>81</v>
      </c>
      <c r="CC61">
        <v>7.5</v>
      </c>
      <c r="CD61" s="29">
        <f>AVERAGE(BT14:BT17)</f>
        <v>3.1082397648609206</v>
      </c>
      <c r="CE61" s="29">
        <f>AVERAGE(BW14:BW17)</f>
        <v>1.756704094055632</v>
      </c>
      <c r="CF61">
        <f>AVERAGE(BX14:BX17)</f>
        <v>0.57363960482119225</v>
      </c>
    </row>
    <row r="62" spans="1:84" x14ac:dyDescent="0.25">
      <c r="BM62" s="16" t="s">
        <v>109</v>
      </c>
      <c r="BN62" s="17">
        <v>8169291</v>
      </c>
      <c r="BO62" s="3">
        <v>50</v>
      </c>
      <c r="BP62" s="3">
        <f t="shared" si="61"/>
        <v>400</v>
      </c>
      <c r="BQ62" s="3"/>
      <c r="BR62" s="3">
        <v>9.4811964057008424</v>
      </c>
      <c r="BS62" s="3">
        <f t="shared" si="62"/>
        <v>9.4811964057008424</v>
      </c>
      <c r="BT62" s="38">
        <f t="shared" si="62"/>
        <v>9.4811964057008424</v>
      </c>
      <c r="BU62" s="4">
        <f t="shared" si="63"/>
        <v>75.849571245606739</v>
      </c>
      <c r="BV62" s="17">
        <f t="shared" si="64"/>
        <v>324.15042875439326</v>
      </c>
      <c r="BW62" s="4">
        <f t="shared" si="65"/>
        <v>16.207521437719663</v>
      </c>
      <c r="BX62" s="4">
        <f t="shared" si="59"/>
        <v>1.7094384236122799</v>
      </c>
      <c r="CB62" t="s">
        <v>117</v>
      </c>
      <c r="CC62">
        <f>AVERAGE(BO23:BO26)</f>
        <v>12.5</v>
      </c>
      <c r="CD62">
        <f>AVERAGE(BT23:BT26)</f>
        <v>3.5250263494297558</v>
      </c>
      <c r="CE62">
        <f>AVERAGE(BW23:BW26)</f>
        <v>3.5899894602280975</v>
      </c>
      <c r="CF62">
        <f>AVERAGE(BX23:BX26)</f>
        <v>1.0704531425989143</v>
      </c>
    </row>
    <row r="63" spans="1:84" x14ac:dyDescent="0.25">
      <c r="BM63" s="14" t="s">
        <v>110</v>
      </c>
      <c r="BN63" s="18">
        <v>9621603</v>
      </c>
      <c r="BO63" s="8">
        <v>50</v>
      </c>
      <c r="BP63" s="8">
        <f t="shared" si="61"/>
        <v>400</v>
      </c>
      <c r="BQ63" s="8"/>
      <c r="BR63" s="8">
        <v>11.164296417364699</v>
      </c>
      <c r="BS63" s="8">
        <f t="shared" si="62"/>
        <v>11.164296417364699</v>
      </c>
      <c r="BT63" s="28">
        <f t="shared" si="62"/>
        <v>11.164296417364699</v>
      </c>
      <c r="BU63" s="9">
        <f t="shared" si="63"/>
        <v>89.314371338917596</v>
      </c>
      <c r="BV63" s="18">
        <f t="shared" si="64"/>
        <v>310.68562866108243</v>
      </c>
      <c r="BW63" s="9">
        <f t="shared" si="65"/>
        <v>15.534281433054122</v>
      </c>
      <c r="BX63" s="9">
        <f t="shared" si="59"/>
        <v>1.391425026022459</v>
      </c>
      <c r="CB63" t="s">
        <v>118</v>
      </c>
      <c r="CC63">
        <f>AVERAGE(BO27:BO30)</f>
        <v>25</v>
      </c>
      <c r="CD63">
        <f>AVERAGE(BT27:BT30)</f>
        <v>8.066103451873083</v>
      </c>
      <c r="CE63">
        <f>AVERAGE(BW27:BW30)</f>
        <v>6.7735586192507675</v>
      </c>
      <c r="CF63">
        <f>AVERAGE(BX27:BX30)</f>
        <v>0.85530857871277299</v>
      </c>
    </row>
    <row r="64" spans="1:84" x14ac:dyDescent="0.25">
      <c r="BM64" s="14" t="s">
        <v>111</v>
      </c>
      <c r="BN64" s="18">
        <v>5105882</v>
      </c>
      <c r="BO64" s="8">
        <v>50</v>
      </c>
      <c r="BP64" s="8">
        <f t="shared" si="61"/>
        <v>400</v>
      </c>
      <c r="BQ64" s="8"/>
      <c r="BR64" s="8">
        <v>5.9309787364733175</v>
      </c>
      <c r="BS64" s="8">
        <f t="shared" si="62"/>
        <v>5.9309787364733175</v>
      </c>
      <c r="BT64" s="28">
        <f t="shared" si="62"/>
        <v>5.9309787364733175</v>
      </c>
      <c r="BU64" s="9">
        <f t="shared" si="63"/>
        <v>47.44782989178654</v>
      </c>
      <c r="BV64" s="18">
        <f t="shared" si="64"/>
        <v>352.55217010821343</v>
      </c>
      <c r="BW64" s="9">
        <f t="shared" si="65"/>
        <v>17.62760850541067</v>
      </c>
      <c r="BX64" s="9">
        <f t="shared" si="59"/>
        <v>2.9721247181358823</v>
      </c>
      <c r="CB64" t="s">
        <v>119</v>
      </c>
      <c r="CC64">
        <f>AVERAGE(BO31:BO34)</f>
        <v>50</v>
      </c>
      <c r="CD64">
        <f>AVERAGE(BT31:BT34)</f>
        <v>16.28560562425421</v>
      </c>
      <c r="CE64">
        <f>AVERAGE(BW31:BW34)</f>
        <v>13.485757750298315</v>
      </c>
      <c r="CF64">
        <f>AVERAGE(BX31:BX34)</f>
        <v>0.92615580756086047</v>
      </c>
    </row>
    <row r="65" spans="65:76" x14ac:dyDescent="0.25">
      <c r="BM65" s="15" t="s">
        <v>112</v>
      </c>
      <c r="BN65" s="5">
        <v>5160900</v>
      </c>
      <c r="BO65" s="7">
        <v>50</v>
      </c>
      <c r="BP65" s="7">
        <f t="shared" si="61"/>
        <v>400</v>
      </c>
      <c r="BQ65" s="7"/>
      <c r="BR65" s="7">
        <v>5.9947396889695588</v>
      </c>
      <c r="BS65" s="7">
        <f t="shared" si="62"/>
        <v>5.9947396889695588</v>
      </c>
      <c r="BT65" s="39">
        <f t="shared" si="62"/>
        <v>5.9947396889695588</v>
      </c>
      <c r="BU65" s="6">
        <f t="shared" si="63"/>
        <v>47.95791751175647</v>
      </c>
      <c r="BV65" s="5">
        <f t="shared" si="64"/>
        <v>352.04208248824352</v>
      </c>
      <c r="BW65" s="6">
        <f>BV65/20</f>
        <v>17.602104124412175</v>
      </c>
      <c r="BX65" s="6">
        <f t="shared" si="59"/>
        <v>2.9362582927162624</v>
      </c>
    </row>
    <row r="66" spans="65:76" x14ac:dyDescent="0.25">
      <c r="BW66" t="s">
        <v>46</v>
      </c>
      <c r="BX66" s="60">
        <f>AVERAGE(BX46:BX65)</f>
        <v>1.9684740178149316</v>
      </c>
    </row>
  </sheetData>
  <pageMargins left="0.7" right="0.7" top="0.78740157499999996" bottom="0.78740157499999996" header="0.3" footer="0.3"/>
  <pageSetup paperSize="9" orientation="portrait" r:id="rId1"/>
  <ignoredErrors>
    <ignoredError sqref="AV10:AV4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50F5-D8BE-4F82-9D8F-6C9F0E45B932}">
  <dimension ref="B1:AC43"/>
  <sheetViews>
    <sheetView zoomScale="70" zoomScaleNormal="70" workbookViewId="0">
      <selection activeCell="O19" sqref="O19"/>
    </sheetView>
  </sheetViews>
  <sheetFormatPr baseColWidth="10" defaultRowHeight="15" x14ac:dyDescent="0.25"/>
  <cols>
    <col min="3" max="3" width="24.85546875" bestFit="1" customWidth="1"/>
    <col min="21" max="21" width="14.28515625" bestFit="1" customWidth="1"/>
    <col min="22" max="22" width="12.28515625" bestFit="1" customWidth="1"/>
  </cols>
  <sheetData>
    <row r="1" spans="2:29" x14ac:dyDescent="0.25">
      <c r="F1" t="s">
        <v>401</v>
      </c>
      <c r="G1" t="s">
        <v>401</v>
      </c>
      <c r="H1" t="s">
        <v>78</v>
      </c>
      <c r="M1" t="s">
        <v>413</v>
      </c>
      <c r="O1" t="s">
        <v>401</v>
      </c>
      <c r="P1" s="9" t="s">
        <v>401</v>
      </c>
      <c r="Q1" t="s">
        <v>78</v>
      </c>
      <c r="V1" s="8"/>
      <c r="W1" s="7" t="s">
        <v>344</v>
      </c>
      <c r="X1" s="6" t="s">
        <v>418</v>
      </c>
      <c r="Y1" s="7" t="s">
        <v>426</v>
      </c>
      <c r="Z1" s="8"/>
      <c r="AA1" s="8"/>
      <c r="AB1" s="8"/>
      <c r="AC1" s="8"/>
    </row>
    <row r="2" spans="2:29" x14ac:dyDescent="0.25">
      <c r="D2" t="s">
        <v>395</v>
      </c>
      <c r="F2" t="s">
        <v>384</v>
      </c>
      <c r="G2" t="s">
        <v>385</v>
      </c>
      <c r="H2" s="10" t="s">
        <v>384</v>
      </c>
      <c r="J2" s="10" t="s">
        <v>385</v>
      </c>
      <c r="M2" t="s">
        <v>395</v>
      </c>
      <c r="O2" t="s">
        <v>384</v>
      </c>
      <c r="P2" s="9" t="s">
        <v>385</v>
      </c>
      <c r="Q2" s="10" t="s">
        <v>384</v>
      </c>
      <c r="S2" s="10" t="s">
        <v>385</v>
      </c>
      <c r="U2" s="8" t="s">
        <v>419</v>
      </c>
      <c r="V2" s="60" t="s">
        <v>420</v>
      </c>
      <c r="W2" s="8">
        <v>1.0113000000000001</v>
      </c>
      <c r="X2" s="9">
        <v>0.68240000000000001</v>
      </c>
      <c r="Y2" s="161">
        <f>1/X2</f>
        <v>1.4654161781946073</v>
      </c>
      <c r="Z2" s="10"/>
      <c r="AA2" s="8"/>
      <c r="AB2" s="10"/>
      <c r="AC2" s="8"/>
    </row>
    <row r="3" spans="2:29" x14ac:dyDescent="0.25">
      <c r="B3" s="93">
        <v>44382</v>
      </c>
      <c r="C3" s="35" t="s">
        <v>55</v>
      </c>
      <c r="D3" t="s">
        <v>384</v>
      </c>
      <c r="E3" s="9" t="s">
        <v>385</v>
      </c>
      <c r="F3" t="s">
        <v>72</v>
      </c>
      <c r="G3" s="9" t="s">
        <v>72</v>
      </c>
      <c r="H3" s="10" t="s">
        <v>415</v>
      </c>
      <c r="I3" s="10"/>
      <c r="J3" s="10" t="s">
        <v>415</v>
      </c>
      <c r="L3" s="10"/>
      <c r="M3" t="s">
        <v>384</v>
      </c>
      <c r="N3" s="9" t="s">
        <v>385</v>
      </c>
      <c r="O3" t="s">
        <v>72</v>
      </c>
      <c r="P3" s="9" t="s">
        <v>72</v>
      </c>
      <c r="Q3" s="10" t="s">
        <v>414</v>
      </c>
      <c r="R3" s="10"/>
      <c r="S3" s="10" t="s">
        <v>414</v>
      </c>
      <c r="V3" s="9" t="s">
        <v>422</v>
      </c>
      <c r="W3" s="8">
        <v>0.97260000000000002</v>
      </c>
      <c r="X3" s="9">
        <v>0.68100000000000005</v>
      </c>
      <c r="Y3" s="98">
        <f t="shared" ref="Y3:Y12" si="0">1/X3</f>
        <v>1.4684287812041115</v>
      </c>
      <c r="Z3" s="10"/>
      <c r="AA3" s="10"/>
      <c r="AB3" s="10"/>
      <c r="AC3" s="8"/>
    </row>
    <row r="4" spans="2:29" x14ac:dyDescent="0.25">
      <c r="B4" t="s">
        <v>2</v>
      </c>
      <c r="C4" t="s">
        <v>361</v>
      </c>
      <c r="D4" t="s">
        <v>59</v>
      </c>
      <c r="E4" s="9" t="s">
        <v>59</v>
      </c>
      <c r="F4" t="s">
        <v>59</v>
      </c>
      <c r="G4" s="9" t="s">
        <v>59</v>
      </c>
      <c r="H4" s="10" t="s">
        <v>416</v>
      </c>
      <c r="I4" s="60" t="s">
        <v>417</v>
      </c>
      <c r="J4" s="10" t="s">
        <v>416</v>
      </c>
      <c r="K4" s="10" t="s">
        <v>417</v>
      </c>
      <c r="M4" t="s">
        <v>414</v>
      </c>
      <c r="N4" s="9" t="s">
        <v>414</v>
      </c>
      <c r="O4" t="s">
        <v>414</v>
      </c>
      <c r="P4" s="9" t="s">
        <v>414</v>
      </c>
      <c r="Q4" s="10" t="s">
        <v>416</v>
      </c>
      <c r="R4" s="60" t="s">
        <v>417</v>
      </c>
      <c r="S4" s="10" t="s">
        <v>416</v>
      </c>
      <c r="T4" s="10" t="s">
        <v>417</v>
      </c>
      <c r="V4" s="6" t="s">
        <v>46</v>
      </c>
      <c r="W4" s="7">
        <f>AVERAGE(W2:W3)</f>
        <v>0.99195000000000011</v>
      </c>
      <c r="X4" s="6">
        <f t="shared" ref="X4" si="1">AVERAGE(X2:X3)</f>
        <v>0.68169999999999997</v>
      </c>
      <c r="Y4" s="99">
        <f>AVERAGE(Y2:Y3)</f>
        <v>1.4669224796993594</v>
      </c>
      <c r="Z4" s="10"/>
      <c r="AA4" s="10"/>
      <c r="AB4" s="10"/>
      <c r="AC4" s="10"/>
    </row>
    <row r="5" spans="2:29" x14ac:dyDescent="0.25">
      <c r="B5" s="61">
        <v>1</v>
      </c>
      <c r="C5" s="77" t="s">
        <v>19</v>
      </c>
      <c r="E5" s="9"/>
      <c r="G5" s="9"/>
      <c r="I5" s="9"/>
      <c r="N5" s="9"/>
      <c r="P5" s="9"/>
      <c r="Q5" s="8"/>
      <c r="R5" s="8"/>
      <c r="S5" s="8"/>
      <c r="T5" s="8"/>
      <c r="U5" s="10" t="s">
        <v>421</v>
      </c>
      <c r="V5" s="60" t="s">
        <v>420</v>
      </c>
      <c r="W5" s="8">
        <v>0.94199999999999995</v>
      </c>
      <c r="X5" s="9">
        <v>0.72929999999999995</v>
      </c>
      <c r="Y5" s="98">
        <f t="shared" si="0"/>
        <v>1.3711778417660772</v>
      </c>
      <c r="Z5" s="8"/>
      <c r="AA5" s="8"/>
      <c r="AB5" s="8"/>
      <c r="AC5" s="8"/>
    </row>
    <row r="6" spans="2:29" x14ac:dyDescent="0.25">
      <c r="B6" s="61">
        <v>2</v>
      </c>
      <c r="C6" s="60" t="s">
        <v>20</v>
      </c>
      <c r="E6" s="9"/>
      <c r="G6" s="9"/>
      <c r="I6" s="9"/>
      <c r="N6" s="9"/>
      <c r="P6" s="9"/>
      <c r="Q6" s="8"/>
      <c r="R6" s="8"/>
      <c r="S6" s="8"/>
      <c r="T6" s="8"/>
      <c r="V6" s="60" t="s">
        <v>422</v>
      </c>
      <c r="W6" s="10">
        <v>0.90710000000000002</v>
      </c>
      <c r="X6" s="60">
        <v>0.72709999999999997</v>
      </c>
      <c r="Y6" s="98">
        <f t="shared" si="0"/>
        <v>1.3753266400770183</v>
      </c>
      <c r="Z6" s="8"/>
      <c r="AA6" s="8"/>
      <c r="AB6" s="8"/>
      <c r="AC6" s="8"/>
    </row>
    <row r="7" spans="2:29" x14ac:dyDescent="0.25">
      <c r="B7" s="61">
        <v>3</v>
      </c>
      <c r="C7" s="141" t="s">
        <v>21</v>
      </c>
      <c r="E7" s="9"/>
      <c r="G7" s="9"/>
      <c r="I7" s="9"/>
      <c r="N7" s="9"/>
      <c r="P7" s="9"/>
      <c r="Q7" s="8"/>
      <c r="R7" s="8"/>
      <c r="S7" s="8"/>
      <c r="T7" s="8"/>
      <c r="V7" s="96" t="s">
        <v>46</v>
      </c>
      <c r="W7" s="7">
        <f>AVERAGE(W5:W6)</f>
        <v>0.92454999999999998</v>
      </c>
      <c r="X7" s="6">
        <f t="shared" ref="X7" si="2">AVERAGE(X5:X6)</f>
        <v>0.72819999999999996</v>
      </c>
      <c r="Y7" s="15">
        <f t="shared" ref="Y7" si="3">AVERAGE(Y5:Y6)</f>
        <v>1.3732522409215477</v>
      </c>
      <c r="Z7" s="8"/>
      <c r="AA7" s="8"/>
      <c r="AB7" s="8"/>
      <c r="AC7" s="8"/>
    </row>
    <row r="8" spans="2:29" x14ac:dyDescent="0.25">
      <c r="B8" s="61">
        <v>4</v>
      </c>
      <c r="C8" s="141" t="s">
        <v>22</v>
      </c>
      <c r="E8" s="9"/>
      <c r="G8" s="9"/>
      <c r="I8" s="9"/>
      <c r="N8" s="9"/>
      <c r="P8" s="9"/>
      <c r="Q8" s="8"/>
      <c r="R8" s="8"/>
      <c r="S8" s="8"/>
      <c r="T8" s="8"/>
      <c r="U8" t="s">
        <v>423</v>
      </c>
      <c r="V8" s="60" t="s">
        <v>420</v>
      </c>
      <c r="W8" s="8">
        <f>EXP(0.0112)</f>
        <v>1.0112629548117711</v>
      </c>
      <c r="X8" s="60">
        <v>0.68240000000000001</v>
      </c>
      <c r="Y8" s="98">
        <f t="shared" si="0"/>
        <v>1.4654161781946073</v>
      </c>
      <c r="Z8" s="8"/>
      <c r="AA8" s="8"/>
      <c r="AB8" s="8"/>
      <c r="AC8" s="8"/>
    </row>
    <row r="9" spans="2:29" x14ac:dyDescent="0.25">
      <c r="B9" s="61">
        <v>11</v>
      </c>
      <c r="C9" s="141" t="s">
        <v>29</v>
      </c>
      <c r="E9" s="9"/>
      <c r="G9" s="9"/>
      <c r="I9" s="9"/>
      <c r="N9" s="9"/>
      <c r="P9" s="9"/>
      <c r="Q9" s="8"/>
      <c r="R9" s="8"/>
      <c r="S9" s="8"/>
      <c r="T9" s="8"/>
      <c r="V9" s="60" t="s">
        <v>422</v>
      </c>
      <c r="W9" s="8">
        <f>EXP(-0.0278)</f>
        <v>0.9725828639236711</v>
      </c>
      <c r="X9" s="60">
        <v>0.68100000000000005</v>
      </c>
      <c r="Y9" s="98">
        <f t="shared" si="0"/>
        <v>1.4684287812041115</v>
      </c>
      <c r="Z9" s="8"/>
      <c r="AA9" s="8"/>
      <c r="AB9" s="8"/>
      <c r="AC9" s="8"/>
    </row>
    <row r="10" spans="2:29" x14ac:dyDescent="0.25">
      <c r="B10" s="61">
        <v>12</v>
      </c>
      <c r="C10" s="141" t="s">
        <v>30</v>
      </c>
      <c r="E10" s="9"/>
      <c r="G10" s="9"/>
      <c r="I10" s="9"/>
      <c r="N10" s="9"/>
      <c r="P10" s="9"/>
      <c r="Q10" s="8"/>
      <c r="R10" s="8"/>
      <c r="S10" s="8"/>
      <c r="T10" s="8"/>
      <c r="V10" s="96" t="s">
        <v>46</v>
      </c>
      <c r="W10" s="7">
        <f>AVERAGE(W8:W9)</f>
        <v>0.9919229093677211</v>
      </c>
      <c r="X10" s="6">
        <f t="shared" ref="X10" si="4">AVERAGE(X8:X9)</f>
        <v>0.68169999999999997</v>
      </c>
      <c r="Y10" s="15">
        <f t="shared" ref="Y10" si="5">AVERAGE(Y8:Y9)</f>
        <v>1.4669224796993594</v>
      </c>
      <c r="Z10" s="8"/>
      <c r="AA10" s="8"/>
      <c r="AB10" s="8"/>
      <c r="AC10" s="8"/>
    </row>
    <row r="11" spans="2:29" x14ac:dyDescent="0.25">
      <c r="B11" s="61">
        <v>13</v>
      </c>
      <c r="C11" s="96" t="s">
        <v>28</v>
      </c>
      <c r="E11" s="9"/>
      <c r="G11" s="9"/>
      <c r="I11" s="9"/>
      <c r="N11" s="9"/>
      <c r="P11" s="9"/>
      <c r="Q11" s="8"/>
      <c r="R11" s="8"/>
      <c r="S11" s="8"/>
      <c r="T11" s="8"/>
      <c r="U11" t="s">
        <v>424</v>
      </c>
      <c r="V11" s="60" t="s">
        <v>420</v>
      </c>
      <c r="W11" s="8">
        <v>1</v>
      </c>
      <c r="X11" s="60">
        <v>0.68689999999999996</v>
      </c>
      <c r="Y11" s="98">
        <f t="shared" si="0"/>
        <v>1.4558159848595138</v>
      </c>
      <c r="Z11" s="8"/>
      <c r="AA11" s="8"/>
      <c r="AB11" s="8"/>
      <c r="AC11" s="8"/>
    </row>
    <row r="12" spans="2:29" x14ac:dyDescent="0.25">
      <c r="B12" s="61">
        <v>14</v>
      </c>
      <c r="C12" s="60" t="s">
        <v>31</v>
      </c>
      <c r="D12">
        <v>0.67608027106889046</v>
      </c>
      <c r="E12" s="9">
        <v>0.67802352661039589</v>
      </c>
      <c r="F12">
        <v>0.72956789157244384</v>
      </c>
      <c r="G12" s="9">
        <v>0.72879058935584173</v>
      </c>
      <c r="H12">
        <f>AVERAGE(D12:D15)</f>
        <v>0.84070245529578946</v>
      </c>
      <c r="I12" s="9">
        <f>AVERAGE(F12:F15)</f>
        <v>0.66371901788168419</v>
      </c>
      <c r="J12">
        <f>AVERAGE(E12:E15)</f>
        <v>0.84311888389890166</v>
      </c>
      <c r="K12">
        <f>AVERAGE(G12:G15)</f>
        <v>0.66275244644043929</v>
      </c>
      <c r="M12">
        <f t="shared" ref="M12:P19" si="6">LN(D12)</f>
        <v>-0.39144346580395639</v>
      </c>
      <c r="N12" s="9">
        <f t="shared" si="6"/>
        <v>-0.3885732916284399</v>
      </c>
      <c r="O12">
        <f t="shared" si="6"/>
        <v>-0.31530284945186043</v>
      </c>
      <c r="P12" s="9">
        <f t="shared" si="6"/>
        <v>-0.31636884563918261</v>
      </c>
      <c r="Q12">
        <f>AVERAGE(M12:M15)</f>
        <v>-0.19256140532457566</v>
      </c>
      <c r="R12" s="9">
        <f>AVERAGE(O12:O15)</f>
        <v>-0.41564152608319432</v>
      </c>
      <c r="S12">
        <f>AVERAGE(N12:N15)</f>
        <v>-0.18969123114905931</v>
      </c>
      <c r="T12">
        <f>AVERAGE(P12:P15)</f>
        <v>-0.41715093162350658</v>
      </c>
      <c r="U12" t="s">
        <v>425</v>
      </c>
      <c r="V12" s="60" t="s">
        <v>422</v>
      </c>
      <c r="W12" s="8">
        <v>1</v>
      </c>
      <c r="X12" s="9">
        <v>0.66990000000000005</v>
      </c>
      <c r="Y12" s="98">
        <f t="shared" si="0"/>
        <v>1.4927601134497686</v>
      </c>
      <c r="Z12" s="8"/>
      <c r="AA12" s="8"/>
      <c r="AB12" s="8"/>
      <c r="AC12" s="8"/>
    </row>
    <row r="13" spans="2:29" x14ac:dyDescent="0.25">
      <c r="B13" s="61">
        <v>15</v>
      </c>
      <c r="C13" s="60" t="s">
        <v>32</v>
      </c>
      <c r="D13">
        <v>0.80787209223149392</v>
      </c>
      <c r="E13" s="9">
        <v>0.81019415661827787</v>
      </c>
      <c r="F13">
        <v>0.67685116310740245</v>
      </c>
      <c r="G13" s="9">
        <v>0.67592233735268881</v>
      </c>
      <c r="I13" s="9"/>
      <c r="M13">
        <f t="shared" si="6"/>
        <v>-0.21335153468577289</v>
      </c>
      <c r="N13" s="9">
        <f t="shared" si="6"/>
        <v>-0.21048136051025665</v>
      </c>
      <c r="O13">
        <f t="shared" si="6"/>
        <v>-0.39030387793946336</v>
      </c>
      <c r="P13" s="9">
        <f t="shared" si="6"/>
        <v>-0.39167709511197146</v>
      </c>
      <c r="Q13" s="8"/>
      <c r="R13" s="8"/>
      <c r="S13" s="8"/>
      <c r="T13" s="8"/>
      <c r="U13" s="8"/>
      <c r="V13" s="60" t="s">
        <v>46</v>
      </c>
      <c r="W13" s="7">
        <f>AVERAGE(W11:W12)</f>
        <v>1</v>
      </c>
      <c r="X13" s="6">
        <f t="shared" ref="X13" si="7">AVERAGE(X11:X12)</f>
        <v>0.6784</v>
      </c>
      <c r="Y13" s="15">
        <f t="shared" ref="Y13" si="8">AVERAGE(Y11:Y12)</f>
        <v>1.4742880491546413</v>
      </c>
      <c r="Z13" s="8"/>
      <c r="AA13" s="8"/>
      <c r="AB13" s="8"/>
      <c r="AC13" s="8"/>
    </row>
    <row r="14" spans="2:29" x14ac:dyDescent="0.25">
      <c r="B14" s="61">
        <v>16</v>
      </c>
      <c r="C14" s="60" t="s">
        <v>34</v>
      </c>
      <c r="D14">
        <v>0.75230677633910237</v>
      </c>
      <c r="E14" s="9">
        <v>0.75446912950128187</v>
      </c>
      <c r="F14">
        <v>0.6990772894643591</v>
      </c>
      <c r="G14" s="9">
        <v>0.69821234819948719</v>
      </c>
      <c r="I14" s="9"/>
      <c r="M14">
        <f t="shared" si="6"/>
        <v>-0.28461109096071241</v>
      </c>
      <c r="N14" s="9">
        <f t="shared" si="6"/>
        <v>-0.28174091678519603</v>
      </c>
      <c r="O14">
        <f t="shared" si="6"/>
        <v>-0.35799397138113248</v>
      </c>
      <c r="P14" s="9">
        <f t="shared" si="6"/>
        <v>-0.35923199870493555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2:29" x14ac:dyDescent="0.25">
      <c r="B15" s="61">
        <v>17</v>
      </c>
      <c r="C15" s="96" t="s">
        <v>35</v>
      </c>
      <c r="D15" s="7">
        <v>1.1265506815436712</v>
      </c>
      <c r="E15" s="6">
        <v>1.1297887228656509</v>
      </c>
      <c r="F15" s="7">
        <v>0.54937972738253149</v>
      </c>
      <c r="G15" s="6">
        <v>0.54808451085373966</v>
      </c>
      <c r="H15" s="7"/>
      <c r="I15" s="6"/>
      <c r="J15" s="7"/>
      <c r="K15" s="7"/>
      <c r="L15" s="7"/>
      <c r="M15" s="7">
        <f t="shared" si="6"/>
        <v>0.11916047015213913</v>
      </c>
      <c r="N15" s="6">
        <f t="shared" si="6"/>
        <v>0.12203064432765541</v>
      </c>
      <c r="O15" s="7">
        <f t="shared" si="6"/>
        <v>-0.59896540556032107</v>
      </c>
      <c r="P15" s="6">
        <f t="shared" si="6"/>
        <v>-0.60132578703793682</v>
      </c>
      <c r="Q15" s="7"/>
      <c r="R15" s="7"/>
      <c r="S15" s="7"/>
      <c r="T15" s="7"/>
      <c r="U15" s="8"/>
      <c r="V15" s="8"/>
      <c r="W15" s="8"/>
      <c r="X15" s="8"/>
      <c r="Y15" s="8"/>
      <c r="Z15" s="8"/>
      <c r="AA15" s="8"/>
      <c r="AB15" s="8"/>
      <c r="AC15" s="8"/>
    </row>
    <row r="16" spans="2:29" x14ac:dyDescent="0.25">
      <c r="B16" s="61">
        <v>18</v>
      </c>
      <c r="C16" s="60" t="s">
        <v>36</v>
      </c>
      <c r="D16">
        <v>3.3246808116619428</v>
      </c>
      <c r="E16" s="9">
        <v>3.3342369319740834</v>
      </c>
      <c r="F16">
        <v>1.6701276753352228</v>
      </c>
      <c r="G16" s="9">
        <v>1.6663052272103667</v>
      </c>
      <c r="H16">
        <f>AVERAGE(D16:D19)</f>
        <v>2.8894922347266716</v>
      </c>
      <c r="I16" s="9">
        <f>AVERAGE(F16:F19)</f>
        <v>1.8442031061093314</v>
      </c>
      <c r="J16">
        <f>AVERAGE(E16:E19)</f>
        <v>2.8977974937876882</v>
      </c>
      <c r="K16">
        <f>AVERAGE(G16:G19)</f>
        <v>1.8408810024849247</v>
      </c>
      <c r="M16">
        <f t="shared" si="6"/>
        <v>1.2013736730072104</v>
      </c>
      <c r="N16" s="9">
        <f t="shared" si="6"/>
        <v>1.204243847182727</v>
      </c>
      <c r="O16">
        <f t="shared" si="6"/>
        <v>0.51290007580287644</v>
      </c>
      <c r="P16" s="9">
        <f t="shared" si="6"/>
        <v>0.51060873657388395</v>
      </c>
      <c r="Q16">
        <f>AVERAGE(M16:M19)</f>
        <v>1.0558642520856785</v>
      </c>
      <c r="R16" s="9">
        <f>AVERAGE(O16:O19)</f>
        <v>0.60994514829547497</v>
      </c>
      <c r="S16">
        <f>AVERAGE(N16:N19)</f>
        <v>1.0587344262611948</v>
      </c>
      <c r="T16">
        <f>AVERAGE(P16:P19)</f>
        <v>0.60812221541427358</v>
      </c>
      <c r="U16" s="8"/>
      <c r="V16" s="8"/>
      <c r="W16" s="8"/>
      <c r="X16" s="8"/>
      <c r="Y16" s="8"/>
      <c r="Z16" s="8"/>
      <c r="AA16" s="8"/>
      <c r="AB16" s="8"/>
      <c r="AC16" s="8"/>
    </row>
    <row r="17" spans="2:29" x14ac:dyDescent="0.25">
      <c r="B17" s="61">
        <v>19</v>
      </c>
      <c r="C17" s="60" t="s">
        <v>37</v>
      </c>
      <c r="D17">
        <v>2.9641976307722082</v>
      </c>
      <c r="E17" s="9">
        <v>2.9727176153341133</v>
      </c>
      <c r="F17">
        <v>1.8143209476911166</v>
      </c>
      <c r="G17" s="9">
        <v>1.8109129538663544</v>
      </c>
      <c r="I17" s="9"/>
      <c r="M17">
        <f t="shared" si="6"/>
        <v>1.0866063822596781</v>
      </c>
      <c r="N17" s="9">
        <f t="shared" si="6"/>
        <v>1.0894765564351947</v>
      </c>
      <c r="O17">
        <f t="shared" si="6"/>
        <v>0.59571126420789644</v>
      </c>
      <c r="P17" s="9">
        <f t="shared" si="6"/>
        <v>0.59383111251493792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2:29" x14ac:dyDescent="0.25">
      <c r="B18" s="61">
        <v>20</v>
      </c>
      <c r="C18" s="60" t="s">
        <v>38</v>
      </c>
      <c r="D18">
        <v>2.5184359125392763</v>
      </c>
      <c r="E18" s="9">
        <v>2.5256746455010162</v>
      </c>
      <c r="F18">
        <v>1.9926256349842895</v>
      </c>
      <c r="G18" s="9">
        <v>1.9897301417995934</v>
      </c>
      <c r="I18" s="9"/>
      <c r="M18">
        <f t="shared" si="6"/>
        <v>0.92363803920093002</v>
      </c>
      <c r="N18" s="9">
        <f t="shared" si="6"/>
        <v>0.92650821337644662</v>
      </c>
      <c r="O18">
        <f t="shared" si="6"/>
        <v>0.689453183638853</v>
      </c>
      <c r="P18" s="9">
        <f t="shared" si="6"/>
        <v>0.6879990224050393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2:29" x14ac:dyDescent="0.25">
      <c r="B19" s="61">
        <v>21</v>
      </c>
      <c r="C19" s="157" t="s">
        <v>39</v>
      </c>
      <c r="D19" s="5">
        <v>2.7506545839332586</v>
      </c>
      <c r="E19" s="6">
        <v>2.7585607823415401</v>
      </c>
      <c r="F19" s="7">
        <v>1.8997381664266968</v>
      </c>
      <c r="G19" s="6">
        <v>1.8965756870633839</v>
      </c>
      <c r="H19" s="7"/>
      <c r="I19" s="6"/>
      <c r="J19" s="7"/>
      <c r="K19" s="7"/>
      <c r="L19" s="7"/>
      <c r="M19" s="7">
        <f t="shared" si="6"/>
        <v>1.0118389138748951</v>
      </c>
      <c r="N19" s="6">
        <f t="shared" si="6"/>
        <v>1.0147090880504115</v>
      </c>
      <c r="O19" s="7">
        <f t="shared" si="6"/>
        <v>0.64171606953227411</v>
      </c>
      <c r="P19" s="6">
        <f t="shared" si="6"/>
        <v>0.64004999016323294</v>
      </c>
      <c r="Q19" s="7"/>
      <c r="R19" s="7"/>
      <c r="S19" s="7"/>
      <c r="T19" s="7"/>
      <c r="U19" s="8"/>
      <c r="V19" s="8"/>
      <c r="W19" s="8"/>
      <c r="X19" s="8"/>
      <c r="Y19" s="8"/>
      <c r="Z19" s="8"/>
      <c r="AA19" s="8"/>
      <c r="AB19" s="8"/>
      <c r="AC19" s="8"/>
    </row>
    <row r="20" spans="2:29" x14ac:dyDescent="0.25">
      <c r="B20" s="61">
        <v>22</v>
      </c>
      <c r="C20" s="60" t="s">
        <v>33</v>
      </c>
      <c r="E20" s="9"/>
      <c r="G20" s="9"/>
      <c r="I20" s="9"/>
      <c r="N20" s="9"/>
      <c r="P20" s="9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2:29" x14ac:dyDescent="0.25">
      <c r="C21" s="10"/>
      <c r="E21" s="9"/>
      <c r="G21" s="9"/>
      <c r="I21" s="9"/>
      <c r="N21" s="9"/>
      <c r="P21" s="9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2:29" x14ac:dyDescent="0.25">
      <c r="E22" s="9"/>
      <c r="G22" s="9"/>
      <c r="I22" s="9"/>
      <c r="N22" s="9"/>
      <c r="P22" s="9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2:29" x14ac:dyDescent="0.25">
      <c r="B23" s="93">
        <v>44384</v>
      </c>
      <c r="E23" s="9"/>
      <c r="G23" s="9"/>
      <c r="I23" s="9"/>
      <c r="N23" s="9"/>
      <c r="P23" s="9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2:29" x14ac:dyDescent="0.25">
      <c r="B24" t="s">
        <v>2</v>
      </c>
      <c r="E24" s="9"/>
      <c r="G24" s="9"/>
      <c r="I24" s="9"/>
      <c r="N24" s="9"/>
      <c r="P24" s="9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2:29" x14ac:dyDescent="0.25">
      <c r="B25" s="10">
        <v>2</v>
      </c>
      <c r="C25" s="60" t="s">
        <v>94</v>
      </c>
      <c r="E25" s="9"/>
      <c r="G25" s="9"/>
      <c r="I25" s="9"/>
      <c r="N25" s="9"/>
      <c r="P25" s="9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2:29" x14ac:dyDescent="0.25">
      <c r="B26" s="10">
        <v>3</v>
      </c>
      <c r="C26" s="60" t="s">
        <v>95</v>
      </c>
      <c r="E26" s="9"/>
      <c r="G26" s="9"/>
      <c r="I26" s="9"/>
      <c r="N26" s="9"/>
      <c r="P26" s="9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2:29" x14ac:dyDescent="0.25">
      <c r="B27" s="10">
        <v>10</v>
      </c>
      <c r="C27" s="96" t="s">
        <v>113</v>
      </c>
      <c r="D27" s="5"/>
      <c r="E27" s="6"/>
      <c r="F27" s="7"/>
      <c r="G27" s="6"/>
      <c r="H27" s="7"/>
      <c r="I27" s="6"/>
      <c r="J27" s="7"/>
      <c r="K27" s="7"/>
      <c r="L27" s="7"/>
      <c r="M27" s="7"/>
      <c r="N27" s="6"/>
      <c r="O27" s="7"/>
      <c r="P27" s="6"/>
      <c r="Q27" s="7"/>
      <c r="R27" s="7"/>
      <c r="S27" s="7"/>
      <c r="T27" s="7"/>
      <c r="U27" s="8"/>
      <c r="V27" s="8"/>
      <c r="W27" s="8"/>
      <c r="X27" s="8"/>
      <c r="Y27" s="8"/>
      <c r="Z27" s="8"/>
      <c r="AA27" s="8"/>
      <c r="AB27" s="8"/>
      <c r="AC27" s="8"/>
    </row>
    <row r="28" spans="2:29" x14ac:dyDescent="0.25">
      <c r="B28" s="10">
        <v>11</v>
      </c>
      <c r="C28" s="60" t="s">
        <v>101</v>
      </c>
      <c r="D28">
        <v>3.2505744573159028</v>
      </c>
      <c r="E28" s="9">
        <v>3.611015350495804</v>
      </c>
      <c r="F28">
        <v>3.6997702170736391</v>
      </c>
      <c r="G28" s="9">
        <v>3.5555938598016779</v>
      </c>
      <c r="H28">
        <f>AVERAGE(D28:D31)</f>
        <v>3.4108880204705283</v>
      </c>
      <c r="I28" s="9">
        <f>AVERAGE(F28:F31)</f>
        <v>3.6356447918117887</v>
      </c>
      <c r="J28">
        <f>AVERAGE(E28:E31)</f>
        <v>3.7718593423588977</v>
      </c>
      <c r="K28">
        <f>AVERAGE(G28:G31)</f>
        <v>3.4912562630564405</v>
      </c>
      <c r="M28">
        <f t="shared" ref="M28:M39" si="9">LN(D28)</f>
        <v>1.1788317368193286</v>
      </c>
      <c r="N28" s="9">
        <f t="shared" ref="N28:N39" si="10">LN(E28)</f>
        <v>1.2839889933236166</v>
      </c>
      <c r="O28">
        <f t="shared" ref="O28:O39" si="11">LN(F28)</f>
        <v>1.3082707142280658</v>
      </c>
      <c r="P28" s="9">
        <f t="shared" ref="P28:P39" si="12">LN(G28)</f>
        <v>1.2685220984746999</v>
      </c>
      <c r="Q28">
        <f>AVERAGE(M28:M31)</f>
        <v>1.2054555663295397</v>
      </c>
      <c r="R28" s="9">
        <f>AVERAGE(O28:O31)</f>
        <v>1.2872723742552741</v>
      </c>
      <c r="S28">
        <f>AVERAGE(N28:N31)</f>
        <v>1.3097550092911958</v>
      </c>
      <c r="T28">
        <f>AVERAGE(P28:P31)</f>
        <v>1.2464148209358474</v>
      </c>
      <c r="U28" s="8"/>
      <c r="V28" s="8"/>
      <c r="W28" s="8"/>
      <c r="X28" s="8"/>
      <c r="Y28" s="8"/>
      <c r="Z28" s="8"/>
      <c r="AA28" s="8"/>
      <c r="AB28" s="8"/>
      <c r="AC28" s="8"/>
    </row>
    <row r="29" spans="2:29" x14ac:dyDescent="0.25">
      <c r="B29" s="10">
        <v>12</v>
      </c>
      <c r="C29" s="60" t="s">
        <v>102</v>
      </c>
      <c r="D29">
        <v>4.6470226269660131</v>
      </c>
      <c r="E29" s="9">
        <v>5.0120839414283953</v>
      </c>
      <c r="F29">
        <v>3.1411909492135948</v>
      </c>
      <c r="G29" s="9">
        <v>2.9951664234286417</v>
      </c>
      <c r="I29" s="9"/>
      <c r="M29">
        <f t="shared" si="9"/>
        <v>1.5362267192465739</v>
      </c>
      <c r="N29" s="9">
        <f t="shared" si="10"/>
        <v>1.6118517849838365</v>
      </c>
      <c r="O29">
        <f t="shared" si="11"/>
        <v>1.1446020111995183</v>
      </c>
      <c r="P29" s="9">
        <f t="shared" si="12"/>
        <v>1.0969997971116465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2:29" x14ac:dyDescent="0.25">
      <c r="B30" s="10">
        <v>13</v>
      </c>
      <c r="C30" s="60" t="s">
        <v>103</v>
      </c>
      <c r="D30">
        <v>2.6929548306695796</v>
      </c>
      <c r="E30" s="9">
        <v>3.0515507304967158</v>
      </c>
      <c r="F30">
        <v>3.9228180677321682</v>
      </c>
      <c r="G30" s="9">
        <v>3.7793797078013136</v>
      </c>
      <c r="I30" s="9"/>
      <c r="M30">
        <f t="shared" si="9"/>
        <v>0.9906390408219482</v>
      </c>
      <c r="N30" s="9">
        <f t="shared" si="10"/>
        <v>1.1156498976378473</v>
      </c>
      <c r="O30">
        <f t="shared" si="11"/>
        <v>1.3668102903508952</v>
      </c>
      <c r="P30" s="9">
        <f t="shared" si="12"/>
        <v>1.3295598977006091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2:29" x14ac:dyDescent="0.25">
      <c r="B31" s="10">
        <v>14</v>
      </c>
      <c r="C31" s="96" t="s">
        <v>104</v>
      </c>
      <c r="D31" s="5">
        <v>3.0530001669306177</v>
      </c>
      <c r="E31" s="6">
        <v>3.4127873470146755</v>
      </c>
      <c r="F31" s="7">
        <v>3.7787999332277531</v>
      </c>
      <c r="G31" s="6">
        <v>3.6348850611941304</v>
      </c>
      <c r="H31" s="7"/>
      <c r="I31" s="6"/>
      <c r="J31" s="7"/>
      <c r="K31" s="7"/>
      <c r="L31" s="7"/>
      <c r="M31" s="7">
        <f t="shared" si="9"/>
        <v>1.1161247684303082</v>
      </c>
      <c r="N31" s="6">
        <f t="shared" si="10"/>
        <v>1.2275293612194838</v>
      </c>
      <c r="O31" s="7">
        <f t="shared" si="11"/>
        <v>1.329406481242617</v>
      </c>
      <c r="P31" s="6">
        <f t="shared" si="12"/>
        <v>1.290577490456434</v>
      </c>
      <c r="Q31" s="7"/>
      <c r="R31" s="7"/>
      <c r="S31" s="7"/>
      <c r="T31" s="7"/>
      <c r="U31" s="8"/>
      <c r="V31" s="8"/>
      <c r="W31" s="8"/>
      <c r="X31" s="8"/>
      <c r="Y31" s="8"/>
      <c r="Z31" s="8"/>
      <c r="AA31" s="8"/>
      <c r="AB31" s="8"/>
      <c r="AC31" s="8"/>
    </row>
    <row r="32" spans="2:29" x14ac:dyDescent="0.25">
      <c r="B32" s="10">
        <v>15</v>
      </c>
      <c r="C32" s="60" t="s">
        <v>105</v>
      </c>
      <c r="D32">
        <v>7.9736105242387714</v>
      </c>
      <c r="E32" s="9">
        <v>8.3496785039341734</v>
      </c>
      <c r="F32">
        <v>6.8105557903044911</v>
      </c>
      <c r="G32" s="9">
        <v>6.660128598426331</v>
      </c>
      <c r="H32">
        <f>AVERAGE(D32:D35)</f>
        <v>10.81518409873895</v>
      </c>
      <c r="I32" s="9">
        <f>AVERAGE(F32:F35)</f>
        <v>5.6739263605044208</v>
      </c>
      <c r="J32">
        <f>AVERAGE(E32:E35)</f>
        <v>11.200653979131209</v>
      </c>
      <c r="K32">
        <f>AVERAGE(G32:G35)</f>
        <v>5.5197384083475169</v>
      </c>
      <c r="M32">
        <f t="shared" si="9"/>
        <v>2.0761374045557068</v>
      </c>
      <c r="N32" s="9">
        <f t="shared" si="10"/>
        <v>2.1222230355986693</v>
      </c>
      <c r="O32">
        <f t="shared" si="11"/>
        <v>1.9184737306791351</v>
      </c>
      <c r="P32" s="9">
        <f t="shared" si="12"/>
        <v>1.8961387934389027</v>
      </c>
      <c r="Q32">
        <f>AVERAGE(M32:M35)</f>
        <v>2.3668218685365581</v>
      </c>
      <c r="R32" s="9">
        <f>AVERAGE(O32:O35)</f>
        <v>1.7290091869311359</v>
      </c>
      <c r="S32">
        <f>AVERAGE(N32:N35)</f>
        <v>2.4027721270768145</v>
      </c>
      <c r="T32">
        <f>AVERAGE(P32:P35)</f>
        <v>1.7010318803122817</v>
      </c>
      <c r="U32" s="8"/>
      <c r="V32" s="8"/>
      <c r="W32" s="8"/>
      <c r="X32" s="8"/>
      <c r="Y32" s="8"/>
      <c r="Z32" s="8"/>
      <c r="AA32" s="8"/>
      <c r="AB32" s="8"/>
      <c r="AC32" s="8"/>
    </row>
    <row r="33" spans="2:29" x14ac:dyDescent="0.25">
      <c r="B33" s="10">
        <v>16</v>
      </c>
      <c r="C33" s="60" t="s">
        <v>106</v>
      </c>
      <c r="D33">
        <v>11.003886355102098</v>
      </c>
      <c r="E33" s="9">
        <v>11.389980593734286</v>
      </c>
      <c r="F33">
        <v>5.5984454579591603</v>
      </c>
      <c r="G33" s="9">
        <v>5.4440077625062857</v>
      </c>
      <c r="I33" s="9"/>
      <c r="M33">
        <f t="shared" si="9"/>
        <v>2.3982485154101338</v>
      </c>
      <c r="N33" s="9">
        <f t="shared" si="10"/>
        <v>2.432734073659069</v>
      </c>
      <c r="O33">
        <f t="shared" si="11"/>
        <v>1.7224889624109747</v>
      </c>
      <c r="P33" s="9">
        <f t="shared" si="12"/>
        <v>1.6945155106710623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2:29" x14ac:dyDescent="0.25">
      <c r="B34" s="10">
        <v>17</v>
      </c>
      <c r="C34" s="60" t="s">
        <v>107</v>
      </c>
      <c r="D34">
        <v>11.905942595413093</v>
      </c>
      <c r="E34" s="9">
        <v>12.295021463150256</v>
      </c>
      <c r="F34">
        <v>5.2376229618347629</v>
      </c>
      <c r="G34" s="9">
        <v>5.0819914147398979</v>
      </c>
      <c r="I34" s="9"/>
      <c r="M34">
        <f t="shared" si="9"/>
        <v>2.4770376532357092</v>
      </c>
      <c r="N34" s="9">
        <f t="shared" si="10"/>
        <v>2.5091944213478241</v>
      </c>
      <c r="O34">
        <f t="shared" si="11"/>
        <v>1.6558677621726257</v>
      </c>
      <c r="P34" s="9">
        <f t="shared" si="12"/>
        <v>1.6257031955498114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2:29" x14ac:dyDescent="0.25">
      <c r="B35" s="10">
        <v>18</v>
      </c>
      <c r="C35" s="96" t="s">
        <v>108</v>
      </c>
      <c r="D35" s="5">
        <v>12.377296920201838</v>
      </c>
      <c r="E35" s="6">
        <v>12.767935355706122</v>
      </c>
      <c r="F35" s="7">
        <v>5.0490812319192653</v>
      </c>
      <c r="G35" s="6">
        <v>4.8928258577175514</v>
      </c>
      <c r="H35" s="7"/>
      <c r="I35" s="6"/>
      <c r="J35" s="7"/>
      <c r="K35" s="7"/>
      <c r="L35" s="7"/>
      <c r="M35" s="7">
        <f t="shared" si="9"/>
        <v>2.5158639009446824</v>
      </c>
      <c r="N35" s="6">
        <f t="shared" si="10"/>
        <v>2.5469369777016944</v>
      </c>
      <c r="O35" s="7">
        <f t="shared" si="11"/>
        <v>1.619206292461808</v>
      </c>
      <c r="P35" s="6">
        <f t="shared" si="12"/>
        <v>1.5877700215893509</v>
      </c>
      <c r="Q35" s="7"/>
      <c r="R35" s="7"/>
      <c r="S35" s="7"/>
      <c r="T35" s="7"/>
      <c r="U35" s="8"/>
      <c r="V35" s="8"/>
      <c r="W35" s="8"/>
      <c r="X35" s="8"/>
      <c r="Y35" s="8"/>
      <c r="Z35" s="8"/>
      <c r="AA35" s="8"/>
      <c r="AB35" s="8"/>
      <c r="AC35" s="8"/>
    </row>
    <row r="36" spans="2:29" x14ac:dyDescent="0.25">
      <c r="B36" s="10">
        <v>19</v>
      </c>
      <c r="C36" s="60" t="s">
        <v>109</v>
      </c>
      <c r="D36">
        <v>30.098762652942003</v>
      </c>
      <c r="E36" s="9">
        <v>30.548036016120562</v>
      </c>
      <c r="F36">
        <v>7.9604949388231985</v>
      </c>
      <c r="G36" s="9">
        <v>7.7807855935517747</v>
      </c>
      <c r="H36">
        <f>AVERAGE(D36:D39)</f>
        <v>27.91539639814269</v>
      </c>
      <c r="I36" s="9">
        <f>AVERAGE(F36:F39)</f>
        <v>8.8338414407429227</v>
      </c>
      <c r="J36">
        <f>AVERAGE(E36:E39)</f>
        <v>28.357445667989055</v>
      </c>
      <c r="K36">
        <f>AVERAGE(G36:G39)</f>
        <v>8.6570217328043775</v>
      </c>
      <c r="M36">
        <f t="shared" si="9"/>
        <v>3.404484063034197</v>
      </c>
      <c r="N36" s="9">
        <f t="shared" si="10"/>
        <v>3.4193003960263777</v>
      </c>
      <c r="O36">
        <f t="shared" si="11"/>
        <v>2.0744911761674252</v>
      </c>
      <c r="P36" s="9">
        <f t="shared" si="12"/>
        <v>2.0516573091274961</v>
      </c>
      <c r="Q36">
        <f>AVERAGE(M36:M39)</f>
        <v>3.3018536046411957</v>
      </c>
      <c r="R36" s="9">
        <f>AVERAGE(O36:O39)</f>
        <v>2.1253666292866771</v>
      </c>
      <c r="S36">
        <f>AVERAGE(N36:N39)</f>
        <v>3.3182378455486905</v>
      </c>
      <c r="T36">
        <f>AVERAGE(P36:P39)</f>
        <v>2.1022041786504042</v>
      </c>
      <c r="U36" s="8"/>
      <c r="V36" s="8"/>
      <c r="W36" s="8"/>
      <c r="X36" s="8"/>
      <c r="Y36" s="8"/>
      <c r="Z36" s="8"/>
      <c r="AA36" s="8"/>
      <c r="AB36" s="8"/>
      <c r="AC36" s="8"/>
    </row>
    <row r="37" spans="2:29" x14ac:dyDescent="0.25">
      <c r="B37" s="10">
        <v>20</v>
      </c>
      <c r="C37" s="60" t="s">
        <v>110</v>
      </c>
      <c r="D37">
        <v>37.743590410793857</v>
      </c>
      <c r="E37" s="9">
        <v>38.218158178477331</v>
      </c>
      <c r="F37">
        <v>4.9025638356824572</v>
      </c>
      <c r="G37" s="9">
        <v>4.7127367286090678</v>
      </c>
      <c r="I37" s="9"/>
      <c r="M37">
        <f t="shared" si="9"/>
        <v>3.6308156708364581</v>
      </c>
      <c r="N37" s="9">
        <f t="shared" si="10"/>
        <v>3.6433107476582083</v>
      </c>
      <c r="O37">
        <f t="shared" si="11"/>
        <v>1.5897583000504973</v>
      </c>
      <c r="P37" s="9">
        <f t="shared" si="12"/>
        <v>1.5502687857000352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2:29" x14ac:dyDescent="0.25">
      <c r="B38" s="10">
        <v>21</v>
      </c>
      <c r="C38" s="60" t="s">
        <v>111</v>
      </c>
      <c r="D38">
        <v>20.996984918777066</v>
      </c>
      <c r="E38" s="9">
        <v>21.416143274134118</v>
      </c>
      <c r="F38">
        <v>11.601206032489173</v>
      </c>
      <c r="G38" s="9">
        <v>11.433542690346354</v>
      </c>
      <c r="I38" s="9"/>
      <c r="M38">
        <f t="shared" si="9"/>
        <v>3.0443788521191735</v>
      </c>
      <c r="N38" s="9">
        <f t="shared" si="10"/>
        <v>3.0641449962467617</v>
      </c>
      <c r="O38">
        <f t="shared" si="11"/>
        <v>2.45110906102602</v>
      </c>
      <c r="P38" s="9">
        <f t="shared" si="12"/>
        <v>2.4365513764451485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2:29" x14ac:dyDescent="0.25">
      <c r="B39" s="10">
        <v>22</v>
      </c>
      <c r="C39" s="96" t="s">
        <v>112</v>
      </c>
      <c r="D39" s="5">
        <v>22.822247610057843</v>
      </c>
      <c r="E39" s="6">
        <v>23.247445203224217</v>
      </c>
      <c r="F39" s="7">
        <v>10.871100955976862</v>
      </c>
      <c r="G39" s="6">
        <v>10.701021918710314</v>
      </c>
      <c r="H39" s="7"/>
      <c r="I39" s="6"/>
      <c r="J39" s="7"/>
      <c r="K39" s="7"/>
      <c r="L39" s="7"/>
      <c r="M39" s="7">
        <f t="shared" si="9"/>
        <v>3.1277358325749547</v>
      </c>
      <c r="N39" s="6">
        <f t="shared" si="10"/>
        <v>3.1461952422634138</v>
      </c>
      <c r="O39" s="7">
        <f t="shared" si="11"/>
        <v>2.3861079799027656</v>
      </c>
      <c r="P39" s="6">
        <f t="shared" si="12"/>
        <v>2.3703392433289374</v>
      </c>
      <c r="Q39" s="7"/>
      <c r="R39" s="7"/>
      <c r="S39" s="7"/>
      <c r="T39" s="7"/>
      <c r="U39" s="8"/>
      <c r="V39" s="8"/>
      <c r="W39" s="8"/>
      <c r="X39" s="8"/>
      <c r="Y39" s="8"/>
      <c r="Z39" s="8"/>
      <c r="AA39" s="8"/>
      <c r="AB39" s="8"/>
      <c r="AC39" s="8"/>
    </row>
    <row r="40" spans="2:29" x14ac:dyDescent="0.25">
      <c r="B40" s="10">
        <v>23</v>
      </c>
      <c r="C40" s="60" t="s">
        <v>114</v>
      </c>
      <c r="E40" s="9"/>
      <c r="U40" s="8"/>
      <c r="V40" s="8"/>
      <c r="W40" s="8"/>
      <c r="X40" s="8"/>
      <c r="Y40" s="8"/>
    </row>
    <row r="41" spans="2:29" x14ac:dyDescent="0.25">
      <c r="U41" s="8"/>
      <c r="V41" s="8"/>
      <c r="W41" s="8"/>
      <c r="X41" s="8"/>
      <c r="Y41" s="8"/>
    </row>
    <row r="42" spans="2:29" x14ac:dyDescent="0.25">
      <c r="U42" s="8"/>
      <c r="V42" s="8"/>
      <c r="W42" s="8"/>
      <c r="X42" s="8"/>
      <c r="Y42" s="8"/>
    </row>
    <row r="43" spans="2:29" x14ac:dyDescent="0.25">
      <c r="U43" s="8"/>
    </row>
  </sheetData>
  <pageMargins left="0.7" right="0.7" top="0.78740157499999996" bottom="0.78740157499999996" header="0.3" footer="0.3"/>
  <ignoredErrors>
    <ignoredError sqref="Y4:Y10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FEDB1-8CAF-4CFB-84E9-4FC65B0C1D9D}">
  <dimension ref="A1:AK94"/>
  <sheetViews>
    <sheetView topLeftCell="N25" zoomScale="90" zoomScaleNormal="90" workbookViewId="0">
      <selection activeCell="AK30" sqref="AK30"/>
    </sheetView>
  </sheetViews>
  <sheetFormatPr baseColWidth="10" defaultRowHeight="15" x14ac:dyDescent="0.25"/>
  <cols>
    <col min="2" max="2" width="28.28515625" bestFit="1" customWidth="1"/>
    <col min="4" max="4" width="13.28515625" bestFit="1" customWidth="1"/>
    <col min="6" max="6" width="13.28515625" bestFit="1" customWidth="1"/>
    <col min="7" max="7" width="11.42578125" style="8"/>
    <col min="8" max="8" width="13.28515625" style="8" bestFit="1" customWidth="1"/>
    <col min="10" max="10" width="33.7109375" customWidth="1"/>
    <col min="12" max="12" width="13.7109375" bestFit="1" customWidth="1"/>
    <col min="13" max="13" width="16.140625" bestFit="1" customWidth="1"/>
    <col min="15" max="15" width="15" bestFit="1" customWidth="1"/>
    <col min="17" max="17" width="15.140625" bestFit="1" customWidth="1"/>
    <col min="19" max="19" width="13.5703125" bestFit="1" customWidth="1"/>
    <col min="34" max="34" width="17.42578125" bestFit="1" customWidth="1"/>
    <col min="35" max="35" width="15.140625" bestFit="1" customWidth="1"/>
    <col min="37" max="37" width="13.28515625" bestFit="1" customWidth="1"/>
  </cols>
  <sheetData>
    <row r="1" spans="1:21" x14ac:dyDescent="0.25">
      <c r="A1" t="s">
        <v>5</v>
      </c>
      <c r="J1" s="8" t="s">
        <v>75</v>
      </c>
      <c r="K1" s="8">
        <v>20</v>
      </c>
    </row>
    <row r="2" spans="1:21" x14ac:dyDescent="0.25">
      <c r="A2" t="s">
        <v>6</v>
      </c>
      <c r="J2" t="s">
        <v>76</v>
      </c>
      <c r="K2" t="s">
        <v>77</v>
      </c>
    </row>
    <row r="3" spans="1:21" x14ac:dyDescent="0.25">
      <c r="A3" t="s">
        <v>7</v>
      </c>
    </row>
    <row r="4" spans="1:21" x14ac:dyDescent="0.25">
      <c r="A4" t="s">
        <v>8</v>
      </c>
      <c r="J4" s="35" t="s">
        <v>53</v>
      </c>
    </row>
    <row r="5" spans="1:21" x14ac:dyDescent="0.25">
      <c r="A5" s="1"/>
      <c r="B5" s="2"/>
      <c r="C5" s="3" t="s">
        <v>9</v>
      </c>
      <c r="D5" s="4" t="s">
        <v>10</v>
      </c>
      <c r="E5" s="3" t="s">
        <v>11</v>
      </c>
      <c r="F5" s="3"/>
      <c r="J5" t="s">
        <v>54</v>
      </c>
      <c r="K5" t="s">
        <v>56</v>
      </c>
      <c r="L5" t="s">
        <v>57</v>
      </c>
      <c r="M5" t="s">
        <v>58</v>
      </c>
      <c r="N5" t="s">
        <v>62</v>
      </c>
    </row>
    <row r="6" spans="1:21" x14ac:dyDescent="0.25">
      <c r="A6" s="5" t="s">
        <v>2</v>
      </c>
      <c r="B6" s="6" t="s">
        <v>3</v>
      </c>
      <c r="C6" s="7" t="s">
        <v>17</v>
      </c>
      <c r="D6" s="6" t="s">
        <v>18</v>
      </c>
      <c r="E6" s="7" t="s">
        <v>12</v>
      </c>
      <c r="F6" s="7" t="s">
        <v>13</v>
      </c>
      <c r="K6" t="s">
        <v>12</v>
      </c>
      <c r="L6" t="s">
        <v>59</v>
      </c>
      <c r="M6" t="s">
        <v>60</v>
      </c>
      <c r="N6" t="s">
        <v>59</v>
      </c>
    </row>
    <row r="7" spans="1:21" x14ac:dyDescent="0.25">
      <c r="A7">
        <v>1</v>
      </c>
      <c r="B7" s="4" t="s">
        <v>19</v>
      </c>
      <c r="C7" s="8">
        <v>236336</v>
      </c>
      <c r="D7" s="9">
        <v>236336</v>
      </c>
      <c r="E7">
        <v>0</v>
      </c>
      <c r="F7" s="8">
        <v>6254</v>
      </c>
      <c r="G7" s="10"/>
      <c r="J7" s="9" t="s">
        <v>19</v>
      </c>
      <c r="K7">
        <v>0</v>
      </c>
      <c r="L7">
        <v>0</v>
      </c>
      <c r="M7">
        <f>L7*5</f>
        <v>0</v>
      </c>
      <c r="N7">
        <f>L7*5</f>
        <v>0</v>
      </c>
    </row>
    <row r="8" spans="1:21" x14ac:dyDescent="0.25">
      <c r="A8">
        <v>2</v>
      </c>
      <c r="B8" s="9" t="s">
        <v>20</v>
      </c>
      <c r="C8" s="8">
        <v>361174</v>
      </c>
      <c r="D8" s="9">
        <v>371280</v>
      </c>
      <c r="E8">
        <v>0</v>
      </c>
      <c r="F8" s="8">
        <v>0</v>
      </c>
      <c r="G8" s="10"/>
      <c r="J8" s="9" t="s">
        <v>20</v>
      </c>
      <c r="K8">
        <v>0</v>
      </c>
      <c r="L8">
        <v>0</v>
      </c>
      <c r="M8">
        <f t="shared" ref="M8:M14" si="0">L8*5</f>
        <v>0</v>
      </c>
      <c r="N8">
        <f t="shared" ref="N8:N14" si="1">L8*5</f>
        <v>0</v>
      </c>
    </row>
    <row r="9" spans="1:21" x14ac:dyDescent="0.25">
      <c r="A9">
        <v>3</v>
      </c>
      <c r="B9" s="16" t="s">
        <v>21</v>
      </c>
      <c r="C9" s="8">
        <v>433796</v>
      </c>
      <c r="D9" s="9">
        <v>430719</v>
      </c>
      <c r="E9">
        <v>0</v>
      </c>
      <c r="F9" s="8">
        <v>36781</v>
      </c>
      <c r="J9" s="9" t="s">
        <v>25</v>
      </c>
      <c r="K9">
        <v>109206</v>
      </c>
      <c r="L9">
        <v>0.05</v>
      </c>
      <c r="M9">
        <f>L9*5</f>
        <v>0.25</v>
      </c>
      <c r="N9">
        <f>L9*5</f>
        <v>0.25</v>
      </c>
    </row>
    <row r="10" spans="1:21" x14ac:dyDescent="0.25">
      <c r="A10">
        <v>4</v>
      </c>
      <c r="B10" s="14" t="s">
        <v>22</v>
      </c>
      <c r="C10" s="8">
        <v>378102</v>
      </c>
      <c r="D10" s="9">
        <v>378002</v>
      </c>
      <c r="E10" s="10">
        <v>0</v>
      </c>
      <c r="F10" s="8">
        <v>25142</v>
      </c>
      <c r="G10" s="10"/>
      <c r="J10" s="9" t="s">
        <v>26</v>
      </c>
      <c r="K10">
        <v>117140</v>
      </c>
      <c r="L10">
        <v>0.05</v>
      </c>
      <c r="M10">
        <f t="shared" si="0"/>
        <v>0.25</v>
      </c>
      <c r="N10">
        <f t="shared" si="1"/>
        <v>0.25</v>
      </c>
    </row>
    <row r="11" spans="1:21" x14ac:dyDescent="0.25">
      <c r="A11">
        <v>5</v>
      </c>
      <c r="B11" s="9" t="s">
        <v>23</v>
      </c>
      <c r="C11" s="8">
        <v>512563</v>
      </c>
      <c r="D11" s="9">
        <v>509270</v>
      </c>
      <c r="E11">
        <v>853878</v>
      </c>
      <c r="F11" s="8">
        <v>853878</v>
      </c>
      <c r="G11" s="10"/>
      <c r="J11" s="9" t="s">
        <v>23</v>
      </c>
      <c r="K11">
        <v>853878</v>
      </c>
      <c r="L11">
        <v>0.5</v>
      </c>
      <c r="M11">
        <f t="shared" si="0"/>
        <v>2.5</v>
      </c>
      <c r="N11">
        <f t="shared" si="1"/>
        <v>2.5</v>
      </c>
    </row>
    <row r="12" spans="1:21" x14ac:dyDescent="0.25">
      <c r="A12">
        <v>6</v>
      </c>
      <c r="B12" s="9" t="s">
        <v>24</v>
      </c>
      <c r="C12" s="8">
        <v>299955</v>
      </c>
      <c r="D12" s="9">
        <v>299955</v>
      </c>
      <c r="E12">
        <v>985732</v>
      </c>
      <c r="F12" s="8">
        <v>984415</v>
      </c>
      <c r="J12" s="9" t="s">
        <v>24</v>
      </c>
      <c r="K12">
        <v>985732</v>
      </c>
      <c r="L12">
        <v>0.5</v>
      </c>
      <c r="M12">
        <f t="shared" si="0"/>
        <v>2.5</v>
      </c>
      <c r="N12">
        <f t="shared" si="1"/>
        <v>2.5</v>
      </c>
    </row>
    <row r="13" spans="1:21" x14ac:dyDescent="0.25">
      <c r="A13">
        <v>7</v>
      </c>
      <c r="B13" s="9" t="s">
        <v>25</v>
      </c>
      <c r="C13" s="8">
        <v>351518</v>
      </c>
      <c r="D13" s="9">
        <v>350977</v>
      </c>
      <c r="E13">
        <v>109206</v>
      </c>
      <c r="F13" s="8">
        <v>110241</v>
      </c>
      <c r="J13" s="9" t="s">
        <v>27</v>
      </c>
      <c r="K13">
        <v>2317099</v>
      </c>
      <c r="L13">
        <v>1</v>
      </c>
      <c r="M13">
        <f t="shared" si="0"/>
        <v>5</v>
      </c>
      <c r="N13">
        <f t="shared" si="1"/>
        <v>5</v>
      </c>
    </row>
    <row r="14" spans="1:21" x14ac:dyDescent="0.25">
      <c r="A14">
        <v>8</v>
      </c>
      <c r="B14" s="9" t="s">
        <v>26</v>
      </c>
      <c r="C14" s="8">
        <v>414390</v>
      </c>
      <c r="D14" s="9">
        <v>412871</v>
      </c>
      <c r="E14">
        <v>117140</v>
      </c>
      <c r="F14" s="8">
        <v>117133</v>
      </c>
      <c r="J14" s="9" t="s">
        <v>40</v>
      </c>
      <c r="K14">
        <v>2155583</v>
      </c>
      <c r="L14">
        <v>1</v>
      </c>
      <c r="M14">
        <f t="shared" si="0"/>
        <v>5</v>
      </c>
      <c r="N14">
        <f t="shared" si="1"/>
        <v>5</v>
      </c>
    </row>
    <row r="15" spans="1:21" x14ac:dyDescent="0.25">
      <c r="A15">
        <v>9</v>
      </c>
      <c r="B15" s="9" t="s">
        <v>27</v>
      </c>
      <c r="C15" s="8">
        <v>289350</v>
      </c>
      <c r="D15" s="9">
        <v>289350</v>
      </c>
      <c r="E15">
        <v>2317099</v>
      </c>
      <c r="F15" s="8">
        <v>2313151</v>
      </c>
      <c r="O15" t="s">
        <v>64</v>
      </c>
      <c r="R15" t="s">
        <v>69</v>
      </c>
      <c r="S15" s="17" t="s">
        <v>87</v>
      </c>
      <c r="T15" s="4" t="s">
        <v>72</v>
      </c>
    </row>
    <row r="16" spans="1:21" x14ac:dyDescent="0.25">
      <c r="A16">
        <v>10</v>
      </c>
      <c r="B16" s="9" t="s">
        <v>40</v>
      </c>
      <c r="C16" s="8">
        <v>326195</v>
      </c>
      <c r="D16" s="9">
        <v>321995</v>
      </c>
      <c r="E16">
        <v>2155583</v>
      </c>
      <c r="F16" s="8">
        <v>2145706</v>
      </c>
      <c r="J16" s="35" t="s">
        <v>55</v>
      </c>
      <c r="K16" t="s">
        <v>56</v>
      </c>
      <c r="L16" t="s">
        <v>57</v>
      </c>
      <c r="M16" t="s">
        <v>61</v>
      </c>
      <c r="O16" t="s">
        <v>66</v>
      </c>
      <c r="P16" t="s">
        <v>65</v>
      </c>
      <c r="Q16" t="s">
        <v>68</v>
      </c>
      <c r="R16" t="s">
        <v>68</v>
      </c>
      <c r="S16" s="18" t="s">
        <v>71</v>
      </c>
      <c r="T16" s="9" t="s">
        <v>73</v>
      </c>
      <c r="U16" s="10" t="s">
        <v>88</v>
      </c>
    </row>
    <row r="17" spans="1:37" x14ac:dyDescent="0.25">
      <c r="A17">
        <v>11</v>
      </c>
      <c r="B17" s="14" t="s">
        <v>29</v>
      </c>
      <c r="C17" s="8">
        <v>440913</v>
      </c>
      <c r="D17" s="9">
        <v>440913</v>
      </c>
      <c r="E17">
        <v>0</v>
      </c>
      <c r="F17" s="8">
        <v>33430</v>
      </c>
      <c r="J17" t="s">
        <v>54</v>
      </c>
      <c r="K17" t="s">
        <v>12</v>
      </c>
      <c r="L17" t="s">
        <v>59</v>
      </c>
      <c r="M17" t="s">
        <v>60</v>
      </c>
      <c r="O17" t="s">
        <v>63</v>
      </c>
      <c r="P17" t="s">
        <v>67</v>
      </c>
      <c r="Q17" t="s">
        <v>67</v>
      </c>
      <c r="R17" t="s">
        <v>70</v>
      </c>
      <c r="S17" s="18" t="s">
        <v>70</v>
      </c>
      <c r="T17" s="9" t="s">
        <v>74</v>
      </c>
      <c r="U17" s="10" t="s">
        <v>89</v>
      </c>
    </row>
    <row r="18" spans="1:37" x14ac:dyDescent="0.25">
      <c r="A18">
        <v>12</v>
      </c>
      <c r="B18" s="15" t="s">
        <v>30</v>
      </c>
      <c r="C18" s="8">
        <v>499398</v>
      </c>
      <c r="D18" s="9">
        <v>497774</v>
      </c>
      <c r="E18" s="10">
        <v>0</v>
      </c>
      <c r="F18" s="8">
        <v>0</v>
      </c>
      <c r="G18" s="10"/>
      <c r="J18" s="16" t="s">
        <v>21</v>
      </c>
      <c r="K18" s="17">
        <v>0</v>
      </c>
      <c r="L18" s="3">
        <v>0</v>
      </c>
      <c r="M18" s="3">
        <f>L18*8</f>
        <v>0</v>
      </c>
      <c r="N18" s="3"/>
      <c r="O18" s="41">
        <v>0</v>
      </c>
      <c r="P18" s="41">
        <f>O18</f>
        <v>0</v>
      </c>
      <c r="Q18" s="3">
        <f>P18*2</f>
        <v>0</v>
      </c>
      <c r="R18" s="3">
        <f>Q18*8</f>
        <v>0</v>
      </c>
      <c r="S18" s="32">
        <f>M18-R18</f>
        <v>0</v>
      </c>
      <c r="T18" s="4">
        <f>S18/20</f>
        <v>0</v>
      </c>
    </row>
    <row r="19" spans="1:37" x14ac:dyDescent="0.25">
      <c r="A19">
        <v>13</v>
      </c>
      <c r="B19" s="9" t="s">
        <v>28</v>
      </c>
      <c r="C19" s="8">
        <v>364185</v>
      </c>
      <c r="D19" s="9">
        <v>363610</v>
      </c>
      <c r="E19" s="10">
        <v>0</v>
      </c>
      <c r="F19" s="8">
        <v>0</v>
      </c>
      <c r="J19" s="14" t="s">
        <v>22</v>
      </c>
      <c r="K19" s="42">
        <v>0</v>
      </c>
      <c r="L19" s="10">
        <v>0</v>
      </c>
      <c r="M19" s="8">
        <f t="shared" ref="M19:M29" si="2">L19*8</f>
        <v>0</v>
      </c>
      <c r="N19" s="8"/>
      <c r="O19" s="22">
        <v>0</v>
      </c>
      <c r="P19" s="22">
        <f t="shared" ref="P19:P29" si="3">O19</f>
        <v>0</v>
      </c>
      <c r="Q19" s="8">
        <f t="shared" ref="Q19:Q29" si="4">P19*2</f>
        <v>0</v>
      </c>
      <c r="R19" s="8">
        <f t="shared" ref="R19:R29" si="5">Q19*8</f>
        <v>0</v>
      </c>
      <c r="S19" s="33">
        <f t="shared" ref="S19:S29" si="6">M19-R19</f>
        <v>0</v>
      </c>
      <c r="T19" s="9">
        <f t="shared" ref="T19:T29" si="7">S19/20</f>
        <v>0</v>
      </c>
    </row>
    <row r="20" spans="1:37" x14ac:dyDescent="0.25">
      <c r="A20">
        <v>14</v>
      </c>
      <c r="B20" s="12" t="s">
        <v>31</v>
      </c>
      <c r="C20">
        <v>343231</v>
      </c>
      <c r="D20" s="9">
        <v>343231</v>
      </c>
      <c r="E20">
        <v>180679</v>
      </c>
      <c r="F20" s="8">
        <v>181013</v>
      </c>
      <c r="J20" s="14" t="s">
        <v>29</v>
      </c>
      <c r="K20" s="18">
        <v>0</v>
      </c>
      <c r="L20" s="8">
        <v>0</v>
      </c>
      <c r="M20" s="8">
        <f t="shared" si="2"/>
        <v>0</v>
      </c>
      <c r="N20" s="8"/>
      <c r="O20" s="22">
        <v>0</v>
      </c>
      <c r="P20" s="22">
        <f t="shared" si="3"/>
        <v>0</v>
      </c>
      <c r="Q20" s="8">
        <f t="shared" si="4"/>
        <v>0</v>
      </c>
      <c r="R20" s="8">
        <f t="shared" si="5"/>
        <v>0</v>
      </c>
      <c r="S20" s="33">
        <f t="shared" si="6"/>
        <v>0</v>
      </c>
      <c r="T20" s="9">
        <f t="shared" si="7"/>
        <v>0</v>
      </c>
    </row>
    <row r="21" spans="1:37" x14ac:dyDescent="0.25">
      <c r="A21">
        <v>15</v>
      </c>
      <c r="B21" s="13" t="s">
        <v>32</v>
      </c>
      <c r="C21" s="8">
        <v>343533</v>
      </c>
      <c r="D21" s="9">
        <v>342090</v>
      </c>
      <c r="E21">
        <v>207828</v>
      </c>
      <c r="F21" s="8">
        <v>208827</v>
      </c>
      <c r="G21" s="10"/>
      <c r="J21" s="15" t="s">
        <v>30</v>
      </c>
      <c r="K21" s="43">
        <v>0</v>
      </c>
      <c r="L21" s="44">
        <v>0</v>
      </c>
      <c r="M21" s="7">
        <f t="shared" si="2"/>
        <v>0</v>
      </c>
      <c r="N21" s="7"/>
      <c r="O21" s="45">
        <v>0</v>
      </c>
      <c r="P21" s="45">
        <f t="shared" si="3"/>
        <v>0</v>
      </c>
      <c r="Q21" s="7">
        <f t="shared" si="4"/>
        <v>0</v>
      </c>
      <c r="R21" s="7">
        <f t="shared" si="5"/>
        <v>0</v>
      </c>
      <c r="S21" s="46">
        <f t="shared" si="6"/>
        <v>0</v>
      </c>
      <c r="T21" s="6">
        <f t="shared" si="7"/>
        <v>0</v>
      </c>
    </row>
    <row r="22" spans="1:37" x14ac:dyDescent="0.25">
      <c r="A22">
        <v>16</v>
      </c>
      <c r="B22" s="14" t="s">
        <v>34</v>
      </c>
      <c r="C22" s="8">
        <v>387266</v>
      </c>
      <c r="D22" s="9">
        <v>384859</v>
      </c>
      <c r="E22">
        <v>194928</v>
      </c>
      <c r="F22" s="8">
        <v>196476</v>
      </c>
      <c r="G22" s="10"/>
      <c r="J22" s="36" t="s">
        <v>31</v>
      </c>
      <c r="K22" s="17">
        <v>180679</v>
      </c>
      <c r="L22" s="3">
        <v>2.5</v>
      </c>
      <c r="M22" s="3">
        <f t="shared" si="2"/>
        <v>20</v>
      </c>
      <c r="N22" s="3"/>
      <c r="O22" s="38">
        <v>0.4914901072268959</v>
      </c>
      <c r="P22" s="38">
        <f t="shared" si="3"/>
        <v>0.4914901072268959</v>
      </c>
      <c r="Q22" s="38">
        <f t="shared" si="4"/>
        <v>0.9829802144537918</v>
      </c>
      <c r="R22" s="38">
        <f>Q22*8</f>
        <v>7.8638417156303344</v>
      </c>
      <c r="S22" s="24">
        <f t="shared" si="6"/>
        <v>12.136158284369666</v>
      </c>
      <c r="T22" s="25">
        <f t="shared" si="7"/>
        <v>0.60680791421848324</v>
      </c>
      <c r="U22">
        <f>T22/Q22</f>
        <v>0.61731447418365937</v>
      </c>
    </row>
    <row r="23" spans="1:37" x14ac:dyDescent="0.25">
      <c r="A23">
        <v>17</v>
      </c>
      <c r="B23" s="15" t="s">
        <v>35</v>
      </c>
      <c r="C23" s="8">
        <v>346011</v>
      </c>
      <c r="D23" s="9">
        <v>346011</v>
      </c>
      <c r="E23">
        <v>275736</v>
      </c>
      <c r="F23" s="8">
        <v>275814</v>
      </c>
      <c r="G23" s="10"/>
      <c r="J23" s="37" t="s">
        <v>32</v>
      </c>
      <c r="K23" s="18">
        <v>207828</v>
      </c>
      <c r="L23" s="8">
        <v>2.5</v>
      </c>
      <c r="M23" s="8">
        <f t="shared" si="2"/>
        <v>20</v>
      </c>
      <c r="N23" s="8"/>
      <c r="O23" s="28">
        <v>0.55315299320617817</v>
      </c>
      <c r="P23" s="28">
        <f t="shared" si="3"/>
        <v>0.55315299320617817</v>
      </c>
      <c r="Q23" s="28">
        <f t="shared" si="4"/>
        <v>1.1063059864123563</v>
      </c>
      <c r="R23" s="28">
        <f t="shared" si="5"/>
        <v>8.8504478912988507</v>
      </c>
      <c r="S23" s="26">
        <f>M23-R23</f>
        <v>11.149552108701149</v>
      </c>
      <c r="T23" s="27">
        <f>S23/20</f>
        <v>0.55747760543505742</v>
      </c>
      <c r="U23">
        <f t="shared" ref="U23:U29" si="8">T23/Q23</f>
        <v>0.50390905615805581</v>
      </c>
    </row>
    <row r="24" spans="1:37" x14ac:dyDescent="0.25">
      <c r="A24">
        <v>18</v>
      </c>
      <c r="B24" s="16" t="s">
        <v>36</v>
      </c>
      <c r="C24" s="8">
        <v>449807</v>
      </c>
      <c r="D24" s="9">
        <v>448666</v>
      </c>
      <c r="E24">
        <v>742742</v>
      </c>
      <c r="F24" s="8">
        <v>742742</v>
      </c>
      <c r="G24" s="10"/>
      <c r="J24" s="37" t="s">
        <v>34</v>
      </c>
      <c r="K24" s="18">
        <v>194928</v>
      </c>
      <c r="L24" s="8">
        <v>2.5</v>
      </c>
      <c r="M24" s="8">
        <f t="shared" si="2"/>
        <v>20</v>
      </c>
      <c r="N24" s="8"/>
      <c r="O24" s="28">
        <v>0.52385352622276293</v>
      </c>
      <c r="P24" s="28">
        <f t="shared" si="3"/>
        <v>0.52385352622276293</v>
      </c>
      <c r="Q24" s="28">
        <f t="shared" si="4"/>
        <v>1.0477070524455259</v>
      </c>
      <c r="R24" s="28">
        <f t="shared" si="5"/>
        <v>8.3816564195642069</v>
      </c>
      <c r="S24" s="26">
        <f t="shared" si="6"/>
        <v>11.618343580435793</v>
      </c>
      <c r="T24" s="27">
        <f t="shared" si="7"/>
        <v>0.58091717902178963</v>
      </c>
      <c r="U24">
        <f t="shared" si="8"/>
        <v>0.55446527506503884</v>
      </c>
    </row>
    <row r="25" spans="1:37" x14ac:dyDescent="0.25">
      <c r="A25">
        <v>19</v>
      </c>
      <c r="B25" s="14" t="s">
        <v>37</v>
      </c>
      <c r="C25" s="8">
        <v>352642</v>
      </c>
      <c r="D25" s="9">
        <v>352091</v>
      </c>
      <c r="E25">
        <v>666333</v>
      </c>
      <c r="F25" s="8">
        <v>664531</v>
      </c>
      <c r="G25" s="10"/>
      <c r="J25" s="15" t="s">
        <v>35</v>
      </c>
      <c r="K25" s="5">
        <v>275736</v>
      </c>
      <c r="L25" s="7">
        <v>2.5</v>
      </c>
      <c r="M25" s="7">
        <f t="shared" si="2"/>
        <v>20</v>
      </c>
      <c r="N25" s="7"/>
      <c r="O25" s="39">
        <v>0.70739083847050077</v>
      </c>
      <c r="P25" s="39">
        <f t="shared" si="3"/>
        <v>0.70739083847050077</v>
      </c>
      <c r="Q25" s="39">
        <f t="shared" si="4"/>
        <v>1.4147816769410015</v>
      </c>
      <c r="R25" s="39">
        <f t="shared" si="5"/>
        <v>11.318253415528012</v>
      </c>
      <c r="S25" s="47">
        <f t="shared" si="6"/>
        <v>8.6817465844719877</v>
      </c>
      <c r="T25" s="40">
        <f t="shared" si="7"/>
        <v>0.43408732922359938</v>
      </c>
      <c r="U25">
        <f t="shared" si="8"/>
        <v>0.30682283796760074</v>
      </c>
    </row>
    <row r="26" spans="1:37" x14ac:dyDescent="0.25">
      <c r="A26">
        <v>20</v>
      </c>
      <c r="B26" s="14" t="s">
        <v>38</v>
      </c>
      <c r="C26" s="8">
        <v>433420</v>
      </c>
      <c r="D26" s="9">
        <v>430546</v>
      </c>
      <c r="E26">
        <v>568617</v>
      </c>
      <c r="F26" s="8">
        <v>568617</v>
      </c>
      <c r="G26" s="10"/>
      <c r="J26" s="16" t="s">
        <v>36</v>
      </c>
      <c r="K26" s="17">
        <v>742742</v>
      </c>
      <c r="L26" s="3">
        <v>7.5</v>
      </c>
      <c r="M26" s="3">
        <f t="shared" si="2"/>
        <v>60</v>
      </c>
      <c r="N26" s="3"/>
      <c r="O26" s="38">
        <v>1.7680905964594018</v>
      </c>
      <c r="P26" s="38">
        <f t="shared" si="3"/>
        <v>1.7680905964594018</v>
      </c>
      <c r="Q26" s="38">
        <f t="shared" si="4"/>
        <v>3.5361811929188036</v>
      </c>
      <c r="R26" s="38">
        <f t="shared" si="5"/>
        <v>28.289449543350429</v>
      </c>
      <c r="S26" s="24">
        <f t="shared" si="6"/>
        <v>31.710550456649571</v>
      </c>
      <c r="T26" s="25">
        <f t="shared" si="7"/>
        <v>1.5855275228324786</v>
      </c>
      <c r="U26">
        <f t="shared" si="8"/>
        <v>0.44837281698333065</v>
      </c>
    </row>
    <row r="27" spans="1:37" x14ac:dyDescent="0.25">
      <c r="A27">
        <v>21</v>
      </c>
      <c r="B27" s="15" t="s">
        <v>39</v>
      </c>
      <c r="C27" s="8">
        <v>383199</v>
      </c>
      <c r="D27" s="9">
        <v>381088</v>
      </c>
      <c r="E27">
        <v>616447</v>
      </c>
      <c r="F27" s="8">
        <v>616356</v>
      </c>
      <c r="G27" s="10"/>
      <c r="J27" s="14" t="s">
        <v>37</v>
      </c>
      <c r="K27" s="18">
        <v>666333</v>
      </c>
      <c r="L27" s="8">
        <v>7.5</v>
      </c>
      <c r="M27" s="8">
        <f t="shared" si="2"/>
        <v>60</v>
      </c>
      <c r="N27" s="8"/>
      <c r="O27" s="28">
        <v>1.5945446295806596</v>
      </c>
      <c r="P27" s="28">
        <f t="shared" si="3"/>
        <v>1.5945446295806596</v>
      </c>
      <c r="Q27" s="28">
        <f t="shared" si="4"/>
        <v>3.1890892591613191</v>
      </c>
      <c r="R27" s="28">
        <f t="shared" si="5"/>
        <v>25.512714073290553</v>
      </c>
      <c r="S27" s="26">
        <f t="shared" si="6"/>
        <v>34.487285926709447</v>
      </c>
      <c r="T27" s="27">
        <f t="shared" si="7"/>
        <v>1.7243642963354724</v>
      </c>
      <c r="U27">
        <f t="shared" si="8"/>
        <v>0.54070744222096601</v>
      </c>
      <c r="AH27" t="s">
        <v>125</v>
      </c>
    </row>
    <row r="28" spans="1:37" ht="15.75" thickBot="1" x14ac:dyDescent="0.3">
      <c r="A28">
        <v>22</v>
      </c>
      <c r="B28" s="9" t="s">
        <v>33</v>
      </c>
      <c r="C28" s="8">
        <v>354679</v>
      </c>
      <c r="D28" s="9">
        <v>354679</v>
      </c>
      <c r="E28">
        <v>0</v>
      </c>
      <c r="F28" s="8">
        <v>42100</v>
      </c>
      <c r="G28" s="10"/>
      <c r="J28" s="14" t="s">
        <v>38</v>
      </c>
      <c r="K28" s="18">
        <v>568617</v>
      </c>
      <c r="L28" s="8">
        <v>7.5</v>
      </c>
      <c r="M28" s="8">
        <f t="shared" si="2"/>
        <v>60</v>
      </c>
      <c r="N28" s="8"/>
      <c r="O28" s="28">
        <v>1.3726045740960544</v>
      </c>
      <c r="P28" s="28">
        <f t="shared" si="3"/>
        <v>1.3726045740960544</v>
      </c>
      <c r="Q28" s="28">
        <f t="shared" si="4"/>
        <v>2.7452091481921088</v>
      </c>
      <c r="R28" s="28">
        <f t="shared" si="5"/>
        <v>21.961673185536871</v>
      </c>
      <c r="S28" s="26">
        <f t="shared" si="6"/>
        <v>38.038326814463133</v>
      </c>
      <c r="T28" s="27">
        <f t="shared" si="7"/>
        <v>1.9019163407231567</v>
      </c>
      <c r="U28">
        <f>T28/Q28</f>
        <v>0.69281291080342167</v>
      </c>
      <c r="AH28" t="s">
        <v>343</v>
      </c>
    </row>
    <row r="29" spans="1:37" x14ac:dyDescent="0.25">
      <c r="J29" s="15" t="s">
        <v>39</v>
      </c>
      <c r="K29" s="5">
        <v>616447</v>
      </c>
      <c r="L29" s="7">
        <v>7.5</v>
      </c>
      <c r="M29" s="7">
        <f t="shared" si="2"/>
        <v>60</v>
      </c>
      <c r="N29" s="7"/>
      <c r="O29" s="39">
        <v>1.4812397295857251</v>
      </c>
      <c r="P29" s="39">
        <f t="shared" si="3"/>
        <v>1.4812397295857251</v>
      </c>
      <c r="Q29" s="39">
        <f t="shared" si="4"/>
        <v>2.9624794591714503</v>
      </c>
      <c r="R29" s="39">
        <f t="shared" si="5"/>
        <v>23.699835673371602</v>
      </c>
      <c r="S29" s="47">
        <f t="shared" si="6"/>
        <v>36.300164326628398</v>
      </c>
      <c r="T29" s="40">
        <f t="shared" si="7"/>
        <v>1.8150082163314198</v>
      </c>
      <c r="U29">
        <f t="shared" si="8"/>
        <v>0.61266524927705102</v>
      </c>
      <c r="AH29" s="123" t="s">
        <v>127</v>
      </c>
      <c r="AI29" s="122" t="s">
        <v>124</v>
      </c>
      <c r="AJ29" s="123" t="s">
        <v>344</v>
      </c>
      <c r="AK29" s="122" t="s">
        <v>128</v>
      </c>
    </row>
    <row r="30" spans="1:37" ht="15.75" thickBot="1" x14ac:dyDescent="0.3">
      <c r="AH30" s="107">
        <v>19</v>
      </c>
      <c r="AI30" s="56">
        <v>7.4999999999999997E-2</v>
      </c>
      <c r="AJ30" s="107">
        <v>4</v>
      </c>
      <c r="AK30" s="56">
        <v>0.3</v>
      </c>
    </row>
    <row r="31" spans="1:37" x14ac:dyDescent="0.25">
      <c r="W31" t="s">
        <v>78</v>
      </c>
      <c r="X31" t="s">
        <v>82</v>
      </c>
      <c r="Y31" t="s">
        <v>84</v>
      </c>
      <c r="Z31" t="s">
        <v>85</v>
      </c>
      <c r="AA31" t="s">
        <v>88</v>
      </c>
      <c r="AH31" s="124" t="s">
        <v>123</v>
      </c>
      <c r="AI31" s="117"/>
      <c r="AJ31" s="125" t="s">
        <v>126</v>
      </c>
      <c r="AK31" s="53"/>
    </row>
    <row r="32" spans="1:37" ht="15.75" thickBot="1" x14ac:dyDescent="0.3">
      <c r="A32" t="s">
        <v>90</v>
      </c>
      <c r="W32" t="s">
        <v>55</v>
      </c>
      <c r="X32" t="s">
        <v>83</v>
      </c>
      <c r="Y32" t="s">
        <v>83</v>
      </c>
      <c r="Z32" t="s">
        <v>86</v>
      </c>
      <c r="AH32" s="118" t="s">
        <v>121</v>
      </c>
      <c r="AI32" s="119" t="s">
        <v>122</v>
      </c>
      <c r="AJ32" s="121" t="s">
        <v>121</v>
      </c>
      <c r="AK32" s="120" t="s">
        <v>122</v>
      </c>
    </row>
    <row r="33" spans="1:37" x14ac:dyDescent="0.25">
      <c r="A33" t="s">
        <v>91</v>
      </c>
      <c r="W33" t="s">
        <v>79</v>
      </c>
      <c r="X33">
        <v>0</v>
      </c>
      <c r="Y33">
        <f>AVERAGE(Q18:Q21)</f>
        <v>0</v>
      </c>
      <c r="Z33">
        <f>AVERAGE(T18:T21)</f>
        <v>0</v>
      </c>
      <c r="AH33" s="126">
        <v>0.5</v>
      </c>
      <c r="AI33" s="127">
        <f>($AH$30/((1/$AI$30)+AH33))*AH33</f>
        <v>0.68674698795180722</v>
      </c>
      <c r="AJ33" s="128">
        <v>0.5</v>
      </c>
      <c r="AK33" s="129">
        <f>$AJ$30*(AJ33^$AK$30)</f>
        <v>3.2490095854249419</v>
      </c>
    </row>
    <row r="34" spans="1:37" x14ac:dyDescent="0.25">
      <c r="A34" t="s">
        <v>7</v>
      </c>
      <c r="W34" t="s">
        <v>80</v>
      </c>
      <c r="X34">
        <v>2.5</v>
      </c>
      <c r="Y34" s="29">
        <f>AVERAGE(Q22:Q25)</f>
        <v>1.1379437325631689</v>
      </c>
      <c r="Z34" s="29">
        <f>AVERAGE(T22:T25)</f>
        <v>0.54482250697473245</v>
      </c>
      <c r="AA34">
        <f>AVERAGE(U22:U25)</f>
        <v>0.49562791084358865</v>
      </c>
      <c r="AH34" s="126">
        <v>1</v>
      </c>
      <c r="AI34" s="127">
        <f t="shared" ref="AI34:AI58" si="9">($AH$30/((1/$AI$30)+AH34))*AH34</f>
        <v>1.3255813953488371</v>
      </c>
      <c r="AJ34" s="128">
        <v>1</v>
      </c>
      <c r="AK34" s="129">
        <f t="shared" ref="AK34:AK58" si="10">$AJ$30*(AJ34^$AK$30)</f>
        <v>4</v>
      </c>
    </row>
    <row r="35" spans="1:37" x14ac:dyDescent="0.25">
      <c r="A35" t="s">
        <v>8</v>
      </c>
      <c r="G35" s="10"/>
      <c r="J35" s="35" t="s">
        <v>53</v>
      </c>
      <c r="W35" t="s">
        <v>81</v>
      </c>
      <c r="X35">
        <v>7.5</v>
      </c>
      <c r="Y35" s="29">
        <f>AVERAGE(Q26:Q29)</f>
        <v>3.1082397648609206</v>
      </c>
      <c r="Z35" s="29">
        <f>AVERAGE(T26:T29)</f>
        <v>1.756704094055632</v>
      </c>
      <c r="AA35">
        <f>AVERAGE(U26:U29)</f>
        <v>0.57363960482119225</v>
      </c>
      <c r="AH35" s="126">
        <v>2</v>
      </c>
      <c r="AI35" s="127">
        <f t="shared" si="9"/>
        <v>2.4782608695652173</v>
      </c>
      <c r="AJ35" s="128">
        <v>2</v>
      </c>
      <c r="AK35" s="129">
        <f t="shared" si="10"/>
        <v>4.9245776533796652</v>
      </c>
    </row>
    <row r="36" spans="1:37" x14ac:dyDescent="0.25">
      <c r="A36" s="1"/>
      <c r="B36" s="2"/>
      <c r="C36" s="3" t="s">
        <v>9</v>
      </c>
      <c r="D36" s="4" t="s">
        <v>10</v>
      </c>
      <c r="E36" s="3" t="s">
        <v>11</v>
      </c>
      <c r="F36" s="3"/>
      <c r="J36" t="s">
        <v>54</v>
      </c>
      <c r="K36" t="s">
        <v>56</v>
      </c>
      <c r="L36" t="s">
        <v>57</v>
      </c>
      <c r="M36" t="s">
        <v>58</v>
      </c>
      <c r="N36" t="s">
        <v>62</v>
      </c>
      <c r="W36" t="s">
        <v>117</v>
      </c>
      <c r="X36">
        <f>AVERAGE(L51:L54)</f>
        <v>12.5</v>
      </c>
      <c r="Y36">
        <f>AVERAGE(Q51:Q54)</f>
        <v>3.5250263494297558</v>
      </c>
      <c r="Z36">
        <f>AVERAGE(T51:T54)</f>
        <v>3.5899894602280975</v>
      </c>
      <c r="AA36">
        <f>AVERAGE(U51:U54)</f>
        <v>1.0704531425989143</v>
      </c>
      <c r="AH36" s="126">
        <v>3</v>
      </c>
      <c r="AI36" s="127">
        <f t="shared" si="9"/>
        <v>3.4897959183673462</v>
      </c>
      <c r="AJ36" s="128">
        <v>3</v>
      </c>
      <c r="AK36" s="129">
        <f t="shared" si="10"/>
        <v>5.561556681263637</v>
      </c>
    </row>
    <row r="37" spans="1:37" x14ac:dyDescent="0.25">
      <c r="A37" s="5" t="s">
        <v>2</v>
      </c>
      <c r="B37" s="6" t="s">
        <v>3</v>
      </c>
      <c r="C37" s="7" t="s">
        <v>17</v>
      </c>
      <c r="D37" s="6" t="s">
        <v>18</v>
      </c>
      <c r="E37" s="7" t="s">
        <v>12</v>
      </c>
      <c r="F37" s="7" t="s">
        <v>13</v>
      </c>
      <c r="K37" t="s">
        <v>12</v>
      </c>
      <c r="L37" t="s">
        <v>59</v>
      </c>
      <c r="M37" t="s">
        <v>60</v>
      </c>
      <c r="N37" t="s">
        <v>59</v>
      </c>
      <c r="W37" t="s">
        <v>118</v>
      </c>
      <c r="X37">
        <f>AVERAGE(L55:L58)</f>
        <v>25</v>
      </c>
      <c r="Y37">
        <f>AVERAGE(Q55:Q58)</f>
        <v>8.066103451873083</v>
      </c>
      <c r="Z37">
        <f>AVERAGE(T55:T58)</f>
        <v>6.7735586192507675</v>
      </c>
      <c r="AA37">
        <f>AVERAGE(U55:U58)</f>
        <v>0.85530857871277299</v>
      </c>
      <c r="AH37" s="126">
        <v>4</v>
      </c>
      <c r="AI37" s="127">
        <f t="shared" si="9"/>
        <v>4.3846153846153841</v>
      </c>
      <c r="AJ37" s="128">
        <v>4</v>
      </c>
      <c r="AK37" s="129">
        <f t="shared" si="10"/>
        <v>6.062866266041592</v>
      </c>
    </row>
    <row r="38" spans="1:37" x14ac:dyDescent="0.25">
      <c r="A38">
        <v>1</v>
      </c>
      <c r="B38" s="4" t="s">
        <v>92</v>
      </c>
      <c r="D38" s="4"/>
      <c r="F38" s="4"/>
      <c r="J38" s="9" t="s">
        <v>94</v>
      </c>
      <c r="K38">
        <v>0</v>
      </c>
      <c r="L38" s="61">
        <v>0</v>
      </c>
      <c r="M38">
        <f>L38*5</f>
        <v>0</v>
      </c>
      <c r="N38">
        <f>M38</f>
        <v>0</v>
      </c>
      <c r="W38" t="s">
        <v>119</v>
      </c>
      <c r="X38">
        <f>AVERAGE(L59:L62)</f>
        <v>50</v>
      </c>
      <c r="Y38">
        <f>AVERAGE(Q59:Q62)</f>
        <v>16.28560562425421</v>
      </c>
      <c r="Z38">
        <f>AVERAGE(T59:T62)</f>
        <v>13.485757750298315</v>
      </c>
      <c r="AA38">
        <f>AVERAGE(U59:U62)</f>
        <v>0.92615580756086047</v>
      </c>
      <c r="AH38" s="126">
        <v>5</v>
      </c>
      <c r="AI38" s="127">
        <f t="shared" si="9"/>
        <v>5.1818181818181808</v>
      </c>
      <c r="AJ38" s="128">
        <v>5</v>
      </c>
      <c r="AK38" s="129">
        <f t="shared" si="10"/>
        <v>6.4826263867710496</v>
      </c>
    </row>
    <row r="39" spans="1:37" x14ac:dyDescent="0.25">
      <c r="A39">
        <v>2</v>
      </c>
      <c r="B39" s="9" t="s">
        <v>94</v>
      </c>
      <c r="C39">
        <v>341416</v>
      </c>
      <c r="D39" s="9">
        <v>341416</v>
      </c>
      <c r="E39">
        <v>0</v>
      </c>
      <c r="F39" s="9">
        <v>45132</v>
      </c>
      <c r="J39" s="9" t="s">
        <v>95</v>
      </c>
      <c r="K39">
        <v>0</v>
      </c>
      <c r="L39">
        <v>0</v>
      </c>
      <c r="M39">
        <f t="shared" ref="M39:M47" si="11">L39*5</f>
        <v>0</v>
      </c>
      <c r="N39">
        <f t="shared" ref="N39:N47" si="12">M39</f>
        <v>0</v>
      </c>
      <c r="AH39" s="126">
        <v>6</v>
      </c>
      <c r="AI39" s="127">
        <f t="shared" si="9"/>
        <v>5.8965517241379306</v>
      </c>
      <c r="AJ39" s="128">
        <v>6</v>
      </c>
      <c r="AK39" s="129">
        <f t="shared" si="10"/>
        <v>6.8470794376388202</v>
      </c>
    </row>
    <row r="40" spans="1:37" x14ac:dyDescent="0.25">
      <c r="A40">
        <v>3</v>
      </c>
      <c r="B40" s="9" t="s">
        <v>95</v>
      </c>
      <c r="C40">
        <v>607250</v>
      </c>
      <c r="D40" s="9">
        <v>607250</v>
      </c>
      <c r="E40">
        <v>0</v>
      </c>
      <c r="F40" s="9">
        <v>50110</v>
      </c>
      <c r="J40" s="9" t="s">
        <v>113</v>
      </c>
      <c r="K40" s="49">
        <v>485398</v>
      </c>
      <c r="L40">
        <v>0</v>
      </c>
      <c r="M40">
        <f t="shared" si="11"/>
        <v>0</v>
      </c>
      <c r="N40">
        <f t="shared" si="12"/>
        <v>0</v>
      </c>
      <c r="AH40" s="126">
        <v>7</v>
      </c>
      <c r="AI40" s="127">
        <f t="shared" si="9"/>
        <v>6.5409836065573765</v>
      </c>
      <c r="AJ40" s="128">
        <v>7</v>
      </c>
      <c r="AK40" s="129">
        <f t="shared" si="10"/>
        <v>7.1711598500839884</v>
      </c>
    </row>
    <row r="41" spans="1:37" x14ac:dyDescent="0.25">
      <c r="A41">
        <v>4</v>
      </c>
      <c r="B41" s="9" t="s">
        <v>93</v>
      </c>
      <c r="C41">
        <v>130937</v>
      </c>
      <c r="D41" s="9">
        <v>136149</v>
      </c>
      <c r="E41">
        <v>844407</v>
      </c>
      <c r="F41" s="9">
        <v>844407</v>
      </c>
      <c r="J41" s="9" t="s">
        <v>114</v>
      </c>
      <c r="K41">
        <v>0</v>
      </c>
      <c r="L41">
        <v>0</v>
      </c>
      <c r="M41">
        <f t="shared" si="11"/>
        <v>0</v>
      </c>
      <c r="N41">
        <f t="shared" si="12"/>
        <v>0</v>
      </c>
      <c r="AH41" s="126">
        <v>8</v>
      </c>
      <c r="AI41" s="127">
        <f t="shared" si="9"/>
        <v>7.1249999999999991</v>
      </c>
      <c r="AJ41" s="128">
        <v>8</v>
      </c>
      <c r="AK41" s="129">
        <f t="shared" si="10"/>
        <v>7.4642639322944593</v>
      </c>
    </row>
    <row r="42" spans="1:37" x14ac:dyDescent="0.25">
      <c r="A42">
        <v>5</v>
      </c>
      <c r="B42" s="9" t="s">
        <v>96</v>
      </c>
      <c r="C42">
        <v>97902</v>
      </c>
      <c r="D42" s="9">
        <v>98704</v>
      </c>
      <c r="E42">
        <v>803690</v>
      </c>
      <c r="F42" s="9">
        <v>803690</v>
      </c>
      <c r="J42" s="9" t="s">
        <v>93</v>
      </c>
      <c r="K42">
        <v>844407</v>
      </c>
      <c r="L42">
        <v>0.25</v>
      </c>
      <c r="M42">
        <f t="shared" si="11"/>
        <v>1.25</v>
      </c>
      <c r="N42">
        <f t="shared" si="12"/>
        <v>1.25</v>
      </c>
      <c r="AH42" s="126">
        <v>9</v>
      </c>
      <c r="AI42" s="127">
        <f t="shared" si="9"/>
        <v>7.656716417910447</v>
      </c>
      <c r="AJ42" s="128">
        <v>9</v>
      </c>
      <c r="AK42" s="129">
        <f t="shared" si="10"/>
        <v>7.7327281797270508</v>
      </c>
    </row>
    <row r="43" spans="1:37" x14ac:dyDescent="0.25">
      <c r="A43">
        <v>6</v>
      </c>
      <c r="B43" s="9" t="s">
        <v>97</v>
      </c>
      <c r="C43">
        <v>279894</v>
      </c>
      <c r="D43" s="9">
        <v>279894</v>
      </c>
      <c r="E43">
        <v>8946010</v>
      </c>
      <c r="F43" s="9">
        <v>8918872</v>
      </c>
      <c r="J43" s="9" t="s">
        <v>96</v>
      </c>
      <c r="K43">
        <v>803690</v>
      </c>
      <c r="L43">
        <v>0.25</v>
      </c>
      <c r="M43">
        <f t="shared" si="11"/>
        <v>1.25</v>
      </c>
      <c r="N43">
        <f t="shared" si="12"/>
        <v>1.25</v>
      </c>
      <c r="AH43" s="126">
        <v>10</v>
      </c>
      <c r="AI43" s="127">
        <f t="shared" si="9"/>
        <v>8.1428571428571423</v>
      </c>
      <c r="AJ43" s="128">
        <v>10</v>
      </c>
      <c r="AK43" s="129">
        <f t="shared" si="10"/>
        <v>7.9810492598755189</v>
      </c>
    </row>
    <row r="44" spans="1:37" x14ac:dyDescent="0.25">
      <c r="A44">
        <v>7</v>
      </c>
      <c r="B44" s="9" t="s">
        <v>98</v>
      </c>
      <c r="C44">
        <v>282159</v>
      </c>
      <c r="D44" s="9">
        <v>282159</v>
      </c>
      <c r="E44">
        <v>9017042</v>
      </c>
      <c r="F44" s="9">
        <v>8990727</v>
      </c>
      <c r="J44" s="9" t="s">
        <v>97</v>
      </c>
      <c r="K44">
        <v>8946010</v>
      </c>
      <c r="L44">
        <v>2</v>
      </c>
      <c r="M44">
        <f t="shared" si="11"/>
        <v>10</v>
      </c>
      <c r="N44">
        <f t="shared" si="12"/>
        <v>10</v>
      </c>
      <c r="AH44" s="126">
        <v>11</v>
      </c>
      <c r="AI44" s="127">
        <f t="shared" si="9"/>
        <v>8.5890410958904102</v>
      </c>
      <c r="AJ44" s="128">
        <v>11</v>
      </c>
      <c r="AK44" s="129">
        <f t="shared" si="10"/>
        <v>8.2125456546353757</v>
      </c>
    </row>
    <row r="45" spans="1:37" x14ac:dyDescent="0.25">
      <c r="A45">
        <v>8</v>
      </c>
      <c r="B45" s="9" t="s">
        <v>99</v>
      </c>
      <c r="C45">
        <v>487153</v>
      </c>
      <c r="D45" s="9">
        <v>487153</v>
      </c>
      <c r="E45">
        <v>21292759</v>
      </c>
      <c r="F45" s="9">
        <v>21232349</v>
      </c>
      <c r="J45" s="9" t="s">
        <v>98</v>
      </c>
      <c r="K45">
        <v>9017042</v>
      </c>
      <c r="L45">
        <v>2</v>
      </c>
      <c r="M45">
        <f t="shared" si="11"/>
        <v>10</v>
      </c>
      <c r="N45">
        <f t="shared" si="12"/>
        <v>10</v>
      </c>
      <c r="AH45" s="126">
        <v>12</v>
      </c>
      <c r="AI45" s="127">
        <f t="shared" si="9"/>
        <v>8.9999999999999982</v>
      </c>
      <c r="AJ45" s="128">
        <v>12</v>
      </c>
      <c r="AK45" s="129">
        <f t="shared" si="10"/>
        <v>8.4297435973778843</v>
      </c>
    </row>
    <row r="46" spans="1:37" x14ac:dyDescent="0.25">
      <c r="A46">
        <v>9</v>
      </c>
      <c r="B46" s="9" t="s">
        <v>100</v>
      </c>
      <c r="C46">
        <v>588156</v>
      </c>
      <c r="D46" s="9">
        <v>588156</v>
      </c>
      <c r="E46">
        <v>21344369</v>
      </c>
      <c r="F46" s="9">
        <v>21268193</v>
      </c>
      <c r="J46" s="9" t="s">
        <v>99</v>
      </c>
      <c r="K46">
        <v>21292759</v>
      </c>
      <c r="L46">
        <v>5</v>
      </c>
      <c r="M46">
        <f t="shared" si="11"/>
        <v>25</v>
      </c>
      <c r="N46">
        <f t="shared" si="12"/>
        <v>25</v>
      </c>
      <c r="AH46" s="126">
        <v>13</v>
      </c>
      <c r="AI46" s="127">
        <f t="shared" si="9"/>
        <v>9.3797468354430382</v>
      </c>
      <c r="AJ46" s="128">
        <v>13</v>
      </c>
      <c r="AK46" s="129">
        <f t="shared" si="10"/>
        <v>8.6346153776863197</v>
      </c>
    </row>
    <row r="47" spans="1:37" x14ac:dyDescent="0.25">
      <c r="A47">
        <v>10</v>
      </c>
      <c r="B47" s="9" t="s">
        <v>113</v>
      </c>
      <c r="C47">
        <v>509719</v>
      </c>
      <c r="D47" s="9">
        <v>505768</v>
      </c>
      <c r="E47" s="49">
        <v>485398</v>
      </c>
      <c r="F47" s="50">
        <v>486020</v>
      </c>
      <c r="J47" s="9" t="s">
        <v>100</v>
      </c>
      <c r="K47">
        <v>21344369</v>
      </c>
      <c r="L47">
        <v>5</v>
      </c>
      <c r="M47">
        <f t="shared" si="11"/>
        <v>25</v>
      </c>
      <c r="N47">
        <f t="shared" si="12"/>
        <v>25</v>
      </c>
      <c r="AH47" s="126">
        <v>14</v>
      </c>
      <c r="AI47" s="127">
        <f t="shared" si="9"/>
        <v>9.7317073170731696</v>
      </c>
      <c r="AJ47" s="128">
        <v>14</v>
      </c>
      <c r="AK47" s="129">
        <f t="shared" si="10"/>
        <v>8.8287333866342692</v>
      </c>
    </row>
    <row r="48" spans="1:37" x14ac:dyDescent="0.25">
      <c r="A48">
        <v>11</v>
      </c>
      <c r="B48" s="51" t="s">
        <v>101</v>
      </c>
      <c r="C48">
        <v>270128</v>
      </c>
      <c r="D48" s="9">
        <v>268122</v>
      </c>
      <c r="E48">
        <v>1537277</v>
      </c>
      <c r="F48" s="9">
        <v>1535444</v>
      </c>
      <c r="O48" t="s">
        <v>64</v>
      </c>
      <c r="R48" t="s">
        <v>69</v>
      </c>
      <c r="S48" s="17" t="s">
        <v>87</v>
      </c>
      <c r="T48" s="4" t="s">
        <v>72</v>
      </c>
      <c r="AH48" s="126">
        <v>15</v>
      </c>
      <c r="AI48" s="127">
        <f t="shared" si="9"/>
        <v>10.058823529411764</v>
      </c>
      <c r="AJ48" s="128">
        <v>15</v>
      </c>
      <c r="AK48" s="129">
        <f t="shared" si="10"/>
        <v>9.0133735233706211</v>
      </c>
    </row>
    <row r="49" spans="1:37" x14ac:dyDescent="0.25">
      <c r="A49">
        <v>12</v>
      </c>
      <c r="B49" s="51" t="s">
        <v>102</v>
      </c>
      <c r="C49">
        <v>237239</v>
      </c>
      <c r="D49" s="9">
        <v>237239</v>
      </c>
      <c r="E49">
        <v>1991960</v>
      </c>
      <c r="F49" s="9">
        <v>1991960</v>
      </c>
      <c r="J49" s="35" t="s">
        <v>55</v>
      </c>
      <c r="K49" t="s">
        <v>56</v>
      </c>
      <c r="L49" t="s">
        <v>57</v>
      </c>
      <c r="M49" t="s">
        <v>61</v>
      </c>
      <c r="O49" t="s">
        <v>66</v>
      </c>
      <c r="P49" t="s">
        <v>65</v>
      </c>
      <c r="Q49" t="s">
        <v>68</v>
      </c>
      <c r="R49" t="s">
        <v>68</v>
      </c>
      <c r="S49" s="18" t="s">
        <v>71</v>
      </c>
      <c r="T49" s="9" t="s">
        <v>73</v>
      </c>
      <c r="U49" s="10" t="s">
        <v>88</v>
      </c>
      <c r="AH49" s="126">
        <v>16</v>
      </c>
      <c r="AI49" s="127">
        <f t="shared" si="9"/>
        <v>10.363636363636363</v>
      </c>
      <c r="AJ49" s="128">
        <v>16</v>
      </c>
      <c r="AK49" s="129">
        <f t="shared" si="10"/>
        <v>9.1895868399762808</v>
      </c>
    </row>
    <row r="50" spans="1:37" ht="15.75" thickBot="1" x14ac:dyDescent="0.3">
      <c r="A50">
        <v>13</v>
      </c>
      <c r="B50" s="51" t="s">
        <v>103</v>
      </c>
      <c r="C50">
        <v>435691</v>
      </c>
      <c r="D50" s="9">
        <v>435691</v>
      </c>
      <c r="E50">
        <v>1217692</v>
      </c>
      <c r="F50" s="9">
        <v>1216284</v>
      </c>
      <c r="J50" t="s">
        <v>54</v>
      </c>
      <c r="K50" t="s">
        <v>12</v>
      </c>
      <c r="L50" t="s">
        <v>59</v>
      </c>
      <c r="M50" t="s">
        <v>60</v>
      </c>
      <c r="O50" t="s">
        <v>63</v>
      </c>
      <c r="P50" t="s">
        <v>67</v>
      </c>
      <c r="Q50" t="s">
        <v>67</v>
      </c>
      <c r="R50" t="s">
        <v>70</v>
      </c>
      <c r="S50" s="18" t="s">
        <v>70</v>
      </c>
      <c r="T50" s="9" t="s">
        <v>74</v>
      </c>
      <c r="U50" s="10" t="s">
        <v>89</v>
      </c>
      <c r="AH50" s="126">
        <v>17</v>
      </c>
      <c r="AI50" s="127">
        <f t="shared" si="9"/>
        <v>10.648351648351648</v>
      </c>
      <c r="AJ50" s="128">
        <v>17</v>
      </c>
      <c r="AK50" s="129">
        <f t="shared" si="10"/>
        <v>9.3582505347258049</v>
      </c>
    </row>
    <row r="51" spans="1:37" x14ac:dyDescent="0.25">
      <c r="A51">
        <v>14</v>
      </c>
      <c r="B51" s="51" t="s">
        <v>104</v>
      </c>
      <c r="C51">
        <v>409520</v>
      </c>
      <c r="D51" s="9">
        <v>406602</v>
      </c>
      <c r="E51">
        <v>1289070</v>
      </c>
      <c r="F51" s="9">
        <v>1286556</v>
      </c>
      <c r="J51" s="62" t="s">
        <v>101</v>
      </c>
      <c r="K51" s="52">
        <v>1537277</v>
      </c>
      <c r="L51" s="52">
        <v>12.5</v>
      </c>
      <c r="M51" s="52">
        <f>L51*8</f>
        <v>100</v>
      </c>
      <c r="N51" s="52"/>
      <c r="O51" s="52">
        <v>1.7952839841585939</v>
      </c>
      <c r="P51" s="52">
        <f>O51</f>
        <v>1.7952839841585939</v>
      </c>
      <c r="Q51" s="52">
        <f t="shared" ref="Q51:Q62" si="13">P51*2</f>
        <v>3.5905679683171878</v>
      </c>
      <c r="R51" s="52">
        <f>Q51*8</f>
        <v>28.724543746537503</v>
      </c>
      <c r="S51" s="63">
        <f>M51-R51</f>
        <v>71.275456253462494</v>
      </c>
      <c r="T51" s="64">
        <f>S51/20</f>
        <v>3.5637728126731245</v>
      </c>
      <c r="U51" s="53">
        <f>T51/Q51</f>
        <v>0.99253734899868185</v>
      </c>
      <c r="AH51" s="126">
        <v>18</v>
      </c>
      <c r="AI51" s="127">
        <f t="shared" si="9"/>
        <v>10.914893617021276</v>
      </c>
      <c r="AJ51" s="128">
        <v>18</v>
      </c>
      <c r="AK51" s="129">
        <f t="shared" si="10"/>
        <v>9.5201050983857627</v>
      </c>
    </row>
    <row r="52" spans="1:37" x14ac:dyDescent="0.25">
      <c r="A52">
        <v>15</v>
      </c>
      <c r="B52" s="9" t="s">
        <v>105</v>
      </c>
      <c r="C52">
        <v>374085</v>
      </c>
      <c r="D52" s="9">
        <v>373631</v>
      </c>
      <c r="E52">
        <v>2840377</v>
      </c>
      <c r="F52" s="9">
        <v>2826529</v>
      </c>
      <c r="J52" s="65" t="s">
        <v>102</v>
      </c>
      <c r="K52" s="8">
        <v>1991960</v>
      </c>
      <c r="L52" s="8">
        <v>12.5</v>
      </c>
      <c r="M52" s="8">
        <f t="shared" ref="M52:M62" si="14">L52*8</f>
        <v>100</v>
      </c>
      <c r="N52" s="8"/>
      <c r="O52" s="8">
        <v>2.3222210077481238</v>
      </c>
      <c r="P52" s="8">
        <f t="shared" ref="P52:P62" si="15">O52</f>
        <v>2.3222210077481238</v>
      </c>
      <c r="Q52" s="8">
        <f t="shared" si="13"/>
        <v>4.6444420154962476</v>
      </c>
      <c r="R52" s="8">
        <f t="shared" ref="R52:R62" si="16">Q52*8</f>
        <v>37.155536123969981</v>
      </c>
      <c r="S52" s="18">
        <f t="shared" ref="S52:S62" si="17">M52-R52</f>
        <v>62.844463876030019</v>
      </c>
      <c r="T52" s="9">
        <f t="shared" ref="T52:T62" si="18">S52/20</f>
        <v>3.1422231938015011</v>
      </c>
      <c r="U52" s="66">
        <f t="shared" ref="U52:U62" si="19">T52/Q52</f>
        <v>0.6765555869397073</v>
      </c>
      <c r="AH52" s="126">
        <v>19</v>
      </c>
      <c r="AI52" s="127">
        <f t="shared" si="9"/>
        <v>11.164948453608245</v>
      </c>
      <c r="AJ52" s="128">
        <v>19</v>
      </c>
      <c r="AK52" s="129">
        <f t="shared" si="10"/>
        <v>9.6757819259503499</v>
      </c>
    </row>
    <row r="53" spans="1:37" x14ac:dyDescent="0.25">
      <c r="A53">
        <v>16</v>
      </c>
      <c r="B53" s="9" t="s">
        <v>106</v>
      </c>
      <c r="C53">
        <v>493403</v>
      </c>
      <c r="D53" s="9">
        <v>491254</v>
      </c>
      <c r="E53">
        <v>3645438</v>
      </c>
      <c r="F53" s="9">
        <v>3631848</v>
      </c>
      <c r="J53" s="65" t="s">
        <v>103</v>
      </c>
      <c r="K53" s="8">
        <v>1217692</v>
      </c>
      <c r="L53" s="8">
        <v>12.5</v>
      </c>
      <c r="M53" s="8">
        <f t="shared" si="14"/>
        <v>100</v>
      </c>
      <c r="N53" s="8"/>
      <c r="O53" s="8">
        <v>1.4249134871664917</v>
      </c>
      <c r="P53" s="8">
        <f t="shared" si="15"/>
        <v>1.4249134871664917</v>
      </c>
      <c r="Q53" s="8">
        <f t="shared" si="13"/>
        <v>2.8498269743329834</v>
      </c>
      <c r="R53" s="8">
        <f t="shared" si="16"/>
        <v>22.798615794663867</v>
      </c>
      <c r="S53" s="18">
        <f t="shared" si="17"/>
        <v>77.201384205336126</v>
      </c>
      <c r="T53" s="9">
        <f t="shared" si="18"/>
        <v>3.8600692102668064</v>
      </c>
      <c r="U53" s="66">
        <f t="shared" si="19"/>
        <v>1.3544924814848718</v>
      </c>
      <c r="AH53" s="126">
        <v>20</v>
      </c>
      <c r="AI53" s="127">
        <f t="shared" si="9"/>
        <v>11.399999999999999</v>
      </c>
      <c r="AJ53" s="128">
        <v>20</v>
      </c>
      <c r="AK53" s="129">
        <f t="shared" si="10"/>
        <v>9.8258242089263224</v>
      </c>
    </row>
    <row r="54" spans="1:37" ht="15.75" thickBot="1" x14ac:dyDescent="0.3">
      <c r="A54">
        <v>17</v>
      </c>
      <c r="B54" s="9" t="s">
        <v>107</v>
      </c>
      <c r="C54">
        <v>173044</v>
      </c>
      <c r="D54" s="9">
        <v>173044</v>
      </c>
      <c r="E54">
        <v>3724084</v>
      </c>
      <c r="F54" s="9">
        <v>3718770</v>
      </c>
      <c r="J54" s="67" t="s">
        <v>104</v>
      </c>
      <c r="K54" s="55">
        <v>1289070</v>
      </c>
      <c r="L54" s="55">
        <v>12.5</v>
      </c>
      <c r="M54" s="55">
        <f t="shared" si="14"/>
        <v>100</v>
      </c>
      <c r="N54" s="55"/>
      <c r="O54" s="55">
        <v>1.5076342197863026</v>
      </c>
      <c r="P54" s="55">
        <f t="shared" si="15"/>
        <v>1.5076342197863026</v>
      </c>
      <c r="Q54" s="55">
        <f t="shared" si="13"/>
        <v>3.0152684395726053</v>
      </c>
      <c r="R54" s="55">
        <f t="shared" si="16"/>
        <v>24.122147516580842</v>
      </c>
      <c r="S54" s="68">
        <f t="shared" si="17"/>
        <v>75.877852483419161</v>
      </c>
      <c r="T54" s="69">
        <f t="shared" si="18"/>
        <v>3.7938926241709581</v>
      </c>
      <c r="U54" s="56">
        <f>T54/Q54</f>
        <v>1.2582271529723961</v>
      </c>
      <c r="AH54" s="126">
        <v>21</v>
      </c>
      <c r="AI54" s="127">
        <f t="shared" si="9"/>
        <v>11.621359223300971</v>
      </c>
      <c r="AJ54" s="128">
        <v>21</v>
      </c>
      <c r="AK54" s="129">
        <f t="shared" si="10"/>
        <v>9.9707029941610372</v>
      </c>
    </row>
    <row r="55" spans="1:37" x14ac:dyDescent="0.25">
      <c r="A55">
        <v>18</v>
      </c>
      <c r="B55" s="9" t="s">
        <v>108</v>
      </c>
      <c r="C55">
        <v>195773</v>
      </c>
      <c r="D55" s="9">
        <v>195773</v>
      </c>
      <c r="E55">
        <v>3662902</v>
      </c>
      <c r="F55" s="9">
        <v>3658071</v>
      </c>
      <c r="J55" s="37" t="s">
        <v>105</v>
      </c>
      <c r="K55" s="8">
        <v>2840377</v>
      </c>
      <c r="L55" s="8">
        <v>25</v>
      </c>
      <c r="M55" s="8">
        <f t="shared" si="14"/>
        <v>200</v>
      </c>
      <c r="N55" s="8"/>
      <c r="O55" s="8">
        <v>3.3054606026807662</v>
      </c>
      <c r="P55" s="8">
        <f t="shared" si="15"/>
        <v>3.3054606026807662</v>
      </c>
      <c r="Q55" s="8">
        <f t="shared" si="13"/>
        <v>6.6109212053615325</v>
      </c>
      <c r="R55" s="8">
        <f t="shared" si="16"/>
        <v>52.88736964289226</v>
      </c>
      <c r="S55" s="18">
        <f t="shared" si="17"/>
        <v>147.11263035710775</v>
      </c>
      <c r="T55" s="9">
        <f t="shared" si="18"/>
        <v>7.3556315178553877</v>
      </c>
      <c r="U55" s="9">
        <f t="shared" si="19"/>
        <v>1.1126484932069507</v>
      </c>
      <c r="AH55" s="126">
        <v>22</v>
      </c>
      <c r="AI55" s="127">
        <f t="shared" si="9"/>
        <v>11.830188679245282</v>
      </c>
      <c r="AJ55" s="128">
        <v>22</v>
      </c>
      <c r="AK55" s="129">
        <f t="shared" si="10"/>
        <v>10.110829702044413</v>
      </c>
    </row>
    <row r="56" spans="1:37" x14ac:dyDescent="0.25">
      <c r="A56">
        <v>19</v>
      </c>
      <c r="B56" s="9" t="s">
        <v>109</v>
      </c>
      <c r="C56">
        <v>136648</v>
      </c>
      <c r="D56" s="9">
        <v>137318</v>
      </c>
      <c r="E56">
        <v>8169291</v>
      </c>
      <c r="F56" s="9">
        <v>8134064</v>
      </c>
      <c r="J56" s="14" t="s">
        <v>106</v>
      </c>
      <c r="K56" s="8">
        <v>3645438</v>
      </c>
      <c r="L56" s="8">
        <v>25</v>
      </c>
      <c r="M56" s="8">
        <f t="shared" si="14"/>
        <v>200</v>
      </c>
      <c r="N56" s="8"/>
      <c r="O56" s="8">
        <v>4.2384544624644196</v>
      </c>
      <c r="P56" s="8">
        <f t="shared" si="15"/>
        <v>4.2384544624644196</v>
      </c>
      <c r="Q56" s="8">
        <f t="shared" si="13"/>
        <v>8.4769089249288392</v>
      </c>
      <c r="R56" s="8">
        <f t="shared" si="16"/>
        <v>67.815271399430713</v>
      </c>
      <c r="S56" s="18">
        <f t="shared" si="17"/>
        <v>132.18472860056929</v>
      </c>
      <c r="T56" s="9">
        <f t="shared" si="18"/>
        <v>6.6092364300284645</v>
      </c>
      <c r="U56" s="9">
        <f t="shared" si="19"/>
        <v>0.77967529067017161</v>
      </c>
      <c r="AH56" s="126">
        <v>23</v>
      </c>
      <c r="AI56" s="127">
        <f t="shared" si="9"/>
        <v>12.027522935779816</v>
      </c>
      <c r="AJ56" s="128">
        <v>23</v>
      </c>
      <c r="AK56" s="129">
        <f t="shared" si="10"/>
        <v>10.246566008583251</v>
      </c>
    </row>
    <row r="57" spans="1:37" x14ac:dyDescent="0.25">
      <c r="A57">
        <v>20</v>
      </c>
      <c r="B57" s="9" t="s">
        <v>110</v>
      </c>
      <c r="C57">
        <v>226320</v>
      </c>
      <c r="D57" s="9">
        <v>227867</v>
      </c>
      <c r="E57">
        <v>9621603</v>
      </c>
      <c r="F57" s="9">
        <v>9565766</v>
      </c>
      <c r="J57" s="14" t="s">
        <v>107</v>
      </c>
      <c r="K57" s="8">
        <v>3724084</v>
      </c>
      <c r="L57" s="8">
        <v>25</v>
      </c>
      <c r="M57" s="8">
        <f t="shared" si="14"/>
        <v>200</v>
      </c>
      <c r="N57" s="8"/>
      <c r="O57" s="8">
        <v>4.3295981585278795</v>
      </c>
      <c r="P57" s="8">
        <f t="shared" si="15"/>
        <v>4.3295981585278795</v>
      </c>
      <c r="Q57" s="8">
        <f t="shared" si="13"/>
        <v>8.6591963170557591</v>
      </c>
      <c r="R57" s="8">
        <f t="shared" si="16"/>
        <v>69.273570536446073</v>
      </c>
      <c r="S57" s="18">
        <f t="shared" si="17"/>
        <v>130.72642946355393</v>
      </c>
      <c r="T57" s="9">
        <f t="shared" si="18"/>
        <v>6.5363214731776962</v>
      </c>
      <c r="U57" s="9">
        <f t="shared" si="19"/>
        <v>0.7548415850444804</v>
      </c>
      <c r="AH57" s="126">
        <v>24</v>
      </c>
      <c r="AI57" s="127">
        <f t="shared" si="9"/>
        <v>12.214285714285714</v>
      </c>
      <c r="AJ57" s="128">
        <v>24</v>
      </c>
      <c r="AK57" s="129">
        <f t="shared" si="10"/>
        <v>10.37823173584186</v>
      </c>
    </row>
    <row r="58" spans="1:37" ht="15.75" thickBot="1" x14ac:dyDescent="0.3">
      <c r="A58">
        <v>21</v>
      </c>
      <c r="B58" s="9" t="s">
        <v>111</v>
      </c>
      <c r="C58">
        <v>261092</v>
      </c>
      <c r="D58" s="9">
        <v>262544</v>
      </c>
      <c r="E58">
        <v>5105882</v>
      </c>
      <c r="F58" s="9">
        <v>5071788</v>
      </c>
      <c r="J58" s="15" t="s">
        <v>108</v>
      </c>
      <c r="K58" s="7">
        <v>3662902</v>
      </c>
      <c r="L58" s="7">
        <v>25</v>
      </c>
      <c r="M58" s="7">
        <f t="shared" si="14"/>
        <v>200</v>
      </c>
      <c r="N58" s="7"/>
      <c r="O58" s="7">
        <v>4.2586936800730992</v>
      </c>
      <c r="P58" s="7">
        <f t="shared" si="15"/>
        <v>4.2586936800730992</v>
      </c>
      <c r="Q58" s="7">
        <f t="shared" si="13"/>
        <v>8.5173873601461985</v>
      </c>
      <c r="R58" s="7">
        <f t="shared" si="16"/>
        <v>68.139098881169588</v>
      </c>
      <c r="S58" s="5">
        <f t="shared" si="17"/>
        <v>131.86090111883041</v>
      </c>
      <c r="T58" s="6">
        <f t="shared" si="18"/>
        <v>6.5930450559415208</v>
      </c>
      <c r="U58" s="6">
        <f t="shared" si="19"/>
        <v>0.77406894592948905</v>
      </c>
      <c r="AH58" s="130">
        <v>25</v>
      </c>
      <c r="AI58" s="131">
        <f t="shared" si="9"/>
        <v>12.391304347826086</v>
      </c>
      <c r="AJ58" s="132">
        <v>25</v>
      </c>
      <c r="AK58" s="133">
        <f t="shared" si="10"/>
        <v>10.506111217615068</v>
      </c>
    </row>
    <row r="59" spans="1:37" x14ac:dyDescent="0.25">
      <c r="A59">
        <v>22</v>
      </c>
      <c r="B59" s="9" t="s">
        <v>112</v>
      </c>
      <c r="C59">
        <v>229732</v>
      </c>
      <c r="D59" s="9">
        <v>229732</v>
      </c>
      <c r="E59">
        <v>5160900</v>
      </c>
      <c r="F59" s="9">
        <v>5139561</v>
      </c>
      <c r="J59" s="16" t="s">
        <v>109</v>
      </c>
      <c r="K59" s="3">
        <v>8169291</v>
      </c>
      <c r="L59" s="3">
        <v>50</v>
      </c>
      <c r="M59" s="3">
        <f t="shared" si="14"/>
        <v>400</v>
      </c>
      <c r="N59" s="3"/>
      <c r="O59" s="3">
        <v>9.4811964057008424</v>
      </c>
      <c r="P59" s="3">
        <f t="shared" si="15"/>
        <v>9.4811964057008424</v>
      </c>
      <c r="Q59" s="3">
        <f t="shared" si="13"/>
        <v>18.962392811401685</v>
      </c>
      <c r="R59" s="3">
        <f t="shared" si="16"/>
        <v>151.69914249121348</v>
      </c>
      <c r="S59" s="17">
        <f t="shared" si="17"/>
        <v>248.30085750878652</v>
      </c>
      <c r="T59" s="4">
        <f t="shared" si="18"/>
        <v>12.415042875439326</v>
      </c>
      <c r="U59" s="4">
        <f t="shared" si="19"/>
        <v>0.65471921180614001</v>
      </c>
    </row>
    <row r="60" spans="1:37" x14ac:dyDescent="0.25">
      <c r="A60">
        <v>23</v>
      </c>
      <c r="B60" s="9" t="s">
        <v>114</v>
      </c>
      <c r="C60">
        <v>241496</v>
      </c>
      <c r="D60" s="9">
        <v>241496</v>
      </c>
      <c r="E60">
        <v>0</v>
      </c>
      <c r="F60" s="9">
        <v>133944</v>
      </c>
      <c r="J60" s="14" t="s">
        <v>110</v>
      </c>
      <c r="K60" s="8">
        <v>9621603</v>
      </c>
      <c r="L60" s="8">
        <v>50</v>
      </c>
      <c r="M60" s="8">
        <f t="shared" si="14"/>
        <v>400</v>
      </c>
      <c r="N60" s="8"/>
      <c r="O60" s="8">
        <v>11.164296417364699</v>
      </c>
      <c r="P60" s="8">
        <f t="shared" si="15"/>
        <v>11.164296417364699</v>
      </c>
      <c r="Q60" s="8">
        <f t="shared" si="13"/>
        <v>22.328592834729399</v>
      </c>
      <c r="R60" s="8">
        <f t="shared" si="16"/>
        <v>178.62874267783519</v>
      </c>
      <c r="S60" s="18">
        <f t="shared" si="17"/>
        <v>221.37125732216481</v>
      </c>
      <c r="T60" s="9">
        <f t="shared" si="18"/>
        <v>11.068562866108241</v>
      </c>
      <c r="U60" s="9">
        <f t="shared" si="19"/>
        <v>0.49571251301122943</v>
      </c>
    </row>
    <row r="61" spans="1:37" x14ac:dyDescent="0.25">
      <c r="J61" s="14" t="s">
        <v>111</v>
      </c>
      <c r="K61" s="8">
        <v>5105882</v>
      </c>
      <c r="L61" s="8">
        <v>50</v>
      </c>
      <c r="M61" s="8">
        <f t="shared" si="14"/>
        <v>400</v>
      </c>
      <c r="N61" s="8"/>
      <c r="O61" s="8">
        <v>5.9309787364733175</v>
      </c>
      <c r="P61" s="8">
        <f t="shared" si="15"/>
        <v>5.9309787364733175</v>
      </c>
      <c r="Q61" s="8">
        <f t="shared" si="13"/>
        <v>11.861957472946635</v>
      </c>
      <c r="R61" s="8">
        <f t="shared" si="16"/>
        <v>94.89565978357308</v>
      </c>
      <c r="S61" s="18">
        <f t="shared" si="17"/>
        <v>305.10434021642692</v>
      </c>
      <c r="T61" s="9">
        <f t="shared" si="18"/>
        <v>15.255217010821346</v>
      </c>
      <c r="U61" s="9">
        <f t="shared" si="19"/>
        <v>1.2860623590679414</v>
      </c>
    </row>
    <row r="62" spans="1:37" x14ac:dyDescent="0.25">
      <c r="J62" s="15" t="s">
        <v>112</v>
      </c>
      <c r="K62" s="7">
        <v>5160900</v>
      </c>
      <c r="L62" s="7">
        <v>50</v>
      </c>
      <c r="M62" s="7">
        <f t="shared" si="14"/>
        <v>400</v>
      </c>
      <c r="N62" s="7"/>
      <c r="O62" s="7">
        <v>5.9947396889695588</v>
      </c>
      <c r="P62" s="7">
        <f t="shared" si="15"/>
        <v>5.9947396889695588</v>
      </c>
      <c r="Q62" s="7">
        <f t="shared" si="13"/>
        <v>11.989479377939118</v>
      </c>
      <c r="R62" s="7">
        <f t="shared" si="16"/>
        <v>95.91583502351294</v>
      </c>
      <c r="S62" s="5">
        <f t="shared" si="17"/>
        <v>304.08416497648705</v>
      </c>
      <c r="T62" s="6">
        <f t="shared" si="18"/>
        <v>15.204208248824353</v>
      </c>
      <c r="U62" s="6">
        <f t="shared" si="19"/>
        <v>1.2681291463581312</v>
      </c>
    </row>
    <row r="63" spans="1:37" x14ac:dyDescent="0.25">
      <c r="T63" t="s">
        <v>46</v>
      </c>
      <c r="U63" s="60">
        <f>AVERAGE(U51:U58,U61:U62)</f>
        <v>1.025723839067282</v>
      </c>
    </row>
    <row r="66" spans="10:21" x14ac:dyDescent="0.25">
      <c r="J66" t="s">
        <v>288</v>
      </c>
    </row>
    <row r="67" spans="10:21" x14ac:dyDescent="0.25">
      <c r="J67" s="48" t="s">
        <v>289</v>
      </c>
    </row>
    <row r="68" spans="10:21" x14ac:dyDescent="0.25">
      <c r="J68" s="35" t="s">
        <v>55</v>
      </c>
      <c r="K68" t="s">
        <v>56</v>
      </c>
      <c r="L68" t="s">
        <v>57</v>
      </c>
      <c r="M68" t="s">
        <v>61</v>
      </c>
      <c r="O68" t="s">
        <v>66</v>
      </c>
      <c r="P68" t="s">
        <v>65</v>
      </c>
      <c r="Q68" s="48" t="s">
        <v>68</v>
      </c>
      <c r="R68" t="s">
        <v>68</v>
      </c>
      <c r="S68" s="18" t="s">
        <v>71</v>
      </c>
      <c r="T68" s="9" t="s">
        <v>73</v>
      </c>
      <c r="U68" s="10" t="s">
        <v>88</v>
      </c>
    </row>
    <row r="69" spans="10:21" x14ac:dyDescent="0.25">
      <c r="J69" t="s">
        <v>54</v>
      </c>
      <c r="K69" t="s">
        <v>12</v>
      </c>
      <c r="L69" t="s">
        <v>59</v>
      </c>
      <c r="M69" t="s">
        <v>60</v>
      </c>
      <c r="O69" t="s">
        <v>63</v>
      </c>
      <c r="P69" t="s">
        <v>67</v>
      </c>
      <c r="Q69" t="s">
        <v>67</v>
      </c>
      <c r="R69" t="s">
        <v>70</v>
      </c>
      <c r="S69" s="18" t="s">
        <v>70</v>
      </c>
      <c r="T69" s="9" t="s">
        <v>74</v>
      </c>
      <c r="U69" s="10" t="s">
        <v>89</v>
      </c>
    </row>
    <row r="70" spans="10:21" x14ac:dyDescent="0.25">
      <c r="J70" s="16" t="s">
        <v>21</v>
      </c>
      <c r="K70" s="17">
        <v>0</v>
      </c>
      <c r="L70" s="3">
        <v>0</v>
      </c>
      <c r="M70" s="3">
        <f>L70*8</f>
        <v>0</v>
      </c>
      <c r="N70" s="3"/>
      <c r="O70" s="41">
        <v>0</v>
      </c>
      <c r="P70" s="41">
        <f>O70</f>
        <v>0</v>
      </c>
      <c r="Q70" s="41">
        <f>P70</f>
        <v>0</v>
      </c>
      <c r="R70" s="4">
        <f>Q70*8</f>
        <v>0</v>
      </c>
      <c r="S70" s="32">
        <f t="shared" ref="S70:S75" si="20">M70-R70</f>
        <v>0</v>
      </c>
      <c r="T70" s="4">
        <f t="shared" ref="T70:T75" si="21">S70/20</f>
        <v>0</v>
      </c>
    </row>
    <row r="71" spans="10:21" x14ac:dyDescent="0.25">
      <c r="J71" s="14" t="s">
        <v>22</v>
      </c>
      <c r="K71" s="42">
        <v>0</v>
      </c>
      <c r="L71" s="10">
        <v>0</v>
      </c>
      <c r="M71" s="8">
        <f t="shared" ref="M71:M81" si="22">L71*8</f>
        <v>0</v>
      </c>
      <c r="N71" s="8"/>
      <c r="O71" s="22">
        <v>0</v>
      </c>
      <c r="P71" s="22">
        <f t="shared" ref="P71:P81" si="23">O71</f>
        <v>0</v>
      </c>
      <c r="Q71" s="22">
        <f t="shared" ref="Q71:Q93" si="24">P71</f>
        <v>0</v>
      </c>
      <c r="R71" s="9">
        <f>Q71*8</f>
        <v>0</v>
      </c>
      <c r="S71" s="33">
        <f t="shared" si="20"/>
        <v>0</v>
      </c>
      <c r="T71" s="9">
        <f t="shared" si="21"/>
        <v>0</v>
      </c>
    </row>
    <row r="72" spans="10:21" x14ac:dyDescent="0.25">
      <c r="J72" s="14" t="s">
        <v>29</v>
      </c>
      <c r="K72" s="18">
        <v>0</v>
      </c>
      <c r="L72" s="8">
        <v>0</v>
      </c>
      <c r="M72" s="8">
        <f t="shared" si="22"/>
        <v>0</v>
      </c>
      <c r="N72" s="8"/>
      <c r="O72" s="22">
        <v>0</v>
      </c>
      <c r="P72" s="22">
        <f t="shared" si="23"/>
        <v>0</v>
      </c>
      <c r="Q72" s="22">
        <f t="shared" si="24"/>
        <v>0</v>
      </c>
      <c r="R72" s="9">
        <f>Q72*8</f>
        <v>0</v>
      </c>
      <c r="S72" s="33">
        <f t="shared" si="20"/>
        <v>0</v>
      </c>
      <c r="T72" s="9">
        <f t="shared" si="21"/>
        <v>0</v>
      </c>
    </row>
    <row r="73" spans="10:21" x14ac:dyDescent="0.25">
      <c r="J73" s="15" t="s">
        <v>30</v>
      </c>
      <c r="K73" s="43">
        <v>0</v>
      </c>
      <c r="L73" s="44">
        <v>0</v>
      </c>
      <c r="M73" s="7">
        <f t="shared" si="22"/>
        <v>0</v>
      </c>
      <c r="N73" s="7"/>
      <c r="O73" s="45">
        <v>0</v>
      </c>
      <c r="P73" s="45">
        <f t="shared" si="23"/>
        <v>0</v>
      </c>
      <c r="Q73" s="45">
        <f t="shared" si="24"/>
        <v>0</v>
      </c>
      <c r="R73" s="6">
        <f>Q73*8</f>
        <v>0</v>
      </c>
      <c r="S73" s="46">
        <f t="shared" si="20"/>
        <v>0</v>
      </c>
      <c r="T73" s="6">
        <f t="shared" si="21"/>
        <v>0</v>
      </c>
    </row>
    <row r="74" spans="10:21" x14ac:dyDescent="0.25">
      <c r="J74" s="36" t="s">
        <v>31</v>
      </c>
      <c r="K74" s="18">
        <v>180679</v>
      </c>
      <c r="L74" s="8">
        <v>2.5</v>
      </c>
      <c r="M74" s="8">
        <f t="shared" si="22"/>
        <v>20</v>
      </c>
      <c r="N74" s="8"/>
      <c r="O74" s="28">
        <v>0.4914901072268959</v>
      </c>
      <c r="P74" s="28">
        <f t="shared" si="23"/>
        <v>0.4914901072268959</v>
      </c>
      <c r="Q74" s="28">
        <f t="shared" si="24"/>
        <v>0.4914901072268959</v>
      </c>
      <c r="R74" s="28">
        <f>Q74*8</f>
        <v>3.9319208578151672</v>
      </c>
      <c r="S74" s="24">
        <f t="shared" si="20"/>
        <v>16.068079142184832</v>
      </c>
      <c r="T74" s="25">
        <f t="shared" si="21"/>
        <v>0.80340395710924162</v>
      </c>
      <c r="U74">
        <f t="shared" ref="U74:U85" si="25">T74/Q74</f>
        <v>1.6346289483673189</v>
      </c>
    </row>
    <row r="75" spans="10:21" x14ac:dyDescent="0.25">
      <c r="J75" s="37" t="s">
        <v>32</v>
      </c>
      <c r="K75" s="18">
        <v>207828</v>
      </c>
      <c r="L75" s="8">
        <v>2.5</v>
      </c>
      <c r="M75" s="8">
        <f t="shared" si="22"/>
        <v>20</v>
      </c>
      <c r="N75" s="8"/>
      <c r="O75" s="28">
        <v>0.55315299320617817</v>
      </c>
      <c r="P75" s="28">
        <f t="shared" si="23"/>
        <v>0.55315299320617817</v>
      </c>
      <c r="Q75" s="28">
        <f t="shared" si="24"/>
        <v>0.55315299320617817</v>
      </c>
      <c r="R75" s="28">
        <f t="shared" ref="R75:R81" si="26">Q75*8</f>
        <v>4.4252239456494253</v>
      </c>
      <c r="S75" s="26">
        <f t="shared" si="20"/>
        <v>15.574776054350576</v>
      </c>
      <c r="T75" s="27">
        <f t="shared" si="21"/>
        <v>0.77873880271752882</v>
      </c>
      <c r="U75">
        <f t="shared" si="25"/>
        <v>1.407818112316112</v>
      </c>
    </row>
    <row r="76" spans="10:21" x14ac:dyDescent="0.25">
      <c r="J76" s="37" t="s">
        <v>34</v>
      </c>
      <c r="K76" s="18">
        <v>194928</v>
      </c>
      <c r="L76" s="8">
        <v>2.5</v>
      </c>
      <c r="M76" s="8">
        <f t="shared" si="22"/>
        <v>20</v>
      </c>
      <c r="N76" s="8"/>
      <c r="O76" s="28">
        <v>0.52385352622276293</v>
      </c>
      <c r="P76" s="28">
        <f t="shared" si="23"/>
        <v>0.52385352622276293</v>
      </c>
      <c r="Q76" s="28">
        <f t="shared" si="24"/>
        <v>0.52385352622276293</v>
      </c>
      <c r="R76" s="28">
        <f t="shared" si="26"/>
        <v>4.1908282097821035</v>
      </c>
      <c r="S76" s="26">
        <f t="shared" ref="S76:S81" si="27">M76-R76</f>
        <v>15.809171790217896</v>
      </c>
      <c r="T76" s="27">
        <f t="shared" ref="T76:T81" si="28">S76/20</f>
        <v>0.79045858951089476</v>
      </c>
      <c r="U76">
        <f t="shared" si="25"/>
        <v>1.5089305501300776</v>
      </c>
    </row>
    <row r="77" spans="10:21" x14ac:dyDescent="0.25">
      <c r="J77" s="15" t="s">
        <v>35</v>
      </c>
      <c r="K77" s="18">
        <v>275736</v>
      </c>
      <c r="L77" s="8">
        <v>2.5</v>
      </c>
      <c r="M77" s="8">
        <f t="shared" si="22"/>
        <v>20</v>
      </c>
      <c r="N77" s="8"/>
      <c r="O77" s="28">
        <v>0.70739083847050077</v>
      </c>
      <c r="P77" s="28">
        <f t="shared" si="23"/>
        <v>0.70739083847050077</v>
      </c>
      <c r="Q77" s="28">
        <f t="shared" si="24"/>
        <v>0.70739083847050077</v>
      </c>
      <c r="R77" s="28">
        <f t="shared" si="26"/>
        <v>5.6591267077640062</v>
      </c>
      <c r="S77" s="47">
        <f t="shared" si="27"/>
        <v>14.340873292235994</v>
      </c>
      <c r="T77" s="40">
        <f t="shared" si="28"/>
        <v>0.71704366461179969</v>
      </c>
      <c r="U77">
        <f t="shared" si="25"/>
        <v>1.0136456759352015</v>
      </c>
    </row>
    <row r="78" spans="10:21" x14ac:dyDescent="0.25">
      <c r="J78" s="16" t="s">
        <v>36</v>
      </c>
      <c r="K78" s="17">
        <v>742742</v>
      </c>
      <c r="L78" s="3">
        <v>7.5</v>
      </c>
      <c r="M78" s="3">
        <f t="shared" si="22"/>
        <v>60</v>
      </c>
      <c r="N78" s="3"/>
      <c r="O78" s="38">
        <v>1.7680905964594018</v>
      </c>
      <c r="P78" s="38">
        <f t="shared" si="23"/>
        <v>1.7680905964594018</v>
      </c>
      <c r="Q78" s="38">
        <f t="shared" si="24"/>
        <v>1.7680905964594018</v>
      </c>
      <c r="R78" s="25">
        <f t="shared" si="26"/>
        <v>14.144724771675214</v>
      </c>
      <c r="S78" s="24">
        <f t="shared" si="27"/>
        <v>45.855275228324786</v>
      </c>
      <c r="T78" s="25">
        <f t="shared" si="28"/>
        <v>2.2927637614162393</v>
      </c>
      <c r="U78">
        <f t="shared" si="25"/>
        <v>1.2967456339666612</v>
      </c>
    </row>
    <row r="79" spans="10:21" x14ac:dyDescent="0.25">
      <c r="J79" s="14" t="s">
        <v>37</v>
      </c>
      <c r="K79" s="18">
        <v>666333</v>
      </c>
      <c r="L79" s="8">
        <v>7.5</v>
      </c>
      <c r="M79" s="8">
        <f t="shared" si="22"/>
        <v>60</v>
      </c>
      <c r="N79" s="8"/>
      <c r="O79" s="28">
        <v>1.5945446295806596</v>
      </c>
      <c r="P79" s="28">
        <f t="shared" si="23"/>
        <v>1.5945446295806596</v>
      </c>
      <c r="Q79" s="28">
        <f t="shared" si="24"/>
        <v>1.5945446295806596</v>
      </c>
      <c r="R79" s="27">
        <f t="shared" si="26"/>
        <v>12.756357036645277</v>
      </c>
      <c r="S79" s="26">
        <f t="shared" si="27"/>
        <v>47.243642963354723</v>
      </c>
      <c r="T79" s="27">
        <f t="shared" si="28"/>
        <v>2.3621821481677361</v>
      </c>
      <c r="U79">
        <f t="shared" si="25"/>
        <v>1.4814148844419319</v>
      </c>
    </row>
    <row r="80" spans="10:21" x14ac:dyDescent="0.25">
      <c r="J80" s="14" t="s">
        <v>38</v>
      </c>
      <c r="K80" s="18">
        <v>568617</v>
      </c>
      <c r="L80" s="8">
        <v>7.5</v>
      </c>
      <c r="M80" s="8">
        <f t="shared" si="22"/>
        <v>60</v>
      </c>
      <c r="N80" s="8"/>
      <c r="O80" s="28">
        <v>1.3726045740960544</v>
      </c>
      <c r="P80" s="28">
        <f t="shared" si="23"/>
        <v>1.3726045740960544</v>
      </c>
      <c r="Q80" s="28">
        <f t="shared" si="24"/>
        <v>1.3726045740960544</v>
      </c>
      <c r="R80" s="27">
        <f t="shared" si="26"/>
        <v>10.980836592768435</v>
      </c>
      <c r="S80" s="26">
        <f t="shared" si="27"/>
        <v>49.019163407231567</v>
      </c>
      <c r="T80" s="27">
        <f t="shared" si="28"/>
        <v>2.4509581703615781</v>
      </c>
      <c r="U80">
        <f t="shared" si="25"/>
        <v>1.7856258216068432</v>
      </c>
    </row>
    <row r="81" spans="10:21" ht="15.75" thickBot="1" x14ac:dyDescent="0.3">
      <c r="J81" s="15" t="s">
        <v>39</v>
      </c>
      <c r="K81" s="5">
        <v>616447</v>
      </c>
      <c r="L81" s="7">
        <v>7.5</v>
      </c>
      <c r="M81" s="7">
        <f t="shared" si="22"/>
        <v>60</v>
      </c>
      <c r="N81" s="7"/>
      <c r="O81" s="39">
        <v>1.4812397295857251</v>
      </c>
      <c r="P81" s="39">
        <f t="shared" si="23"/>
        <v>1.4812397295857251</v>
      </c>
      <c r="Q81" s="39">
        <f t="shared" si="24"/>
        <v>1.4812397295857251</v>
      </c>
      <c r="R81" s="40">
        <f t="shared" si="26"/>
        <v>11.849917836685801</v>
      </c>
      <c r="S81" s="47">
        <f t="shared" si="27"/>
        <v>48.150082163314195</v>
      </c>
      <c r="T81" s="40">
        <f t="shared" si="28"/>
        <v>2.4075041081657096</v>
      </c>
      <c r="U81">
        <f t="shared" si="25"/>
        <v>1.6253304985541017</v>
      </c>
    </row>
    <row r="82" spans="10:21" x14ac:dyDescent="0.25">
      <c r="J82" s="62" t="s">
        <v>101</v>
      </c>
      <c r="K82" s="8">
        <v>1537277</v>
      </c>
      <c r="L82" s="8">
        <v>12.5</v>
      </c>
      <c r="M82" s="8">
        <f>L82*8</f>
        <v>100</v>
      </c>
      <c r="N82" s="8"/>
      <c r="O82" s="8">
        <v>1.7952839841585939</v>
      </c>
      <c r="P82" s="8">
        <f>O82</f>
        <v>1.7952839841585939</v>
      </c>
      <c r="Q82" s="28">
        <f t="shared" si="24"/>
        <v>1.7952839841585939</v>
      </c>
      <c r="R82" s="8">
        <f>Q82*8</f>
        <v>14.362271873268751</v>
      </c>
      <c r="S82" s="63">
        <f>M82-R82</f>
        <v>85.637728126731247</v>
      </c>
      <c r="T82" s="64">
        <f>S82/20</f>
        <v>4.2818864063365627</v>
      </c>
      <c r="U82" s="53">
        <f t="shared" si="25"/>
        <v>2.3850746979973638</v>
      </c>
    </row>
    <row r="83" spans="10:21" x14ac:dyDescent="0.25">
      <c r="J83" s="65" t="s">
        <v>102</v>
      </c>
      <c r="K83" s="8">
        <v>1991960</v>
      </c>
      <c r="L83" s="8">
        <v>12.5</v>
      </c>
      <c r="M83" s="8">
        <f t="shared" ref="M83:M93" si="29">L83*8</f>
        <v>100</v>
      </c>
      <c r="N83" s="8"/>
      <c r="O83" s="8">
        <v>2.3222210077481238</v>
      </c>
      <c r="P83" s="8">
        <f t="shared" ref="P83:P93" si="30">O83</f>
        <v>2.3222210077481238</v>
      </c>
      <c r="Q83" s="28">
        <f t="shared" si="24"/>
        <v>2.3222210077481238</v>
      </c>
      <c r="R83" s="8">
        <f t="shared" ref="R83:R93" si="31">Q83*8</f>
        <v>18.57776806198499</v>
      </c>
      <c r="S83" s="18">
        <f t="shared" ref="S83:S93" si="32">M83-R83</f>
        <v>81.422231938015017</v>
      </c>
      <c r="T83" s="9">
        <f t="shared" ref="T83:T92" si="33">S83/20</f>
        <v>4.0711115969007512</v>
      </c>
      <c r="U83" s="66">
        <f t="shared" si="25"/>
        <v>1.753111173879415</v>
      </c>
    </row>
    <row r="84" spans="10:21" x14ac:dyDescent="0.25">
      <c r="J84" s="65" t="s">
        <v>103</v>
      </c>
      <c r="K84" s="8">
        <v>1217692</v>
      </c>
      <c r="L84" s="8">
        <v>12.5</v>
      </c>
      <c r="M84" s="8">
        <f t="shared" si="29"/>
        <v>100</v>
      </c>
      <c r="N84" s="8"/>
      <c r="O84" s="8">
        <v>1.4249134871664917</v>
      </c>
      <c r="P84" s="8">
        <f t="shared" si="30"/>
        <v>1.4249134871664917</v>
      </c>
      <c r="Q84" s="28">
        <f t="shared" si="24"/>
        <v>1.4249134871664917</v>
      </c>
      <c r="R84" s="8">
        <f t="shared" si="31"/>
        <v>11.399307897331934</v>
      </c>
      <c r="S84" s="18">
        <f t="shared" si="32"/>
        <v>88.600692102668063</v>
      </c>
      <c r="T84" s="9">
        <f t="shared" si="33"/>
        <v>4.430034605133403</v>
      </c>
      <c r="U84" s="66">
        <f t="shared" si="25"/>
        <v>3.1089849629697435</v>
      </c>
    </row>
    <row r="85" spans="10:21" ht="15.75" thickBot="1" x14ac:dyDescent="0.3">
      <c r="J85" s="67" t="s">
        <v>104</v>
      </c>
      <c r="K85" s="8">
        <v>1289070</v>
      </c>
      <c r="L85" s="8">
        <v>12.5</v>
      </c>
      <c r="M85" s="8">
        <f t="shared" si="29"/>
        <v>100</v>
      </c>
      <c r="N85" s="8"/>
      <c r="O85" s="8">
        <v>1.5076342197863026</v>
      </c>
      <c r="P85" s="8">
        <f t="shared" si="30"/>
        <v>1.5076342197863026</v>
      </c>
      <c r="Q85" s="28">
        <f t="shared" si="24"/>
        <v>1.5076342197863026</v>
      </c>
      <c r="R85" s="8">
        <f t="shared" si="31"/>
        <v>12.061073758290421</v>
      </c>
      <c r="S85" s="68">
        <f t="shared" si="32"/>
        <v>87.938926241709581</v>
      </c>
      <c r="T85" s="69">
        <f t="shared" si="33"/>
        <v>4.396946312085479</v>
      </c>
      <c r="U85" s="56">
        <f t="shared" si="25"/>
        <v>2.916454305944792</v>
      </c>
    </row>
    <row r="86" spans="10:21" x14ac:dyDescent="0.25">
      <c r="J86" s="37" t="s">
        <v>105</v>
      </c>
      <c r="K86" s="17">
        <v>2840377</v>
      </c>
      <c r="L86" s="3">
        <v>25</v>
      </c>
      <c r="M86" s="3">
        <f t="shared" si="29"/>
        <v>200</v>
      </c>
      <c r="N86" s="3"/>
      <c r="O86" s="3">
        <v>3.3054606026807662</v>
      </c>
      <c r="P86" s="3">
        <f t="shared" si="30"/>
        <v>3.3054606026807662</v>
      </c>
      <c r="Q86" s="38">
        <f t="shared" si="24"/>
        <v>3.3054606026807662</v>
      </c>
      <c r="R86" s="4">
        <f t="shared" si="31"/>
        <v>26.44368482144613</v>
      </c>
      <c r="S86" s="18">
        <f t="shared" si="32"/>
        <v>173.55631517855386</v>
      </c>
      <c r="T86" s="9">
        <f t="shared" si="33"/>
        <v>8.677815758927693</v>
      </c>
      <c r="U86" s="9">
        <f t="shared" ref="U86:U93" si="34">T86/Q86</f>
        <v>2.6252969864139013</v>
      </c>
    </row>
    <row r="87" spans="10:21" x14ac:dyDescent="0.25">
      <c r="J87" s="14" t="s">
        <v>106</v>
      </c>
      <c r="K87" s="18">
        <v>3645438</v>
      </c>
      <c r="L87" s="8">
        <v>25</v>
      </c>
      <c r="M87" s="8">
        <f t="shared" si="29"/>
        <v>200</v>
      </c>
      <c r="N87" s="8"/>
      <c r="O87" s="8">
        <v>4.2384544624644196</v>
      </c>
      <c r="P87" s="8">
        <f t="shared" si="30"/>
        <v>4.2384544624644196</v>
      </c>
      <c r="Q87" s="28">
        <f t="shared" si="24"/>
        <v>4.2384544624644196</v>
      </c>
      <c r="R87" s="9">
        <f t="shared" si="31"/>
        <v>33.907635699715357</v>
      </c>
      <c r="S87" s="18">
        <f t="shared" si="32"/>
        <v>166.09236430028466</v>
      </c>
      <c r="T87" s="9">
        <f t="shared" si="33"/>
        <v>8.3046182150142336</v>
      </c>
      <c r="U87" s="9">
        <f t="shared" si="34"/>
        <v>1.9593505813403436</v>
      </c>
    </row>
    <row r="88" spans="10:21" x14ac:dyDescent="0.25">
      <c r="J88" s="14" t="s">
        <v>107</v>
      </c>
      <c r="K88" s="18">
        <v>3724084</v>
      </c>
      <c r="L88" s="8">
        <v>25</v>
      </c>
      <c r="M88" s="8">
        <f t="shared" si="29"/>
        <v>200</v>
      </c>
      <c r="N88" s="8"/>
      <c r="O88" s="8">
        <v>4.3295981585278795</v>
      </c>
      <c r="P88" s="8">
        <f t="shared" si="30"/>
        <v>4.3295981585278795</v>
      </c>
      <c r="Q88" s="28">
        <f t="shared" si="24"/>
        <v>4.3295981585278795</v>
      </c>
      <c r="R88" s="9">
        <f t="shared" si="31"/>
        <v>34.636785268223036</v>
      </c>
      <c r="S88" s="18">
        <f t="shared" si="32"/>
        <v>165.36321473177696</v>
      </c>
      <c r="T88" s="9">
        <f t="shared" si="33"/>
        <v>8.2681607365888485</v>
      </c>
      <c r="U88" s="9">
        <f t="shared" si="34"/>
        <v>1.9096831700889609</v>
      </c>
    </row>
    <row r="89" spans="10:21" x14ac:dyDescent="0.25">
      <c r="J89" s="15" t="s">
        <v>108</v>
      </c>
      <c r="K89" s="5">
        <v>3662902</v>
      </c>
      <c r="L89" s="7">
        <v>25</v>
      </c>
      <c r="M89" s="7">
        <f t="shared" si="29"/>
        <v>200</v>
      </c>
      <c r="N89" s="7"/>
      <c r="O89" s="7">
        <v>4.2586936800730992</v>
      </c>
      <c r="P89" s="7">
        <f t="shared" si="30"/>
        <v>4.2586936800730992</v>
      </c>
      <c r="Q89" s="39">
        <f t="shared" si="24"/>
        <v>4.2586936800730992</v>
      </c>
      <c r="R89" s="6">
        <f t="shared" si="31"/>
        <v>34.069549440584794</v>
      </c>
      <c r="S89" s="5">
        <f t="shared" si="32"/>
        <v>165.93045055941519</v>
      </c>
      <c r="T89" s="6">
        <f t="shared" si="33"/>
        <v>8.29652252797076</v>
      </c>
      <c r="U89" s="6">
        <f t="shared" si="34"/>
        <v>1.9481378918589778</v>
      </c>
    </row>
    <row r="90" spans="10:21" x14ac:dyDescent="0.25">
      <c r="J90" s="16" t="s">
        <v>109</v>
      </c>
      <c r="K90" s="17">
        <v>8169291</v>
      </c>
      <c r="L90" s="3">
        <v>50</v>
      </c>
      <c r="M90" s="3">
        <f t="shared" si="29"/>
        <v>400</v>
      </c>
      <c r="N90" s="3"/>
      <c r="O90" s="3">
        <v>9.4811964057008424</v>
      </c>
      <c r="P90" s="3">
        <f t="shared" si="30"/>
        <v>9.4811964057008424</v>
      </c>
      <c r="Q90" s="38">
        <f t="shared" si="24"/>
        <v>9.4811964057008424</v>
      </c>
      <c r="R90" s="4">
        <f t="shared" si="31"/>
        <v>75.849571245606739</v>
      </c>
      <c r="S90" s="17">
        <f t="shared" si="32"/>
        <v>324.15042875439326</v>
      </c>
      <c r="T90" s="4">
        <f t="shared" si="33"/>
        <v>16.207521437719663</v>
      </c>
      <c r="U90" s="4">
        <f t="shared" si="34"/>
        <v>1.7094384236122799</v>
      </c>
    </row>
    <row r="91" spans="10:21" x14ac:dyDescent="0.25">
      <c r="J91" s="14" t="s">
        <v>110</v>
      </c>
      <c r="K91" s="18">
        <v>9621603</v>
      </c>
      <c r="L91" s="8">
        <v>50</v>
      </c>
      <c r="M91" s="8">
        <f t="shared" si="29"/>
        <v>400</v>
      </c>
      <c r="N91" s="8"/>
      <c r="O91" s="8">
        <v>11.164296417364699</v>
      </c>
      <c r="P91" s="8">
        <f t="shared" si="30"/>
        <v>11.164296417364699</v>
      </c>
      <c r="Q91" s="28">
        <f t="shared" si="24"/>
        <v>11.164296417364699</v>
      </c>
      <c r="R91" s="9">
        <f t="shared" si="31"/>
        <v>89.314371338917596</v>
      </c>
      <c r="S91" s="18">
        <f t="shared" si="32"/>
        <v>310.68562866108243</v>
      </c>
      <c r="T91" s="9">
        <f t="shared" si="33"/>
        <v>15.534281433054122</v>
      </c>
      <c r="U91" s="9">
        <f t="shared" si="34"/>
        <v>1.391425026022459</v>
      </c>
    </row>
    <row r="92" spans="10:21" x14ac:dyDescent="0.25">
      <c r="J92" s="14" t="s">
        <v>111</v>
      </c>
      <c r="K92" s="18">
        <v>5105882</v>
      </c>
      <c r="L92" s="8">
        <v>50</v>
      </c>
      <c r="M92" s="8">
        <f t="shared" si="29"/>
        <v>400</v>
      </c>
      <c r="N92" s="8"/>
      <c r="O92" s="8">
        <v>5.9309787364733175</v>
      </c>
      <c r="P92" s="8">
        <f t="shared" si="30"/>
        <v>5.9309787364733175</v>
      </c>
      <c r="Q92" s="28">
        <f t="shared" si="24"/>
        <v>5.9309787364733175</v>
      </c>
      <c r="R92" s="9">
        <f t="shared" si="31"/>
        <v>47.44782989178654</v>
      </c>
      <c r="S92" s="18">
        <f t="shared" si="32"/>
        <v>352.55217010821343</v>
      </c>
      <c r="T92" s="9">
        <f t="shared" si="33"/>
        <v>17.62760850541067</v>
      </c>
      <c r="U92" s="9">
        <f t="shared" si="34"/>
        <v>2.9721247181358823</v>
      </c>
    </row>
    <row r="93" spans="10:21" x14ac:dyDescent="0.25">
      <c r="J93" s="15" t="s">
        <v>112</v>
      </c>
      <c r="K93" s="5">
        <v>5160900</v>
      </c>
      <c r="L93" s="7">
        <v>50</v>
      </c>
      <c r="M93" s="7">
        <f t="shared" si="29"/>
        <v>400</v>
      </c>
      <c r="N93" s="7"/>
      <c r="O93" s="7">
        <v>5.9947396889695588</v>
      </c>
      <c r="P93" s="7">
        <f t="shared" si="30"/>
        <v>5.9947396889695588</v>
      </c>
      <c r="Q93" s="39">
        <f t="shared" si="24"/>
        <v>5.9947396889695588</v>
      </c>
      <c r="R93" s="6">
        <f t="shared" si="31"/>
        <v>47.95791751175647</v>
      </c>
      <c r="S93" s="5">
        <f t="shared" si="32"/>
        <v>352.04208248824352</v>
      </c>
      <c r="T93" s="6">
        <f>S93/20</f>
        <v>17.602104124412175</v>
      </c>
      <c r="U93" s="6">
        <f t="shared" si="34"/>
        <v>2.9362582927162624</v>
      </c>
    </row>
    <row r="94" spans="10:21" x14ac:dyDescent="0.25">
      <c r="T94" t="s">
        <v>46</v>
      </c>
      <c r="U94" s="60">
        <f>AVERAGE(U74:U93)</f>
        <v>1.9684740178149316</v>
      </c>
    </row>
  </sheetData>
  <pageMargins left="0.7" right="0.7" top="0.78740157499999996" bottom="0.78740157499999996" header="0.3" footer="0.3"/>
  <pageSetup paperSize="9" orientation="portrait" r:id="rId1"/>
  <ignoredErrors>
    <ignoredError sqref="X36:X38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3668-F039-480B-929E-7996A40320D1}">
  <dimension ref="A1:P73"/>
  <sheetViews>
    <sheetView zoomScale="70" zoomScaleNormal="70" workbookViewId="0">
      <selection activeCell="L33" sqref="L33"/>
    </sheetView>
  </sheetViews>
  <sheetFormatPr baseColWidth="10" defaultRowHeight="15" x14ac:dyDescent="0.25"/>
  <cols>
    <col min="1" max="1" width="31.7109375" customWidth="1"/>
    <col min="5" max="5" width="23.140625" bestFit="1" customWidth="1"/>
    <col min="6" max="6" width="12.140625" bestFit="1" customWidth="1"/>
    <col min="7" max="8" width="11.28515625" bestFit="1" customWidth="1"/>
  </cols>
  <sheetData>
    <row r="1" spans="1:8" x14ac:dyDescent="0.25">
      <c r="A1" t="s">
        <v>166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</row>
    <row r="2" spans="1:8" x14ac:dyDescent="0.25">
      <c r="A2" s="35" t="s">
        <v>129</v>
      </c>
      <c r="B2" s="72">
        <v>77</v>
      </c>
      <c r="E2" t="s">
        <v>121</v>
      </c>
      <c r="F2" t="s">
        <v>132</v>
      </c>
    </row>
    <row r="3" spans="1:8" x14ac:dyDescent="0.25">
      <c r="A3" s="35" t="s">
        <v>130</v>
      </c>
      <c r="E3">
        <v>0.5</v>
      </c>
      <c r="F3">
        <f>$B$9*E3</f>
        <v>1.0972500000000001</v>
      </c>
      <c r="G3">
        <f>$B$10*E3</f>
        <v>3.6690499999999999</v>
      </c>
      <c r="H3">
        <f>$B$11*E3</f>
        <v>0.31569999999999998</v>
      </c>
    </row>
    <row r="4" spans="1:8" x14ac:dyDescent="0.25">
      <c r="A4" t="s">
        <v>133</v>
      </c>
      <c r="B4">
        <v>2.85</v>
      </c>
      <c r="E4">
        <v>1</v>
      </c>
      <c r="F4">
        <f t="shared" ref="F4:F26" si="0">$B$9*E4</f>
        <v>2.1945000000000001</v>
      </c>
      <c r="G4">
        <f t="shared" ref="G4:G26" si="1">$B$10*E4</f>
        <v>7.3380999999999998</v>
      </c>
      <c r="H4">
        <f t="shared" ref="H4:H26" si="2">$B$11*E4</f>
        <v>0.63139999999999996</v>
      </c>
    </row>
    <row r="5" spans="1:8" x14ac:dyDescent="0.25">
      <c r="A5" t="s">
        <v>134</v>
      </c>
      <c r="B5">
        <v>9.5299999999999994</v>
      </c>
      <c r="E5">
        <v>2</v>
      </c>
      <c r="F5">
        <f t="shared" si="0"/>
        <v>4.3890000000000002</v>
      </c>
      <c r="G5">
        <f t="shared" si="1"/>
        <v>14.6762</v>
      </c>
      <c r="H5">
        <f t="shared" si="2"/>
        <v>1.2627999999999999</v>
      </c>
    </row>
    <row r="6" spans="1:8" x14ac:dyDescent="0.25">
      <c r="A6" t="s">
        <v>135</v>
      </c>
      <c r="B6">
        <v>0.82</v>
      </c>
      <c r="E6">
        <v>3</v>
      </c>
      <c r="F6">
        <f t="shared" si="0"/>
        <v>6.5835000000000008</v>
      </c>
      <c r="G6">
        <f t="shared" si="1"/>
        <v>22.014299999999999</v>
      </c>
      <c r="H6">
        <f t="shared" si="2"/>
        <v>1.8941999999999999</v>
      </c>
    </row>
    <row r="7" spans="1:8" x14ac:dyDescent="0.25">
      <c r="E7">
        <v>4</v>
      </c>
      <c r="F7">
        <f t="shared" si="0"/>
        <v>8.7780000000000005</v>
      </c>
      <c r="G7">
        <f t="shared" si="1"/>
        <v>29.352399999999999</v>
      </c>
      <c r="H7">
        <f t="shared" si="2"/>
        <v>2.5255999999999998</v>
      </c>
    </row>
    <row r="8" spans="1:8" x14ac:dyDescent="0.25">
      <c r="A8" s="35" t="s">
        <v>88</v>
      </c>
      <c r="B8" t="s">
        <v>131</v>
      </c>
      <c r="E8">
        <v>5</v>
      </c>
      <c r="F8">
        <f t="shared" si="0"/>
        <v>10.9725</v>
      </c>
      <c r="G8">
        <f t="shared" si="1"/>
        <v>36.6905</v>
      </c>
      <c r="H8">
        <f t="shared" si="2"/>
        <v>3.157</v>
      </c>
    </row>
    <row r="9" spans="1:8" x14ac:dyDescent="0.25">
      <c r="A9" t="s">
        <v>133</v>
      </c>
      <c r="B9">
        <f>B2*(B4/100)</f>
        <v>2.1945000000000001</v>
      </c>
      <c r="E9">
        <v>6</v>
      </c>
      <c r="F9">
        <f t="shared" si="0"/>
        <v>13.167000000000002</v>
      </c>
      <c r="G9">
        <f t="shared" si="1"/>
        <v>44.028599999999997</v>
      </c>
      <c r="H9">
        <f t="shared" si="2"/>
        <v>3.7883999999999998</v>
      </c>
    </row>
    <row r="10" spans="1:8" x14ac:dyDescent="0.25">
      <c r="A10" t="s">
        <v>134</v>
      </c>
      <c r="B10">
        <f>B2*(B5/100)</f>
        <v>7.3380999999999998</v>
      </c>
      <c r="E10">
        <v>7</v>
      </c>
      <c r="F10">
        <f t="shared" si="0"/>
        <v>15.361500000000001</v>
      </c>
      <c r="G10">
        <f t="shared" si="1"/>
        <v>51.366700000000002</v>
      </c>
      <c r="H10">
        <f t="shared" si="2"/>
        <v>4.4197999999999995</v>
      </c>
    </row>
    <row r="11" spans="1:8" x14ac:dyDescent="0.25">
      <c r="A11" t="s">
        <v>135</v>
      </c>
      <c r="B11">
        <f>B2*(B6/100)</f>
        <v>0.63139999999999996</v>
      </c>
      <c r="E11">
        <v>8</v>
      </c>
      <c r="F11">
        <f t="shared" si="0"/>
        <v>17.556000000000001</v>
      </c>
      <c r="G11">
        <f t="shared" si="1"/>
        <v>58.704799999999999</v>
      </c>
      <c r="H11">
        <f t="shared" si="2"/>
        <v>5.0511999999999997</v>
      </c>
    </row>
    <row r="12" spans="1:8" x14ac:dyDescent="0.25">
      <c r="E12">
        <v>9</v>
      </c>
      <c r="F12">
        <f t="shared" si="0"/>
        <v>19.750500000000002</v>
      </c>
      <c r="G12">
        <f t="shared" si="1"/>
        <v>66.042900000000003</v>
      </c>
      <c r="H12">
        <f t="shared" si="2"/>
        <v>5.6825999999999999</v>
      </c>
    </row>
    <row r="13" spans="1:8" x14ac:dyDescent="0.25">
      <c r="E13">
        <v>10</v>
      </c>
      <c r="F13">
        <f t="shared" si="0"/>
        <v>21.945</v>
      </c>
      <c r="G13">
        <f t="shared" si="1"/>
        <v>73.381</v>
      </c>
      <c r="H13">
        <f t="shared" si="2"/>
        <v>6.3140000000000001</v>
      </c>
    </row>
    <row r="14" spans="1:8" x14ac:dyDescent="0.25">
      <c r="E14">
        <v>11</v>
      </c>
      <c r="F14">
        <f t="shared" si="0"/>
        <v>24.139500000000002</v>
      </c>
      <c r="G14">
        <f t="shared" si="1"/>
        <v>80.719099999999997</v>
      </c>
      <c r="H14">
        <f t="shared" si="2"/>
        <v>6.9453999999999994</v>
      </c>
    </row>
    <row r="15" spans="1:8" x14ac:dyDescent="0.25">
      <c r="E15">
        <v>12</v>
      </c>
      <c r="F15">
        <f>$B$9*E15</f>
        <v>26.334000000000003</v>
      </c>
      <c r="G15">
        <f t="shared" si="1"/>
        <v>88.057199999999995</v>
      </c>
      <c r="H15">
        <f t="shared" si="2"/>
        <v>7.5767999999999995</v>
      </c>
    </row>
    <row r="16" spans="1:8" x14ac:dyDescent="0.25">
      <c r="A16" t="s">
        <v>164</v>
      </c>
      <c r="B16" t="s">
        <v>143</v>
      </c>
      <c r="C16" t="s">
        <v>129</v>
      </c>
      <c r="E16">
        <v>13</v>
      </c>
      <c r="F16">
        <f t="shared" si="0"/>
        <v>28.528500000000001</v>
      </c>
      <c r="G16">
        <f t="shared" si="1"/>
        <v>95.395299999999992</v>
      </c>
      <c r="H16">
        <f t="shared" si="2"/>
        <v>8.2081999999999997</v>
      </c>
    </row>
    <row r="17" spans="1:14" x14ac:dyDescent="0.25">
      <c r="E17">
        <v>14</v>
      </c>
      <c r="F17">
        <f t="shared" si="0"/>
        <v>30.723000000000003</v>
      </c>
      <c r="G17">
        <f t="shared" si="1"/>
        <v>102.7334</v>
      </c>
      <c r="H17">
        <f t="shared" si="2"/>
        <v>8.839599999999999</v>
      </c>
    </row>
    <row r="18" spans="1:14" x14ac:dyDescent="0.25">
      <c r="A18" t="s">
        <v>136</v>
      </c>
      <c r="E18">
        <v>15</v>
      </c>
      <c r="F18">
        <f t="shared" si="0"/>
        <v>32.917500000000004</v>
      </c>
      <c r="G18">
        <f t="shared" si="1"/>
        <v>110.0715</v>
      </c>
      <c r="H18">
        <f t="shared" si="2"/>
        <v>9.4710000000000001</v>
      </c>
    </row>
    <row r="19" spans="1:14" x14ac:dyDescent="0.25">
      <c r="A19" t="s">
        <v>142</v>
      </c>
      <c r="B19">
        <v>1.89</v>
      </c>
      <c r="C19">
        <f>10^B19</f>
        <v>77.624711662869217</v>
      </c>
      <c r="E19">
        <v>16</v>
      </c>
      <c r="F19">
        <f t="shared" si="0"/>
        <v>35.112000000000002</v>
      </c>
      <c r="G19">
        <f t="shared" si="1"/>
        <v>117.4096</v>
      </c>
      <c r="H19">
        <f t="shared" si="2"/>
        <v>10.102399999999999</v>
      </c>
    </row>
    <row r="20" spans="1:14" x14ac:dyDescent="0.25">
      <c r="A20" t="s">
        <v>144</v>
      </c>
      <c r="B20">
        <v>2.63</v>
      </c>
      <c r="C20">
        <f>10^B20</f>
        <v>426.57951880159294</v>
      </c>
      <c r="E20">
        <v>17</v>
      </c>
      <c r="F20">
        <f t="shared" si="0"/>
        <v>37.3065</v>
      </c>
      <c r="G20">
        <f t="shared" si="1"/>
        <v>124.74769999999999</v>
      </c>
      <c r="H20">
        <f t="shared" si="2"/>
        <v>10.733799999999999</v>
      </c>
    </row>
    <row r="21" spans="1:14" x14ac:dyDescent="0.25">
      <c r="E21">
        <v>18</v>
      </c>
      <c r="F21">
        <f t="shared" si="0"/>
        <v>39.501000000000005</v>
      </c>
      <c r="G21">
        <f t="shared" si="1"/>
        <v>132.08580000000001</v>
      </c>
      <c r="H21">
        <f t="shared" si="2"/>
        <v>11.3652</v>
      </c>
    </row>
    <row r="22" spans="1:14" x14ac:dyDescent="0.25">
      <c r="A22" s="70" t="s">
        <v>165</v>
      </c>
      <c r="B22" s="8">
        <v>2.0289999999999999</v>
      </c>
      <c r="C22" s="8">
        <v>106.8</v>
      </c>
      <c r="E22">
        <v>19</v>
      </c>
      <c r="F22">
        <f t="shared" si="0"/>
        <v>41.695500000000003</v>
      </c>
      <c r="G22">
        <f t="shared" si="1"/>
        <v>139.4239</v>
      </c>
      <c r="H22">
        <f t="shared" si="2"/>
        <v>11.996599999999999</v>
      </c>
    </row>
    <row r="23" spans="1:14" x14ac:dyDescent="0.25">
      <c r="E23">
        <v>20</v>
      </c>
      <c r="F23">
        <f t="shared" si="0"/>
        <v>43.89</v>
      </c>
      <c r="G23">
        <f t="shared" si="1"/>
        <v>146.762</v>
      </c>
      <c r="H23">
        <f t="shared" si="2"/>
        <v>12.628</v>
      </c>
    </row>
    <row r="24" spans="1:14" x14ac:dyDescent="0.25">
      <c r="E24">
        <v>21</v>
      </c>
      <c r="F24">
        <f t="shared" si="0"/>
        <v>46.084500000000006</v>
      </c>
      <c r="G24">
        <f t="shared" si="1"/>
        <v>154.1001</v>
      </c>
      <c r="H24">
        <f t="shared" si="2"/>
        <v>13.259399999999999</v>
      </c>
    </row>
    <row r="25" spans="1:14" x14ac:dyDescent="0.25">
      <c r="E25">
        <v>22</v>
      </c>
      <c r="F25">
        <f t="shared" si="0"/>
        <v>48.279000000000003</v>
      </c>
      <c r="G25">
        <f t="shared" si="1"/>
        <v>161.43819999999999</v>
      </c>
      <c r="H25">
        <f t="shared" si="2"/>
        <v>13.890799999999999</v>
      </c>
    </row>
    <row r="26" spans="1:14" x14ac:dyDescent="0.25">
      <c r="E26">
        <v>23</v>
      </c>
      <c r="F26">
        <f t="shared" si="0"/>
        <v>50.473500000000001</v>
      </c>
      <c r="G26">
        <f t="shared" si="1"/>
        <v>168.77629999999999</v>
      </c>
      <c r="H26">
        <f t="shared" si="2"/>
        <v>14.5222</v>
      </c>
    </row>
    <row r="28" spans="1:14" x14ac:dyDescent="0.25">
      <c r="A28" s="35" t="s">
        <v>232</v>
      </c>
    </row>
    <row r="29" spans="1:14" x14ac:dyDescent="0.25">
      <c r="A29" t="s">
        <v>233</v>
      </c>
    </row>
    <row r="30" spans="1:14" x14ac:dyDescent="0.25">
      <c r="A30" t="s">
        <v>234</v>
      </c>
    </row>
    <row r="31" spans="1:14" x14ac:dyDescent="0.25">
      <c r="A31" t="s">
        <v>235</v>
      </c>
      <c r="E31" t="s">
        <v>145</v>
      </c>
      <c r="K31" t="s">
        <v>161</v>
      </c>
    </row>
    <row r="32" spans="1:14" x14ac:dyDescent="0.25">
      <c r="A32" t="s">
        <v>271</v>
      </c>
      <c r="E32" t="s">
        <v>146</v>
      </c>
      <c r="G32" t="s">
        <v>133</v>
      </c>
      <c r="K32" t="s">
        <v>145</v>
      </c>
      <c r="L32" t="s">
        <v>133</v>
      </c>
      <c r="M32" t="s">
        <v>134</v>
      </c>
      <c r="N32" t="s">
        <v>135</v>
      </c>
    </row>
    <row r="33" spans="1:16" x14ac:dyDescent="0.25">
      <c r="A33" t="s">
        <v>272</v>
      </c>
      <c r="F33" t="s">
        <v>120</v>
      </c>
      <c r="G33" t="s">
        <v>147</v>
      </c>
      <c r="K33" t="s">
        <v>88</v>
      </c>
      <c r="L33">
        <v>0.42</v>
      </c>
      <c r="M33">
        <v>1.92</v>
      </c>
      <c r="N33">
        <v>0.73</v>
      </c>
      <c r="P33">
        <f>P67</f>
        <v>1.9684740178149316</v>
      </c>
    </row>
    <row r="34" spans="1:16" x14ac:dyDescent="0.25">
      <c r="A34" s="92" t="s">
        <v>273</v>
      </c>
      <c r="E34" s="16" t="s">
        <v>21</v>
      </c>
      <c r="F34" s="3">
        <v>0</v>
      </c>
      <c r="G34">
        <v>0</v>
      </c>
      <c r="K34" t="s">
        <v>162</v>
      </c>
      <c r="L34">
        <f>LOG(L33)</f>
        <v>-0.37675070960209955</v>
      </c>
      <c r="M34">
        <f>LOG(M33)</f>
        <v>0.28330122870354957</v>
      </c>
      <c r="N34">
        <f>LOG(N33)</f>
        <v>-0.13667713987954411</v>
      </c>
      <c r="P34">
        <f>LOG(P33)</f>
        <v>0.29412968684579532</v>
      </c>
    </row>
    <row r="35" spans="1:16" x14ac:dyDescent="0.25">
      <c r="E35" s="14" t="s">
        <v>22</v>
      </c>
      <c r="F35" s="8">
        <v>0</v>
      </c>
      <c r="G35">
        <v>0</v>
      </c>
      <c r="K35" t="s">
        <v>129</v>
      </c>
      <c r="L35" s="48">
        <f>(L33*100)/B4</f>
        <v>14.736842105263158</v>
      </c>
      <c r="M35" s="48">
        <f>(M33*100)/B5</f>
        <v>20.146904512067156</v>
      </c>
      <c r="N35" s="48">
        <f>(N33*100)/B6</f>
        <v>89.024390243902445</v>
      </c>
      <c r="P35" s="48">
        <f>(P33*100)/B4</f>
        <v>69.069263782980045</v>
      </c>
    </row>
    <row r="36" spans="1:16" x14ac:dyDescent="0.25">
      <c r="E36" s="14" t="s">
        <v>29</v>
      </c>
      <c r="F36" s="8">
        <v>0</v>
      </c>
      <c r="G36">
        <v>0</v>
      </c>
      <c r="K36" t="s">
        <v>163</v>
      </c>
      <c r="L36">
        <f>LOG(L35)</f>
        <v>1.1684044303893903</v>
      </c>
      <c r="M36">
        <f>LOG(M35)</f>
        <v>1.3042083280652232</v>
      </c>
      <c r="N36">
        <f>LOG(N35)</f>
        <v>1.9495090077367392</v>
      </c>
      <c r="P36">
        <f>LOG(P35)</f>
        <v>1.839284826837285</v>
      </c>
    </row>
    <row r="37" spans="1:16" x14ac:dyDescent="0.25">
      <c r="E37" s="15" t="s">
        <v>30</v>
      </c>
      <c r="F37" s="7">
        <v>0</v>
      </c>
      <c r="G37">
        <v>0</v>
      </c>
    </row>
    <row r="38" spans="1:16" x14ac:dyDescent="0.25">
      <c r="E38" s="36" t="s">
        <v>31</v>
      </c>
      <c r="F38" s="38">
        <v>0.9829802144537918</v>
      </c>
      <c r="G38">
        <v>0.60680791421848324</v>
      </c>
    </row>
    <row r="39" spans="1:16" x14ac:dyDescent="0.25">
      <c r="E39" s="37" t="s">
        <v>32</v>
      </c>
      <c r="F39" s="28">
        <v>1.1063059864123563</v>
      </c>
      <c r="G39">
        <v>0.55747760543505742</v>
      </c>
    </row>
    <row r="40" spans="1:16" x14ac:dyDescent="0.25">
      <c r="E40" s="37" t="s">
        <v>34</v>
      </c>
      <c r="F40" s="28">
        <v>1.0477070524455259</v>
      </c>
      <c r="G40">
        <v>0.58091717902178963</v>
      </c>
    </row>
    <row r="41" spans="1:16" x14ac:dyDescent="0.25">
      <c r="E41" s="15" t="s">
        <v>35</v>
      </c>
      <c r="F41" s="39">
        <v>1.4147816769410015</v>
      </c>
      <c r="G41">
        <v>0.43408732922359938</v>
      </c>
      <c r="M41" t="s">
        <v>288</v>
      </c>
      <c r="N41" s="48" t="s">
        <v>68</v>
      </c>
      <c r="O41" s="9" t="s">
        <v>73</v>
      </c>
    </row>
    <row r="42" spans="1:16" x14ac:dyDescent="0.25">
      <c r="B42" s="134" t="s">
        <v>345</v>
      </c>
      <c r="E42" s="16" t="s">
        <v>36</v>
      </c>
      <c r="F42" s="38">
        <v>3.5361811929188036</v>
      </c>
      <c r="G42">
        <v>1.5855275228324786</v>
      </c>
      <c r="N42" t="s">
        <v>67</v>
      </c>
      <c r="O42" s="9" t="s">
        <v>74</v>
      </c>
    </row>
    <row r="43" spans="1:16" x14ac:dyDescent="0.25">
      <c r="B43" s="134" t="s">
        <v>346</v>
      </c>
      <c r="E43" s="14" t="s">
        <v>37</v>
      </c>
      <c r="F43" s="28">
        <v>3.1890892591613191</v>
      </c>
      <c r="G43">
        <v>1.7243642963354724</v>
      </c>
      <c r="M43" s="16" t="s">
        <v>21</v>
      </c>
      <c r="N43" s="41">
        <v>0</v>
      </c>
      <c r="O43" s="4">
        <v>0</v>
      </c>
      <c r="P43" t="e">
        <f>O43/N43</f>
        <v>#DIV/0!</v>
      </c>
    </row>
    <row r="44" spans="1:16" x14ac:dyDescent="0.25">
      <c r="B44" s="134" t="s">
        <v>347</v>
      </c>
      <c r="E44" s="14" t="s">
        <v>38</v>
      </c>
      <c r="F44" s="28">
        <v>2.7452091481921088</v>
      </c>
      <c r="G44">
        <v>1.9019163407231567</v>
      </c>
      <c r="M44" s="14" t="s">
        <v>22</v>
      </c>
      <c r="N44" s="22">
        <v>0</v>
      </c>
      <c r="O44" s="9">
        <v>0</v>
      </c>
      <c r="P44" t="e">
        <f t="shared" ref="P44:P66" si="3">O44/N44</f>
        <v>#DIV/0!</v>
      </c>
    </row>
    <row r="45" spans="1:16" ht="15.75" thickBot="1" x14ac:dyDescent="0.3">
      <c r="B45" s="134" t="s">
        <v>348</v>
      </c>
      <c r="E45" s="15" t="s">
        <v>39</v>
      </c>
      <c r="F45" s="39">
        <v>2.9624794591714503</v>
      </c>
      <c r="G45">
        <v>1.8150082163314198</v>
      </c>
      <c r="M45" s="14" t="s">
        <v>29</v>
      </c>
      <c r="N45" s="22">
        <v>0</v>
      </c>
      <c r="O45" s="9">
        <v>0</v>
      </c>
      <c r="P45" t="e">
        <f t="shared" si="3"/>
        <v>#DIV/0!</v>
      </c>
    </row>
    <row r="46" spans="1:16" x14ac:dyDescent="0.25">
      <c r="B46" s="134" t="s">
        <v>349</v>
      </c>
      <c r="E46" s="62" t="s">
        <v>101</v>
      </c>
      <c r="F46" s="52">
        <v>3.5905679683171878</v>
      </c>
      <c r="G46">
        <v>3.5637728126731245</v>
      </c>
      <c r="M46" s="15" t="s">
        <v>30</v>
      </c>
      <c r="N46" s="45">
        <v>0</v>
      </c>
      <c r="O46" s="6">
        <v>0</v>
      </c>
      <c r="P46" t="e">
        <f t="shared" si="3"/>
        <v>#DIV/0!</v>
      </c>
    </row>
    <row r="47" spans="1:16" x14ac:dyDescent="0.25">
      <c r="B47" s="134" t="s">
        <v>350</v>
      </c>
      <c r="E47" s="65" t="s">
        <v>102</v>
      </c>
      <c r="F47" s="8">
        <v>4.6444420154962476</v>
      </c>
      <c r="G47">
        <v>3.1422231938015011</v>
      </c>
      <c r="M47" s="36" t="s">
        <v>31</v>
      </c>
      <c r="N47" s="28">
        <v>0.4914901072268959</v>
      </c>
      <c r="O47" s="25">
        <v>0.80340395710924162</v>
      </c>
      <c r="P47">
        <f t="shared" si="3"/>
        <v>1.6346289483673189</v>
      </c>
    </row>
    <row r="48" spans="1:16" x14ac:dyDescent="0.25">
      <c r="B48" s="134" t="s">
        <v>351</v>
      </c>
      <c r="E48" s="65" t="s">
        <v>103</v>
      </c>
      <c r="F48" s="8">
        <v>2.8498269743329834</v>
      </c>
      <c r="G48">
        <v>3.8600692102668064</v>
      </c>
      <c r="M48" s="37" t="s">
        <v>32</v>
      </c>
      <c r="N48" s="28">
        <v>0.55315299320617817</v>
      </c>
      <c r="O48" s="27">
        <v>0.77873880271752882</v>
      </c>
      <c r="P48">
        <f t="shared" si="3"/>
        <v>1.407818112316112</v>
      </c>
    </row>
    <row r="49" spans="2:16" ht="15.75" thickBot="1" x14ac:dyDescent="0.3">
      <c r="B49" s="134" t="s">
        <v>352</v>
      </c>
      <c r="E49" s="67" t="s">
        <v>104</v>
      </c>
      <c r="F49" s="55">
        <v>3.0152684395726053</v>
      </c>
      <c r="G49">
        <v>3.7938926241709581</v>
      </c>
      <c r="M49" s="37" t="s">
        <v>34</v>
      </c>
      <c r="N49" s="28">
        <v>0.52385352622276293</v>
      </c>
      <c r="O49" s="27">
        <v>0.79045858951089476</v>
      </c>
      <c r="P49">
        <f t="shared" si="3"/>
        <v>1.5089305501300776</v>
      </c>
    </row>
    <row r="50" spans="2:16" x14ac:dyDescent="0.25">
      <c r="B50" s="134" t="s">
        <v>353</v>
      </c>
      <c r="E50" s="37" t="s">
        <v>105</v>
      </c>
      <c r="F50" s="8">
        <v>6.6109212053615325</v>
      </c>
      <c r="G50">
        <v>7.3556315178553877</v>
      </c>
      <c r="M50" s="15" t="s">
        <v>35</v>
      </c>
      <c r="N50" s="28">
        <v>0.70739083847050077</v>
      </c>
      <c r="O50" s="40">
        <v>0.71704366461179969</v>
      </c>
      <c r="P50">
        <f t="shared" si="3"/>
        <v>1.0136456759352015</v>
      </c>
    </row>
    <row r="51" spans="2:16" x14ac:dyDescent="0.25">
      <c r="B51" s="134" t="s">
        <v>354</v>
      </c>
      <c r="E51" s="14" t="s">
        <v>106</v>
      </c>
      <c r="F51" s="8">
        <v>8.4769089249288392</v>
      </c>
      <c r="G51">
        <v>6.6092364300284645</v>
      </c>
      <c r="M51" s="16" t="s">
        <v>36</v>
      </c>
      <c r="N51" s="38">
        <v>1.7680905964594018</v>
      </c>
      <c r="O51" s="25">
        <v>2.2927637614162393</v>
      </c>
      <c r="P51">
        <f t="shared" si="3"/>
        <v>1.2967456339666612</v>
      </c>
    </row>
    <row r="52" spans="2:16" x14ac:dyDescent="0.25">
      <c r="B52" s="134" t="s">
        <v>355</v>
      </c>
      <c r="E52" s="14" t="s">
        <v>107</v>
      </c>
      <c r="F52" s="8">
        <v>8.6591963170557591</v>
      </c>
      <c r="G52">
        <v>6.5363214731776962</v>
      </c>
      <c r="M52" s="14" t="s">
        <v>37</v>
      </c>
      <c r="N52" s="28">
        <v>1.5945446295806596</v>
      </c>
      <c r="O52" s="27">
        <v>2.3621821481677361</v>
      </c>
      <c r="P52">
        <f t="shared" si="3"/>
        <v>1.4814148844419319</v>
      </c>
    </row>
    <row r="53" spans="2:16" x14ac:dyDescent="0.25">
      <c r="B53" s="134" t="s">
        <v>356</v>
      </c>
      <c r="E53" s="15" t="s">
        <v>108</v>
      </c>
      <c r="F53" s="7">
        <v>8.5173873601461985</v>
      </c>
      <c r="G53">
        <v>6.5930450559415208</v>
      </c>
      <c r="M53" s="14" t="s">
        <v>38</v>
      </c>
      <c r="N53" s="28">
        <v>1.3726045740960544</v>
      </c>
      <c r="O53" s="27">
        <v>2.4509581703615781</v>
      </c>
      <c r="P53">
        <f t="shared" si="3"/>
        <v>1.7856258216068432</v>
      </c>
    </row>
    <row r="54" spans="2:16" ht="15.75" thickBot="1" x14ac:dyDescent="0.3">
      <c r="E54" s="16" t="s">
        <v>109</v>
      </c>
      <c r="F54" s="3">
        <v>18.962392811401685</v>
      </c>
      <c r="G54">
        <v>12.415042875439326</v>
      </c>
      <c r="M54" s="15" t="s">
        <v>39</v>
      </c>
      <c r="N54" s="39">
        <v>1.4812397295857251</v>
      </c>
      <c r="O54" s="40">
        <v>2.4075041081657096</v>
      </c>
      <c r="P54">
        <f t="shared" si="3"/>
        <v>1.6253304985541017</v>
      </c>
    </row>
    <row r="55" spans="2:16" x14ac:dyDescent="0.25">
      <c r="E55" s="14" t="s">
        <v>110</v>
      </c>
      <c r="F55" s="8">
        <v>22.328592834729399</v>
      </c>
      <c r="G55">
        <v>11.068562866108241</v>
      </c>
      <c r="M55" s="62" t="s">
        <v>101</v>
      </c>
      <c r="N55" s="28">
        <v>1.7952839841585939</v>
      </c>
      <c r="O55" s="64">
        <v>4.2818864063365627</v>
      </c>
      <c r="P55">
        <f t="shared" si="3"/>
        <v>2.3850746979973638</v>
      </c>
    </row>
    <row r="56" spans="2:16" x14ac:dyDescent="0.25">
      <c r="E56" s="14" t="s">
        <v>111</v>
      </c>
      <c r="F56" s="8">
        <v>11.861957472946635</v>
      </c>
      <c r="G56">
        <v>15.255217010821346</v>
      </c>
      <c r="M56" s="65" t="s">
        <v>102</v>
      </c>
      <c r="N56" s="28">
        <v>2.3222210077481238</v>
      </c>
      <c r="O56" s="9">
        <v>4.0711115969007512</v>
      </c>
      <c r="P56">
        <f t="shared" si="3"/>
        <v>1.753111173879415</v>
      </c>
    </row>
    <row r="57" spans="2:16" x14ac:dyDescent="0.25">
      <c r="E57" s="15" t="s">
        <v>112</v>
      </c>
      <c r="F57" s="7">
        <v>11.989479377939118</v>
      </c>
      <c r="G57">
        <v>15.204208248824353</v>
      </c>
      <c r="M57" s="65" t="s">
        <v>103</v>
      </c>
      <c r="N57" s="28">
        <v>1.4249134871664917</v>
      </c>
      <c r="O57" s="9">
        <v>4.430034605133403</v>
      </c>
      <c r="P57">
        <f t="shared" si="3"/>
        <v>3.1089849629697435</v>
      </c>
    </row>
    <row r="58" spans="2:16" ht="15.75" thickBot="1" x14ac:dyDescent="0.3">
      <c r="M58" s="67" t="s">
        <v>104</v>
      </c>
      <c r="N58" s="28">
        <v>1.5076342197863026</v>
      </c>
      <c r="O58" s="69">
        <v>4.396946312085479</v>
      </c>
      <c r="P58">
        <f t="shared" si="3"/>
        <v>2.916454305944792</v>
      </c>
    </row>
    <row r="59" spans="2:16" x14ac:dyDescent="0.25">
      <c r="M59" s="37" t="s">
        <v>105</v>
      </c>
      <c r="N59" s="38">
        <v>3.3054606026807662</v>
      </c>
      <c r="O59" s="9">
        <v>8.677815758927693</v>
      </c>
      <c r="P59">
        <f t="shared" si="3"/>
        <v>2.6252969864139013</v>
      </c>
    </row>
    <row r="60" spans="2:16" x14ac:dyDescent="0.25">
      <c r="E60" t="s">
        <v>145</v>
      </c>
      <c r="G60" t="s">
        <v>133</v>
      </c>
      <c r="M60" s="14" t="s">
        <v>106</v>
      </c>
      <c r="N60" s="28">
        <v>4.2384544624644196</v>
      </c>
      <c r="O60" s="9">
        <v>8.3046182150142336</v>
      </c>
      <c r="P60">
        <f t="shared" si="3"/>
        <v>1.9593505813403436</v>
      </c>
    </row>
    <row r="61" spans="2:16" x14ac:dyDescent="0.25">
      <c r="E61" t="s">
        <v>148</v>
      </c>
      <c r="F61" t="s">
        <v>120</v>
      </c>
      <c r="G61" t="s">
        <v>147</v>
      </c>
      <c r="M61" s="14" t="s">
        <v>107</v>
      </c>
      <c r="N61" s="28">
        <v>4.3295981585278795</v>
      </c>
      <c r="O61" s="9">
        <v>8.2681607365888485</v>
      </c>
      <c r="P61">
        <f t="shared" si="3"/>
        <v>1.9096831700889609</v>
      </c>
    </row>
    <row r="62" spans="2:16" x14ac:dyDescent="0.25">
      <c r="E62" s="16" t="s">
        <v>149</v>
      </c>
      <c r="F62" s="3">
        <f>AVERAGE(F34:F35)</f>
        <v>0</v>
      </c>
      <c r="G62" s="4">
        <f>AVERAGE(G34:G35)</f>
        <v>0</v>
      </c>
      <c r="M62" s="15" t="s">
        <v>108</v>
      </c>
      <c r="N62" s="39">
        <v>4.2586936800730992</v>
      </c>
      <c r="O62" s="6">
        <v>8.29652252797076</v>
      </c>
      <c r="P62">
        <f t="shared" si="3"/>
        <v>1.9481378918589778</v>
      </c>
    </row>
    <row r="63" spans="2:16" x14ac:dyDescent="0.25">
      <c r="E63" s="15" t="s">
        <v>150</v>
      </c>
      <c r="F63" s="7">
        <f>AVERAGE(F36:F37)</f>
        <v>0</v>
      </c>
      <c r="G63" s="6">
        <f>AVERAGE(G36:G37)</f>
        <v>0</v>
      </c>
      <c r="M63" s="16" t="s">
        <v>109</v>
      </c>
      <c r="N63" s="38">
        <v>9.4811964057008424</v>
      </c>
      <c r="O63" s="4">
        <v>16.207521437719663</v>
      </c>
      <c r="P63">
        <f t="shared" si="3"/>
        <v>1.7094384236122799</v>
      </c>
    </row>
    <row r="64" spans="2:16" x14ac:dyDescent="0.25">
      <c r="E64" s="16" t="s">
        <v>151</v>
      </c>
      <c r="F64" s="38">
        <f>AVERAGE(F38:F39)</f>
        <v>1.0446431004330741</v>
      </c>
      <c r="G64" s="25">
        <f>AVERAGE(G38:G39)</f>
        <v>0.58214275982677033</v>
      </c>
      <c r="M64" s="14" t="s">
        <v>110</v>
      </c>
      <c r="N64" s="28">
        <v>11.164296417364699</v>
      </c>
      <c r="O64" s="9">
        <v>15.534281433054122</v>
      </c>
      <c r="P64">
        <f t="shared" si="3"/>
        <v>1.391425026022459</v>
      </c>
    </row>
    <row r="65" spans="5:16" x14ac:dyDescent="0.25">
      <c r="E65" s="15" t="s">
        <v>152</v>
      </c>
      <c r="F65" s="39">
        <f>AVERAGE(F40:F41)</f>
        <v>1.2312443646932638</v>
      </c>
      <c r="G65" s="40">
        <f>AVERAGE(G40:G41)</f>
        <v>0.50750225412269456</v>
      </c>
      <c r="M65" s="14" t="s">
        <v>111</v>
      </c>
      <c r="N65" s="28">
        <v>5.9309787364733175</v>
      </c>
      <c r="O65" s="9">
        <v>17.62760850541067</v>
      </c>
      <c r="P65">
        <f t="shared" si="3"/>
        <v>2.9721247181358823</v>
      </c>
    </row>
    <row r="66" spans="5:16" x14ac:dyDescent="0.25">
      <c r="E66" s="16" t="s">
        <v>153</v>
      </c>
      <c r="F66" s="38">
        <f>AVERAGE(F42:F43)</f>
        <v>3.3626352260400614</v>
      </c>
      <c r="G66" s="25">
        <f>AVERAGE(G42:G43)</f>
        <v>1.6549459095839754</v>
      </c>
      <c r="M66" s="15" t="s">
        <v>112</v>
      </c>
      <c r="N66" s="39">
        <v>5.9947396889695588</v>
      </c>
      <c r="O66" s="6">
        <v>17.602104124412175</v>
      </c>
      <c r="P66">
        <f t="shared" si="3"/>
        <v>2.9362582927162624</v>
      </c>
    </row>
    <row r="67" spans="5:16" x14ac:dyDescent="0.25">
      <c r="E67" s="15" t="s">
        <v>154</v>
      </c>
      <c r="F67" s="39">
        <f>AVERAGE(F44:F45)</f>
        <v>2.8538443036817798</v>
      </c>
      <c r="G67" s="40">
        <f>AVERAGE(G44:G45)</f>
        <v>1.8584622785272882</v>
      </c>
      <c r="P67">
        <f>AVERAGE(P47:P66)</f>
        <v>1.9684740178149316</v>
      </c>
    </row>
    <row r="68" spans="5:16" x14ac:dyDescent="0.25">
      <c r="E68" s="16" t="s">
        <v>155</v>
      </c>
      <c r="F68" s="38">
        <f>AVERAGE(F46:F47)</f>
        <v>4.1175049919067179</v>
      </c>
      <c r="G68" s="25">
        <f>AVERAGE(G46:G47)</f>
        <v>3.352998003237313</v>
      </c>
    </row>
    <row r="69" spans="5:16" x14ac:dyDescent="0.25">
      <c r="E69" s="15" t="s">
        <v>156</v>
      </c>
      <c r="F69" s="39">
        <f>AVERAGE(F48:F49)</f>
        <v>2.9325477069527945</v>
      </c>
      <c r="G69" s="40">
        <f>AVERAGE(G48:G49)</f>
        <v>3.826980917218882</v>
      </c>
    </row>
    <row r="70" spans="5:16" x14ac:dyDescent="0.25">
      <c r="E70" s="16" t="s">
        <v>157</v>
      </c>
      <c r="F70" s="38">
        <f>AVERAGE(F50:F51)</f>
        <v>7.5439150651451854</v>
      </c>
      <c r="G70" s="25">
        <f>AVERAGE(G50:G51)</f>
        <v>6.9824339739419266</v>
      </c>
    </row>
    <row r="71" spans="5:16" x14ac:dyDescent="0.25">
      <c r="E71" s="15" t="s">
        <v>158</v>
      </c>
      <c r="F71" s="39">
        <f>AVERAGE(F52:F53)</f>
        <v>8.5882918386009788</v>
      </c>
      <c r="G71" s="40">
        <f>AVERAGE(G52:G53)</f>
        <v>6.5646832645596085</v>
      </c>
    </row>
    <row r="72" spans="5:16" x14ac:dyDescent="0.25">
      <c r="E72" s="16" t="s">
        <v>159</v>
      </c>
      <c r="F72" s="38">
        <f>AVERAGE(F54:F55)</f>
        <v>20.645492823065542</v>
      </c>
      <c r="G72" s="25">
        <f>AVERAGE(G54:G55)</f>
        <v>11.741802870773784</v>
      </c>
    </row>
    <row r="73" spans="5:16" x14ac:dyDescent="0.25">
      <c r="E73" s="15" t="s">
        <v>160</v>
      </c>
      <c r="F73" s="39">
        <f>AVERAGE(F56:F57)</f>
        <v>11.925718425442877</v>
      </c>
      <c r="G73" s="40">
        <f>AVERAGE(G56:G57)</f>
        <v>15.229712629822849</v>
      </c>
    </row>
  </sheetData>
  <phoneticPr fontId="2" type="noConversion"/>
  <pageMargins left="0.7" right="0.7" top="0.78740157499999996" bottom="0.78740157499999996" header="0.3" footer="0.3"/>
  <ignoredErrors>
    <ignoredError sqref="F62:F73 G62:G67 G68:G73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D385E-732E-438F-BD42-65A5915DEEE5}">
  <dimension ref="A1:Q71"/>
  <sheetViews>
    <sheetView zoomScale="85" zoomScaleNormal="85" workbookViewId="0">
      <selection activeCell="C19" sqref="B19:C20"/>
    </sheetView>
  </sheetViews>
  <sheetFormatPr baseColWidth="10" defaultRowHeight="15" x14ac:dyDescent="0.25"/>
  <cols>
    <col min="1" max="1" width="17.42578125" customWidth="1"/>
    <col min="2" max="2" width="14.5703125" bestFit="1" customWidth="1"/>
    <col min="8" max="8" width="23.140625" bestFit="1" customWidth="1"/>
  </cols>
  <sheetData>
    <row r="1" spans="1:17" x14ac:dyDescent="0.25">
      <c r="A1" t="s">
        <v>167</v>
      </c>
      <c r="I1" s="35" t="s">
        <v>173</v>
      </c>
      <c r="N1" s="35" t="s">
        <v>174</v>
      </c>
    </row>
    <row r="2" spans="1:17" x14ac:dyDescent="0.25">
      <c r="A2" t="s">
        <v>129</v>
      </c>
      <c r="B2" s="8">
        <f>C19</f>
        <v>77.624711662869217</v>
      </c>
      <c r="D2" t="s">
        <v>168</v>
      </c>
      <c r="E2">
        <v>0.2</v>
      </c>
      <c r="H2" t="s">
        <v>137</v>
      </c>
      <c r="I2" t="s">
        <v>138</v>
      </c>
      <c r="J2" t="s">
        <v>139</v>
      </c>
      <c r="K2" t="s">
        <v>140</v>
      </c>
      <c r="L2" t="s">
        <v>141</v>
      </c>
      <c r="N2" t="s">
        <v>138</v>
      </c>
      <c r="O2" t="s">
        <v>133</v>
      </c>
      <c r="P2" t="s">
        <v>134</v>
      </c>
      <c r="Q2" t="s">
        <v>135</v>
      </c>
    </row>
    <row r="3" spans="1:17" x14ac:dyDescent="0.25">
      <c r="A3" s="35" t="s">
        <v>130</v>
      </c>
      <c r="D3" t="s">
        <v>169</v>
      </c>
      <c r="E3" t="s">
        <v>170</v>
      </c>
      <c r="I3" t="s">
        <v>121</v>
      </c>
      <c r="J3" t="s">
        <v>132</v>
      </c>
      <c r="N3" t="s">
        <v>130</v>
      </c>
      <c r="O3">
        <v>2.8500000000000001E-2</v>
      </c>
      <c r="P3">
        <v>9.5299999999999996E-2</v>
      </c>
      <c r="Q3">
        <v>8.2000000000000007E-3</v>
      </c>
    </row>
    <row r="4" spans="1:17" x14ac:dyDescent="0.25">
      <c r="A4" t="s">
        <v>133</v>
      </c>
      <c r="B4">
        <v>2.85</v>
      </c>
      <c r="D4" t="s">
        <v>133</v>
      </c>
      <c r="E4">
        <v>20.3</v>
      </c>
      <c r="F4">
        <f>$E$2*(E4/100)</f>
        <v>4.0600000000000004E-2</v>
      </c>
      <c r="I4">
        <v>0.5</v>
      </c>
      <c r="J4">
        <f>$B$9*I4</f>
        <v>1.1061521411958863</v>
      </c>
      <c r="K4">
        <f>$B$10*I4</f>
        <v>3.6988175107357182</v>
      </c>
      <c r="L4">
        <f>$B$11*I4</f>
        <v>0.31826131781776373</v>
      </c>
      <c r="N4" t="s">
        <v>169</v>
      </c>
      <c r="O4">
        <v>0.20300000000000001</v>
      </c>
      <c r="P4">
        <v>3.5099999999999999E-2</v>
      </c>
      <c r="Q4">
        <v>5.3100000000000001E-2</v>
      </c>
    </row>
    <row r="5" spans="1:17" x14ac:dyDescent="0.25">
      <c r="A5" t="s">
        <v>134</v>
      </c>
      <c r="B5">
        <v>9.5299999999999994</v>
      </c>
      <c r="D5" t="s">
        <v>134</v>
      </c>
      <c r="E5">
        <v>3.51</v>
      </c>
      <c r="F5">
        <f>$E$2*(E5/100)</f>
        <v>7.0200000000000002E-3</v>
      </c>
      <c r="I5">
        <v>1</v>
      </c>
      <c r="J5">
        <f t="shared" ref="J5:J27" si="0">$B$9*I5</f>
        <v>2.2123042823917727</v>
      </c>
      <c r="K5">
        <f t="shared" ref="K5:K27" si="1">$B$10*I5</f>
        <v>7.3976350214714364</v>
      </c>
      <c r="L5">
        <f t="shared" ref="L5:L27" si="2">$B$11*I5</f>
        <v>0.63652263563552747</v>
      </c>
      <c r="N5" t="s">
        <v>121</v>
      </c>
      <c r="O5" t="s">
        <v>132</v>
      </c>
    </row>
    <row r="6" spans="1:17" x14ac:dyDescent="0.25">
      <c r="A6" t="s">
        <v>135</v>
      </c>
      <c r="B6">
        <v>0.82</v>
      </c>
      <c r="D6" t="s">
        <v>135</v>
      </c>
      <c r="E6">
        <v>5.31</v>
      </c>
      <c r="F6">
        <f>$E$2*(E6/100)</f>
        <v>1.0619999999999999E-2</v>
      </c>
      <c r="I6">
        <v>2</v>
      </c>
      <c r="J6">
        <f t="shared" si="0"/>
        <v>4.4246085647835454</v>
      </c>
      <c r="K6">
        <f t="shared" si="1"/>
        <v>14.795270042942873</v>
      </c>
      <c r="L6">
        <f t="shared" si="2"/>
        <v>1.2730452712710549</v>
      </c>
      <c r="N6">
        <v>0.5</v>
      </c>
      <c r="O6">
        <f>$C$9*N6</f>
        <v>1.1264521411958863</v>
      </c>
      <c r="P6">
        <f>$C$10*N6</f>
        <v>3.7023275107357181</v>
      </c>
      <c r="Q6">
        <f>$C$11*N6</f>
        <v>0.32357131781776372</v>
      </c>
    </row>
    <row r="7" spans="1:17" x14ac:dyDescent="0.25">
      <c r="I7">
        <v>3</v>
      </c>
      <c r="J7">
        <f t="shared" si="0"/>
        <v>6.636912847175318</v>
      </c>
      <c r="K7">
        <f t="shared" si="1"/>
        <v>22.192905064414308</v>
      </c>
      <c r="L7">
        <f t="shared" si="2"/>
        <v>1.9095679069065823</v>
      </c>
      <c r="N7">
        <v>1</v>
      </c>
      <c r="O7">
        <f t="shared" ref="O7:O29" si="3">$C$9*N7</f>
        <v>2.2529042823917727</v>
      </c>
      <c r="P7">
        <f t="shared" ref="P7:P29" si="4">$C$10*N7</f>
        <v>7.4046550214714362</v>
      </c>
      <c r="Q7">
        <f t="shared" ref="Q7:Q29" si="5">$C$11*N7</f>
        <v>0.64714263563552743</v>
      </c>
    </row>
    <row r="8" spans="1:17" x14ac:dyDescent="0.25">
      <c r="A8" s="35" t="s">
        <v>88</v>
      </c>
      <c r="B8" t="s">
        <v>171</v>
      </c>
      <c r="C8" t="s">
        <v>172</v>
      </c>
      <c r="I8">
        <v>4</v>
      </c>
      <c r="J8">
        <f t="shared" si="0"/>
        <v>8.8492171295670907</v>
      </c>
      <c r="K8">
        <f t="shared" si="1"/>
        <v>29.590540085885745</v>
      </c>
      <c r="L8">
        <f t="shared" si="2"/>
        <v>2.5460905425421099</v>
      </c>
      <c r="N8">
        <v>2</v>
      </c>
      <c r="O8">
        <f t="shared" si="3"/>
        <v>4.5058085647835453</v>
      </c>
      <c r="P8">
        <f t="shared" si="4"/>
        <v>14.809310042942872</v>
      </c>
      <c r="Q8">
        <f t="shared" si="5"/>
        <v>1.2942852712710549</v>
      </c>
    </row>
    <row r="9" spans="1:17" x14ac:dyDescent="0.25">
      <c r="A9" t="s">
        <v>133</v>
      </c>
      <c r="B9">
        <f>B2*(B4/100)</f>
        <v>2.2123042823917727</v>
      </c>
      <c r="C9">
        <f>$B$2*(B4/100)+$E$2*(E4/100)</f>
        <v>2.2529042823917727</v>
      </c>
      <c r="I9">
        <v>5</v>
      </c>
      <c r="J9">
        <f t="shared" si="0"/>
        <v>11.061521411958864</v>
      </c>
      <c r="K9">
        <f t="shared" si="1"/>
        <v>36.988175107357179</v>
      </c>
      <c r="L9">
        <f t="shared" si="2"/>
        <v>3.1826131781776374</v>
      </c>
      <c r="N9">
        <v>3</v>
      </c>
      <c r="O9">
        <f t="shared" si="3"/>
        <v>6.7587128471753175</v>
      </c>
      <c r="P9">
        <f t="shared" si="4"/>
        <v>22.21396506441431</v>
      </c>
      <c r="Q9">
        <f t="shared" si="5"/>
        <v>1.9414279069065823</v>
      </c>
    </row>
    <row r="10" spans="1:17" x14ac:dyDescent="0.25">
      <c r="A10" t="s">
        <v>134</v>
      </c>
      <c r="B10">
        <f>B2*(B5/100)</f>
        <v>7.3976350214714364</v>
      </c>
      <c r="C10">
        <f>$B$2*(B5/100)+$E$2*(E5/100)</f>
        <v>7.4046550214714362</v>
      </c>
      <c r="I10">
        <v>6</v>
      </c>
      <c r="J10">
        <f t="shared" si="0"/>
        <v>13.273825694350636</v>
      </c>
      <c r="K10">
        <f t="shared" si="1"/>
        <v>44.385810128828616</v>
      </c>
      <c r="L10">
        <f t="shared" si="2"/>
        <v>3.8191358138131646</v>
      </c>
      <c r="N10">
        <v>4</v>
      </c>
      <c r="O10">
        <f t="shared" si="3"/>
        <v>9.0116171295670906</v>
      </c>
      <c r="P10">
        <f t="shared" si="4"/>
        <v>29.618620085885745</v>
      </c>
      <c r="Q10">
        <f t="shared" si="5"/>
        <v>2.5885705425421097</v>
      </c>
    </row>
    <row r="11" spans="1:17" x14ac:dyDescent="0.25">
      <c r="A11" t="s">
        <v>135</v>
      </c>
      <c r="B11">
        <f>B2*(B6/100)</f>
        <v>0.63652263563552747</v>
      </c>
      <c r="C11">
        <f>$B$2*(B6/100)+$E$2*(E6/100)</f>
        <v>0.64714263563552743</v>
      </c>
      <c r="I11">
        <v>7</v>
      </c>
      <c r="J11">
        <f t="shared" si="0"/>
        <v>15.486129976742408</v>
      </c>
      <c r="K11">
        <f t="shared" si="1"/>
        <v>51.783445150300054</v>
      </c>
      <c r="L11">
        <f t="shared" si="2"/>
        <v>4.4556584494486922</v>
      </c>
      <c r="N11">
        <v>5</v>
      </c>
      <c r="O11">
        <f t="shared" si="3"/>
        <v>11.264521411958864</v>
      </c>
      <c r="P11">
        <f t="shared" si="4"/>
        <v>37.023275107357179</v>
      </c>
      <c r="Q11">
        <f t="shared" si="5"/>
        <v>3.2357131781776372</v>
      </c>
    </row>
    <row r="12" spans="1:17" x14ac:dyDescent="0.25">
      <c r="I12">
        <v>8</v>
      </c>
      <c r="J12">
        <f t="shared" si="0"/>
        <v>17.698434259134181</v>
      </c>
      <c r="K12">
        <f t="shared" si="1"/>
        <v>59.181080171771491</v>
      </c>
      <c r="L12">
        <f t="shared" si="2"/>
        <v>5.0921810850842197</v>
      </c>
      <c r="N12">
        <v>6</v>
      </c>
      <c r="O12">
        <f t="shared" si="3"/>
        <v>13.517425694350635</v>
      </c>
      <c r="P12">
        <f t="shared" si="4"/>
        <v>44.427930128828621</v>
      </c>
      <c r="Q12">
        <f t="shared" si="5"/>
        <v>3.8828558138131646</v>
      </c>
    </row>
    <row r="13" spans="1:17" x14ac:dyDescent="0.25">
      <c r="A13" t="s">
        <v>175</v>
      </c>
      <c r="I13">
        <v>9</v>
      </c>
      <c r="J13">
        <f t="shared" si="0"/>
        <v>19.910738541525955</v>
      </c>
      <c r="K13">
        <f t="shared" si="1"/>
        <v>66.578715193242928</v>
      </c>
      <c r="L13">
        <f t="shared" si="2"/>
        <v>5.7287037207197473</v>
      </c>
      <c r="N13">
        <v>7</v>
      </c>
      <c r="O13">
        <f t="shared" si="3"/>
        <v>15.770329976742408</v>
      </c>
      <c r="P13">
        <f t="shared" si="4"/>
        <v>51.832585150300055</v>
      </c>
      <c r="Q13">
        <f t="shared" si="5"/>
        <v>4.5299984494486925</v>
      </c>
    </row>
    <row r="14" spans="1:17" x14ac:dyDescent="0.25">
      <c r="I14">
        <v>10</v>
      </c>
      <c r="J14">
        <f t="shared" si="0"/>
        <v>22.123042823917729</v>
      </c>
      <c r="K14">
        <f t="shared" si="1"/>
        <v>73.976350214714358</v>
      </c>
      <c r="L14">
        <f t="shared" si="2"/>
        <v>6.3652263563552749</v>
      </c>
      <c r="N14">
        <v>8</v>
      </c>
      <c r="O14">
        <f t="shared" si="3"/>
        <v>18.023234259134181</v>
      </c>
      <c r="P14">
        <f t="shared" si="4"/>
        <v>59.237240171771489</v>
      </c>
      <c r="Q14">
        <f t="shared" si="5"/>
        <v>5.1771410850842194</v>
      </c>
    </row>
    <row r="15" spans="1:17" x14ac:dyDescent="0.25">
      <c r="I15">
        <v>11</v>
      </c>
      <c r="J15">
        <f t="shared" si="0"/>
        <v>24.335347106309499</v>
      </c>
      <c r="K15">
        <f t="shared" si="1"/>
        <v>81.373985236185803</v>
      </c>
      <c r="L15">
        <f t="shared" si="2"/>
        <v>7.0017489919908025</v>
      </c>
      <c r="N15">
        <v>9</v>
      </c>
      <c r="O15">
        <f t="shared" si="3"/>
        <v>20.276138541525953</v>
      </c>
      <c r="P15">
        <f t="shared" si="4"/>
        <v>66.641895193242931</v>
      </c>
      <c r="Q15">
        <f t="shared" si="5"/>
        <v>5.8242837207197464</v>
      </c>
    </row>
    <row r="16" spans="1:17" x14ac:dyDescent="0.25">
      <c r="A16" t="s">
        <v>164</v>
      </c>
      <c r="B16" t="s">
        <v>143</v>
      </c>
      <c r="C16" t="s">
        <v>129</v>
      </c>
      <c r="I16">
        <v>12</v>
      </c>
      <c r="J16">
        <f t="shared" si="0"/>
        <v>26.547651388701272</v>
      </c>
      <c r="K16">
        <f t="shared" si="1"/>
        <v>88.771620257657233</v>
      </c>
      <c r="L16">
        <f t="shared" si="2"/>
        <v>7.6382716276263292</v>
      </c>
      <c r="N16">
        <v>10</v>
      </c>
      <c r="O16">
        <f t="shared" si="3"/>
        <v>22.529042823917727</v>
      </c>
      <c r="P16">
        <f t="shared" si="4"/>
        <v>74.046550214714358</v>
      </c>
      <c r="Q16">
        <f t="shared" si="5"/>
        <v>6.4714263563552743</v>
      </c>
    </row>
    <row r="17" spans="1:17" x14ac:dyDescent="0.25">
      <c r="I17">
        <v>13</v>
      </c>
      <c r="J17">
        <f t="shared" si="0"/>
        <v>28.759955671093046</v>
      </c>
      <c r="K17">
        <f t="shared" si="1"/>
        <v>96.169255279128677</v>
      </c>
      <c r="L17">
        <f t="shared" si="2"/>
        <v>8.2747942632618567</v>
      </c>
      <c r="N17">
        <v>11</v>
      </c>
      <c r="O17">
        <f t="shared" si="3"/>
        <v>24.781947106309499</v>
      </c>
      <c r="P17">
        <f t="shared" si="4"/>
        <v>81.4512052361858</v>
      </c>
      <c r="Q17">
        <f t="shared" si="5"/>
        <v>7.1185689919908022</v>
      </c>
    </row>
    <row r="18" spans="1:17" x14ac:dyDescent="0.25">
      <c r="A18" t="s">
        <v>136</v>
      </c>
      <c r="I18">
        <v>14</v>
      </c>
      <c r="J18">
        <f t="shared" si="0"/>
        <v>30.972259953484816</v>
      </c>
      <c r="K18">
        <f t="shared" si="1"/>
        <v>103.56689030060011</v>
      </c>
      <c r="L18">
        <f t="shared" si="2"/>
        <v>8.9113168988973843</v>
      </c>
      <c r="N18">
        <v>12</v>
      </c>
      <c r="O18">
        <f t="shared" si="3"/>
        <v>27.03485138870127</v>
      </c>
      <c r="P18">
        <f t="shared" si="4"/>
        <v>88.855860257657241</v>
      </c>
      <c r="Q18">
        <f t="shared" si="5"/>
        <v>7.7657116276263292</v>
      </c>
    </row>
    <row r="19" spans="1:17" x14ac:dyDescent="0.25">
      <c r="A19" t="s">
        <v>142</v>
      </c>
      <c r="B19">
        <v>1.89</v>
      </c>
      <c r="C19">
        <f>10^B19</f>
        <v>77.624711662869217</v>
      </c>
      <c r="I19">
        <v>15</v>
      </c>
      <c r="J19">
        <f t="shared" si="0"/>
        <v>33.184564235876593</v>
      </c>
      <c r="K19">
        <f t="shared" si="1"/>
        <v>110.96452532207155</v>
      </c>
      <c r="L19">
        <f t="shared" si="2"/>
        <v>9.5478395345329119</v>
      </c>
      <c r="N19">
        <v>13</v>
      </c>
      <c r="O19">
        <f t="shared" si="3"/>
        <v>29.287755671093045</v>
      </c>
      <c r="P19">
        <f t="shared" si="4"/>
        <v>96.260515279128668</v>
      </c>
      <c r="Q19">
        <f t="shared" si="5"/>
        <v>8.4128542632618561</v>
      </c>
    </row>
    <row r="20" spans="1:17" x14ac:dyDescent="0.25">
      <c r="A20" t="s">
        <v>144</v>
      </c>
      <c r="B20">
        <v>2.63</v>
      </c>
      <c r="C20">
        <f>10^B20</f>
        <v>426.57951880159294</v>
      </c>
      <c r="I20">
        <v>16</v>
      </c>
      <c r="J20">
        <f t="shared" si="0"/>
        <v>35.396868518268363</v>
      </c>
      <c r="K20">
        <f t="shared" si="1"/>
        <v>118.36216034354298</v>
      </c>
      <c r="L20">
        <f t="shared" si="2"/>
        <v>10.184362170168439</v>
      </c>
      <c r="N20">
        <v>14</v>
      </c>
      <c r="O20">
        <f t="shared" si="3"/>
        <v>31.540659953484816</v>
      </c>
      <c r="P20">
        <f t="shared" si="4"/>
        <v>103.66517030060011</v>
      </c>
      <c r="Q20">
        <f t="shared" si="5"/>
        <v>9.0599968988973849</v>
      </c>
    </row>
    <row r="21" spans="1:17" x14ac:dyDescent="0.25">
      <c r="I21">
        <v>17</v>
      </c>
      <c r="J21">
        <f t="shared" si="0"/>
        <v>37.609172800660133</v>
      </c>
      <c r="K21">
        <f t="shared" si="1"/>
        <v>125.75979536501441</v>
      </c>
      <c r="L21">
        <f t="shared" si="2"/>
        <v>10.820884805803967</v>
      </c>
      <c r="N21">
        <v>15</v>
      </c>
      <c r="O21">
        <f t="shared" si="3"/>
        <v>33.793564235876588</v>
      </c>
      <c r="P21">
        <f t="shared" si="4"/>
        <v>111.06982532207154</v>
      </c>
      <c r="Q21">
        <f t="shared" si="5"/>
        <v>9.7071395345329119</v>
      </c>
    </row>
    <row r="22" spans="1:17" x14ac:dyDescent="0.25">
      <c r="A22" s="70" t="s">
        <v>165</v>
      </c>
      <c r="B22" s="8">
        <v>2.0289999999999999</v>
      </c>
      <c r="C22" s="8">
        <v>106.8</v>
      </c>
      <c r="I22">
        <v>18</v>
      </c>
      <c r="J22">
        <f t="shared" si="0"/>
        <v>39.82147708305191</v>
      </c>
      <c r="K22">
        <f t="shared" si="1"/>
        <v>133.15743038648586</v>
      </c>
      <c r="L22">
        <f t="shared" si="2"/>
        <v>11.457407441439495</v>
      </c>
      <c r="N22">
        <v>16</v>
      </c>
      <c r="O22">
        <f t="shared" si="3"/>
        <v>36.046468518268362</v>
      </c>
      <c r="P22">
        <f t="shared" si="4"/>
        <v>118.47448034354298</v>
      </c>
      <c r="Q22">
        <f t="shared" si="5"/>
        <v>10.354282170168439</v>
      </c>
    </row>
    <row r="23" spans="1:17" x14ac:dyDescent="0.25">
      <c r="I23">
        <v>19</v>
      </c>
      <c r="J23">
        <f t="shared" si="0"/>
        <v>42.03378136544368</v>
      </c>
      <c r="K23">
        <f t="shared" si="1"/>
        <v>140.5550654079573</v>
      </c>
      <c r="L23">
        <f t="shared" si="2"/>
        <v>12.093930077075022</v>
      </c>
      <c r="N23">
        <v>17</v>
      </c>
      <c r="O23">
        <f t="shared" si="3"/>
        <v>38.299372800660137</v>
      </c>
      <c r="P23">
        <f t="shared" si="4"/>
        <v>125.87913536501442</v>
      </c>
      <c r="Q23">
        <f t="shared" si="5"/>
        <v>11.001424805803966</v>
      </c>
    </row>
    <row r="24" spans="1:17" x14ac:dyDescent="0.25">
      <c r="I24">
        <v>20</v>
      </c>
      <c r="J24">
        <f t="shared" si="0"/>
        <v>44.246085647835457</v>
      </c>
      <c r="K24">
        <f t="shared" si="1"/>
        <v>147.95270042942872</v>
      </c>
      <c r="L24">
        <f t="shared" si="2"/>
        <v>12.73045271271055</v>
      </c>
      <c r="N24">
        <v>18</v>
      </c>
      <c r="O24">
        <f t="shared" si="3"/>
        <v>40.552277083051905</v>
      </c>
      <c r="P24">
        <f t="shared" si="4"/>
        <v>133.28379038648586</v>
      </c>
      <c r="Q24">
        <f t="shared" si="5"/>
        <v>11.648567441439493</v>
      </c>
    </row>
    <row r="25" spans="1:17" x14ac:dyDescent="0.25">
      <c r="I25">
        <v>21</v>
      </c>
      <c r="J25">
        <f t="shared" si="0"/>
        <v>46.458389930227227</v>
      </c>
      <c r="K25">
        <f t="shared" si="1"/>
        <v>155.35033545090016</v>
      </c>
      <c r="L25">
        <f t="shared" si="2"/>
        <v>13.366975348346077</v>
      </c>
      <c r="N25">
        <v>19</v>
      </c>
      <c r="O25">
        <f t="shared" si="3"/>
        <v>42.80518136544368</v>
      </c>
      <c r="P25">
        <f t="shared" si="4"/>
        <v>140.68844540795729</v>
      </c>
      <c r="Q25">
        <f t="shared" si="5"/>
        <v>12.295710077075022</v>
      </c>
    </row>
    <row r="26" spans="1:17" x14ac:dyDescent="0.25">
      <c r="I26">
        <v>22</v>
      </c>
      <c r="J26">
        <f t="shared" si="0"/>
        <v>48.670694212618997</v>
      </c>
      <c r="K26">
        <f t="shared" si="1"/>
        <v>162.74797047237161</v>
      </c>
      <c r="L26">
        <f t="shared" si="2"/>
        <v>14.003497983981605</v>
      </c>
      <c r="N26">
        <v>20</v>
      </c>
      <c r="O26">
        <f t="shared" si="3"/>
        <v>45.058085647835455</v>
      </c>
      <c r="P26">
        <f t="shared" si="4"/>
        <v>148.09310042942872</v>
      </c>
      <c r="Q26">
        <f t="shared" si="5"/>
        <v>12.942852712710549</v>
      </c>
    </row>
    <row r="27" spans="1:17" x14ac:dyDescent="0.25">
      <c r="I27">
        <v>23</v>
      </c>
      <c r="J27">
        <f t="shared" si="0"/>
        <v>50.882998495010774</v>
      </c>
      <c r="K27">
        <f t="shared" si="1"/>
        <v>170.14560549384305</v>
      </c>
      <c r="L27">
        <f t="shared" si="2"/>
        <v>14.640020619617133</v>
      </c>
      <c r="N27">
        <v>21</v>
      </c>
      <c r="O27">
        <f t="shared" si="3"/>
        <v>47.310989930227223</v>
      </c>
      <c r="P27">
        <f t="shared" si="4"/>
        <v>155.49775545090017</v>
      </c>
      <c r="Q27">
        <f t="shared" si="5"/>
        <v>13.589995348346076</v>
      </c>
    </row>
    <row r="28" spans="1:17" x14ac:dyDescent="0.25">
      <c r="N28">
        <v>22</v>
      </c>
      <c r="O28">
        <f t="shared" si="3"/>
        <v>49.563894212618997</v>
      </c>
      <c r="P28">
        <f t="shared" si="4"/>
        <v>162.9024104723716</v>
      </c>
      <c r="Q28">
        <f t="shared" si="5"/>
        <v>14.237137983981604</v>
      </c>
    </row>
    <row r="29" spans="1:17" x14ac:dyDescent="0.25">
      <c r="N29">
        <v>23</v>
      </c>
      <c r="O29">
        <f t="shared" si="3"/>
        <v>51.816798495010772</v>
      </c>
      <c r="P29">
        <f t="shared" si="4"/>
        <v>170.30706549384303</v>
      </c>
      <c r="Q29">
        <f t="shared" si="5"/>
        <v>14.884280619617131</v>
      </c>
    </row>
    <row r="30" spans="1:17" x14ac:dyDescent="0.25">
      <c r="H30" t="s">
        <v>145</v>
      </c>
    </row>
    <row r="31" spans="1:17" x14ac:dyDescent="0.25">
      <c r="H31" t="s">
        <v>146</v>
      </c>
      <c r="J31" t="s">
        <v>133</v>
      </c>
    </row>
    <row r="32" spans="1:17" x14ac:dyDescent="0.25">
      <c r="I32" t="s">
        <v>120</v>
      </c>
      <c r="J32" t="s">
        <v>147</v>
      </c>
    </row>
    <row r="33" spans="8:10" x14ac:dyDescent="0.25">
      <c r="H33" s="16" t="s">
        <v>21</v>
      </c>
      <c r="I33" s="3">
        <v>0</v>
      </c>
      <c r="J33">
        <v>0</v>
      </c>
    </row>
    <row r="34" spans="8:10" x14ac:dyDescent="0.25">
      <c r="H34" s="14" t="s">
        <v>22</v>
      </c>
      <c r="I34" s="8">
        <v>0</v>
      </c>
      <c r="J34">
        <v>0</v>
      </c>
    </row>
    <row r="35" spans="8:10" x14ac:dyDescent="0.25">
      <c r="H35" s="14" t="s">
        <v>29</v>
      </c>
      <c r="I35" s="8">
        <v>0</v>
      </c>
      <c r="J35">
        <v>0</v>
      </c>
    </row>
    <row r="36" spans="8:10" x14ac:dyDescent="0.25">
      <c r="H36" s="15" t="s">
        <v>30</v>
      </c>
      <c r="I36" s="7">
        <v>0</v>
      </c>
      <c r="J36">
        <v>0</v>
      </c>
    </row>
    <row r="37" spans="8:10" x14ac:dyDescent="0.25">
      <c r="H37" s="36" t="s">
        <v>31</v>
      </c>
      <c r="I37" s="38">
        <v>0.9829802144537918</v>
      </c>
      <c r="J37">
        <v>0.60680791421848324</v>
      </c>
    </row>
    <row r="38" spans="8:10" x14ac:dyDescent="0.25">
      <c r="H38" s="37" t="s">
        <v>32</v>
      </c>
      <c r="I38" s="28">
        <v>1.1063059864123563</v>
      </c>
      <c r="J38">
        <v>0.55747760543505742</v>
      </c>
    </row>
    <row r="39" spans="8:10" x14ac:dyDescent="0.25">
      <c r="H39" s="37" t="s">
        <v>34</v>
      </c>
      <c r="I39" s="28">
        <v>1.0477070524455259</v>
      </c>
      <c r="J39">
        <v>0.58091717902178963</v>
      </c>
    </row>
    <row r="40" spans="8:10" x14ac:dyDescent="0.25">
      <c r="H40" s="15" t="s">
        <v>35</v>
      </c>
      <c r="I40" s="39">
        <v>1.4147816769410015</v>
      </c>
      <c r="J40">
        <v>0.43408732922359938</v>
      </c>
    </row>
    <row r="41" spans="8:10" x14ac:dyDescent="0.25">
      <c r="H41" s="16" t="s">
        <v>36</v>
      </c>
      <c r="I41" s="38">
        <v>3.5361811929188036</v>
      </c>
      <c r="J41">
        <v>1.5855275228324786</v>
      </c>
    </row>
    <row r="42" spans="8:10" x14ac:dyDescent="0.25">
      <c r="H42" s="14" t="s">
        <v>37</v>
      </c>
      <c r="I42" s="28">
        <v>3.1890892591613191</v>
      </c>
      <c r="J42">
        <v>1.7243642963354724</v>
      </c>
    </row>
    <row r="43" spans="8:10" x14ac:dyDescent="0.25">
      <c r="H43" s="14" t="s">
        <v>38</v>
      </c>
      <c r="I43" s="28">
        <v>2.7452091481921088</v>
      </c>
      <c r="J43">
        <v>1.9019163407231567</v>
      </c>
    </row>
    <row r="44" spans="8:10" ht="15.75" thickBot="1" x14ac:dyDescent="0.3">
      <c r="H44" s="15" t="s">
        <v>39</v>
      </c>
      <c r="I44" s="39">
        <v>2.9624794591714503</v>
      </c>
      <c r="J44">
        <v>1.8150082163314198</v>
      </c>
    </row>
    <row r="45" spans="8:10" x14ac:dyDescent="0.25">
      <c r="H45" s="62" t="s">
        <v>101</v>
      </c>
      <c r="I45" s="52">
        <v>3.5905679683171878</v>
      </c>
      <c r="J45">
        <v>3.5637728126731245</v>
      </c>
    </row>
    <row r="46" spans="8:10" x14ac:dyDescent="0.25">
      <c r="H46" s="65" t="s">
        <v>102</v>
      </c>
      <c r="I46" s="8">
        <v>4.6444420154962476</v>
      </c>
      <c r="J46">
        <v>3.1422231938015011</v>
      </c>
    </row>
    <row r="47" spans="8:10" x14ac:dyDescent="0.25">
      <c r="H47" s="65" t="s">
        <v>103</v>
      </c>
      <c r="I47" s="8">
        <v>2.8498269743329834</v>
      </c>
      <c r="J47">
        <v>3.8600692102668064</v>
      </c>
    </row>
    <row r="48" spans="8:10" ht="15.75" thickBot="1" x14ac:dyDescent="0.3">
      <c r="H48" s="67" t="s">
        <v>104</v>
      </c>
      <c r="I48" s="55">
        <v>3.0152684395726053</v>
      </c>
      <c r="J48">
        <v>3.7938926241709581</v>
      </c>
    </row>
    <row r="49" spans="8:10" x14ac:dyDescent="0.25">
      <c r="H49" s="37" t="s">
        <v>105</v>
      </c>
      <c r="I49" s="8">
        <v>6.6109212053615325</v>
      </c>
      <c r="J49">
        <v>7.3556315178553877</v>
      </c>
    </row>
    <row r="50" spans="8:10" x14ac:dyDescent="0.25">
      <c r="H50" s="14" t="s">
        <v>106</v>
      </c>
      <c r="I50" s="8">
        <v>8.4769089249288392</v>
      </c>
      <c r="J50">
        <v>6.6092364300284645</v>
      </c>
    </row>
    <row r="51" spans="8:10" x14ac:dyDescent="0.25">
      <c r="H51" s="14" t="s">
        <v>107</v>
      </c>
      <c r="I51" s="8">
        <v>8.6591963170557591</v>
      </c>
      <c r="J51">
        <v>6.5363214731776962</v>
      </c>
    </row>
    <row r="52" spans="8:10" x14ac:dyDescent="0.25">
      <c r="H52" s="15" t="s">
        <v>108</v>
      </c>
      <c r="I52" s="7">
        <v>8.5173873601461985</v>
      </c>
      <c r="J52">
        <v>6.5930450559415208</v>
      </c>
    </row>
    <row r="53" spans="8:10" x14ac:dyDescent="0.25">
      <c r="H53" s="16" t="s">
        <v>109</v>
      </c>
      <c r="I53" s="3">
        <v>18.962392811401685</v>
      </c>
      <c r="J53">
        <v>12.415042875439326</v>
      </c>
    </row>
    <row r="54" spans="8:10" x14ac:dyDescent="0.25">
      <c r="H54" s="14" t="s">
        <v>110</v>
      </c>
      <c r="I54" s="8">
        <v>22.328592834729399</v>
      </c>
      <c r="J54">
        <v>11.068562866108241</v>
      </c>
    </row>
    <row r="55" spans="8:10" x14ac:dyDescent="0.25">
      <c r="H55" s="14" t="s">
        <v>111</v>
      </c>
      <c r="I55" s="8">
        <v>11.861957472946635</v>
      </c>
      <c r="J55">
        <v>15.255217010821346</v>
      </c>
    </row>
    <row r="56" spans="8:10" x14ac:dyDescent="0.25">
      <c r="H56" s="15" t="s">
        <v>112</v>
      </c>
      <c r="I56" s="7">
        <v>11.989479377939118</v>
      </c>
      <c r="J56">
        <v>15.204208248824353</v>
      </c>
    </row>
    <row r="58" spans="8:10" x14ac:dyDescent="0.25">
      <c r="H58" t="s">
        <v>145</v>
      </c>
      <c r="J58" t="s">
        <v>133</v>
      </c>
    </row>
    <row r="59" spans="8:10" x14ac:dyDescent="0.25">
      <c r="H59" t="s">
        <v>148</v>
      </c>
      <c r="I59" t="s">
        <v>120</v>
      </c>
      <c r="J59" t="s">
        <v>147</v>
      </c>
    </row>
    <row r="60" spans="8:10" x14ac:dyDescent="0.25">
      <c r="H60" t="s">
        <v>149</v>
      </c>
      <c r="I60">
        <v>0</v>
      </c>
      <c r="J60">
        <v>0</v>
      </c>
    </row>
    <row r="61" spans="8:10" x14ac:dyDescent="0.25">
      <c r="H61" t="s">
        <v>150</v>
      </c>
      <c r="I61">
        <v>0</v>
      </c>
      <c r="J61">
        <v>0</v>
      </c>
    </row>
    <row r="62" spans="8:10" x14ac:dyDescent="0.25">
      <c r="H62" t="s">
        <v>151</v>
      </c>
      <c r="I62">
        <v>1.0446431004330741</v>
      </c>
      <c r="J62">
        <v>0.58214275982677033</v>
      </c>
    </row>
    <row r="63" spans="8:10" x14ac:dyDescent="0.25">
      <c r="H63" t="s">
        <v>152</v>
      </c>
      <c r="I63">
        <v>1.2312443646932638</v>
      </c>
      <c r="J63">
        <v>0.50750225412269456</v>
      </c>
    </row>
    <row r="64" spans="8:10" x14ac:dyDescent="0.25">
      <c r="H64" t="s">
        <v>153</v>
      </c>
      <c r="I64">
        <v>3.3626352260400614</v>
      </c>
      <c r="J64">
        <v>1.6549459095839754</v>
      </c>
    </row>
    <row r="65" spans="8:10" x14ac:dyDescent="0.25">
      <c r="H65" t="s">
        <v>154</v>
      </c>
      <c r="I65">
        <v>2.8538443036817798</v>
      </c>
      <c r="J65">
        <v>1.8584622785272882</v>
      </c>
    </row>
    <row r="66" spans="8:10" x14ac:dyDescent="0.25">
      <c r="H66" t="s">
        <v>155</v>
      </c>
      <c r="I66">
        <v>4.1175049919067179</v>
      </c>
      <c r="J66">
        <v>3.352998003237313</v>
      </c>
    </row>
    <row r="67" spans="8:10" x14ac:dyDescent="0.25">
      <c r="H67" t="s">
        <v>156</v>
      </c>
      <c r="I67">
        <v>2.9325477069527945</v>
      </c>
      <c r="J67">
        <v>3.826980917218882</v>
      </c>
    </row>
    <row r="68" spans="8:10" x14ac:dyDescent="0.25">
      <c r="H68" t="s">
        <v>157</v>
      </c>
      <c r="I68">
        <v>7.5439150651451854</v>
      </c>
      <c r="J68">
        <v>6.9824339739419266</v>
      </c>
    </row>
    <row r="69" spans="8:10" x14ac:dyDescent="0.25">
      <c r="H69" t="s">
        <v>158</v>
      </c>
      <c r="I69">
        <v>8.5882918386009788</v>
      </c>
      <c r="J69">
        <v>6.5646832645596085</v>
      </c>
    </row>
    <row r="70" spans="8:10" x14ac:dyDescent="0.25">
      <c r="H70" t="s">
        <v>159</v>
      </c>
      <c r="I70">
        <v>20.645492823065542</v>
      </c>
      <c r="J70">
        <v>11.741802870773784</v>
      </c>
    </row>
    <row r="71" spans="8:10" x14ac:dyDescent="0.25">
      <c r="H71" t="s">
        <v>160</v>
      </c>
      <c r="I71">
        <v>11.925718425442877</v>
      </c>
      <c r="J71">
        <v>15.229712629822849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3169-C761-4346-A846-D0307951E153}">
  <dimension ref="A1:U71"/>
  <sheetViews>
    <sheetView workbookViewId="0">
      <selection activeCell="F1" sqref="F1"/>
    </sheetView>
  </sheetViews>
  <sheetFormatPr baseColWidth="10" defaultRowHeight="15" x14ac:dyDescent="0.25"/>
  <cols>
    <col min="1" max="1" width="23.140625" bestFit="1" customWidth="1"/>
    <col min="6" max="6" width="19.85546875" bestFit="1" customWidth="1"/>
    <col min="11" max="11" width="18.28515625" bestFit="1" customWidth="1"/>
    <col min="13" max="13" width="15" bestFit="1" customWidth="1"/>
    <col min="15" max="15" width="18.28515625" bestFit="1" customWidth="1"/>
    <col min="16" max="16" width="19.28515625" customWidth="1"/>
    <col min="17" max="17" width="12" bestFit="1" customWidth="1"/>
    <col min="18" max="18" width="15.7109375" bestFit="1" customWidth="1"/>
    <col min="19" max="20" width="17.42578125" bestFit="1" customWidth="1"/>
  </cols>
  <sheetData>
    <row r="1" spans="1:15" x14ac:dyDescent="0.25">
      <c r="A1" t="s">
        <v>230</v>
      </c>
      <c r="F1" t="s">
        <v>236</v>
      </c>
    </row>
    <row r="2" spans="1:15" x14ac:dyDescent="0.25">
      <c r="A2" t="s">
        <v>231</v>
      </c>
    </row>
    <row r="3" spans="1:15" x14ac:dyDescent="0.25">
      <c r="C3" s="35" t="s">
        <v>130</v>
      </c>
      <c r="N3" t="s">
        <v>227</v>
      </c>
    </row>
    <row r="4" spans="1:15" x14ac:dyDescent="0.25">
      <c r="A4" s="35" t="s">
        <v>217</v>
      </c>
      <c r="C4" t="s">
        <v>133</v>
      </c>
      <c r="D4">
        <v>2.85</v>
      </c>
      <c r="G4" t="s">
        <v>202</v>
      </c>
      <c r="H4" t="s">
        <v>42</v>
      </c>
      <c r="K4" s="35" t="s">
        <v>225</v>
      </c>
      <c r="M4" t="s">
        <v>226</v>
      </c>
    </row>
    <row r="5" spans="1:15" x14ac:dyDescent="0.25">
      <c r="A5" t="s">
        <v>218</v>
      </c>
      <c r="C5" t="s">
        <v>134</v>
      </c>
      <c r="D5">
        <v>9.5299999999999994</v>
      </c>
      <c r="F5" t="s">
        <v>129</v>
      </c>
      <c r="G5">
        <v>76</v>
      </c>
      <c r="H5">
        <v>25</v>
      </c>
      <c r="K5" t="s">
        <v>138</v>
      </c>
      <c r="L5" t="s">
        <v>176</v>
      </c>
      <c r="M5" t="s">
        <v>202</v>
      </c>
      <c r="N5" t="s">
        <v>176</v>
      </c>
      <c r="O5" t="s">
        <v>202</v>
      </c>
    </row>
    <row r="6" spans="1:15" x14ac:dyDescent="0.25">
      <c r="A6" t="s">
        <v>219</v>
      </c>
      <c r="C6" t="s">
        <v>135</v>
      </c>
      <c r="D6">
        <v>0.82</v>
      </c>
      <c r="L6" t="s">
        <v>121</v>
      </c>
      <c r="M6" t="s">
        <v>121</v>
      </c>
      <c r="N6" t="s">
        <v>132</v>
      </c>
      <c r="O6" t="s">
        <v>132</v>
      </c>
    </row>
    <row r="7" spans="1:15" x14ac:dyDescent="0.25">
      <c r="L7">
        <v>0.5</v>
      </c>
      <c r="M7">
        <f>L7*0.04</f>
        <v>0.02</v>
      </c>
      <c r="N7">
        <f>0.0285*(25*L7-76*M7)</f>
        <v>0.31293000000000004</v>
      </c>
      <c r="O7">
        <f>0.0285*(76*M7-25*L7)</f>
        <v>-0.31293000000000004</v>
      </c>
    </row>
    <row r="8" spans="1:15" x14ac:dyDescent="0.25">
      <c r="B8" t="s">
        <v>147</v>
      </c>
      <c r="C8" t="s">
        <v>88</v>
      </c>
      <c r="E8" t="s">
        <v>221</v>
      </c>
      <c r="F8" t="s">
        <v>222</v>
      </c>
      <c r="L8">
        <v>1</v>
      </c>
      <c r="M8">
        <f t="shared" ref="M8:M30" si="0">L8*0.04</f>
        <v>0.04</v>
      </c>
      <c r="N8">
        <f t="shared" ref="N8:N30" si="1">0.0285*(25*L8-76*M8)</f>
        <v>0.62586000000000008</v>
      </c>
      <c r="O8">
        <f t="shared" ref="O8:O30" si="2">0.0285*(76*M8-25*L8)</f>
        <v>-0.62586000000000008</v>
      </c>
    </row>
    <row r="9" spans="1:15" x14ac:dyDescent="0.25">
      <c r="A9" t="s">
        <v>203</v>
      </c>
      <c r="F9" t="s">
        <v>223</v>
      </c>
      <c r="L9">
        <v>2</v>
      </c>
      <c r="M9">
        <f t="shared" si="0"/>
        <v>0.08</v>
      </c>
      <c r="N9">
        <f t="shared" si="1"/>
        <v>1.2517200000000002</v>
      </c>
      <c r="O9">
        <f t="shared" si="2"/>
        <v>-1.2517200000000002</v>
      </c>
    </row>
    <row r="10" spans="1:15" x14ac:dyDescent="0.25">
      <c r="A10" t="s">
        <v>204</v>
      </c>
      <c r="L10">
        <v>3</v>
      </c>
      <c r="M10">
        <f t="shared" si="0"/>
        <v>0.12</v>
      </c>
      <c r="N10">
        <f t="shared" si="1"/>
        <v>1.87758</v>
      </c>
      <c r="O10">
        <f t="shared" si="2"/>
        <v>-1.87758</v>
      </c>
    </row>
    <row r="11" spans="1:15" x14ac:dyDescent="0.25">
      <c r="A11" t="s">
        <v>205</v>
      </c>
      <c r="B11">
        <f t="shared" ref="B11:B20" si="3">$D$4*((G29/(G29+B29))*$G$5+(B29/(G29+B29))*$H$5)*(G29+B29)</f>
        <v>83.492721961401784</v>
      </c>
      <c r="C11">
        <f t="shared" ref="C11:C20" si="4">B11*20/((B29*8)+(G29*8))</f>
        <v>192.11746146077411</v>
      </c>
      <c r="E11">
        <f>(C29+H29)/(B29+G29)</f>
        <v>0.58834712281570167</v>
      </c>
      <c r="F11">
        <f>(E11*100)/2.85</f>
        <v>20.643758695287779</v>
      </c>
      <c r="L11">
        <v>4</v>
      </c>
      <c r="M11">
        <f t="shared" si="0"/>
        <v>0.16</v>
      </c>
      <c r="N11">
        <f t="shared" si="1"/>
        <v>2.5034400000000003</v>
      </c>
      <c r="O11">
        <f t="shared" si="2"/>
        <v>-2.5034400000000003</v>
      </c>
    </row>
    <row r="12" spans="1:15" x14ac:dyDescent="0.25">
      <c r="A12" t="s">
        <v>206</v>
      </c>
      <c r="B12">
        <f t="shared" si="3"/>
        <v>96.51139946815664</v>
      </c>
      <c r="C12">
        <f t="shared" si="4"/>
        <v>189.71357210695368</v>
      </c>
      <c r="E12">
        <f t="shared" ref="E12:E20" si="5">(C30+H30)/(B30+G30)</f>
        <v>0.4473567914988027</v>
      </c>
      <c r="F12">
        <f t="shared" ref="F12:F20" si="6">(E12*100)/2.85</f>
        <v>15.696729526273778</v>
      </c>
      <c r="L12">
        <v>5</v>
      </c>
      <c r="M12">
        <f t="shared" si="0"/>
        <v>0.2</v>
      </c>
      <c r="N12">
        <f t="shared" si="1"/>
        <v>3.1293000000000002</v>
      </c>
      <c r="O12">
        <f t="shared" si="2"/>
        <v>-3.1293000000000002</v>
      </c>
    </row>
    <row r="13" spans="1:15" x14ac:dyDescent="0.25">
      <c r="A13" t="s">
        <v>207</v>
      </c>
      <c r="B13">
        <f t="shared" si="3"/>
        <v>264.55047296540664</v>
      </c>
      <c r="C13">
        <f t="shared" si="4"/>
        <v>190.16630020847273</v>
      </c>
      <c r="E13">
        <f t="shared" si="5"/>
        <v>0.53517001231074657</v>
      </c>
      <c r="F13">
        <f t="shared" si="6"/>
        <v>18.777895168798125</v>
      </c>
      <c r="L13">
        <v>6</v>
      </c>
      <c r="M13">
        <f t="shared" si="0"/>
        <v>0.24</v>
      </c>
      <c r="N13">
        <f t="shared" si="1"/>
        <v>3.7551600000000001</v>
      </c>
      <c r="O13">
        <f t="shared" si="2"/>
        <v>-3.7551600000000001</v>
      </c>
    </row>
    <row r="14" spans="1:15" x14ac:dyDescent="0.25">
      <c r="A14" t="s">
        <v>208</v>
      </c>
      <c r="B14">
        <f t="shared" si="3"/>
        <v>227.37958264321995</v>
      </c>
      <c r="C14">
        <f t="shared" si="4"/>
        <v>191.72961158002403</v>
      </c>
      <c r="E14">
        <f t="shared" si="5"/>
        <v>0.70131012503882262</v>
      </c>
      <c r="F14">
        <f t="shared" si="6"/>
        <v>24.60737280837974</v>
      </c>
      <c r="L14">
        <v>7</v>
      </c>
      <c r="M14">
        <f t="shared" si="0"/>
        <v>0.28000000000000003</v>
      </c>
      <c r="N14">
        <f t="shared" si="1"/>
        <v>4.3810200000000004</v>
      </c>
      <c r="O14">
        <f t="shared" si="2"/>
        <v>-4.3810200000000004</v>
      </c>
    </row>
    <row r="15" spans="1:15" x14ac:dyDescent="0.25">
      <c r="A15" t="s">
        <v>209</v>
      </c>
      <c r="B15">
        <f t="shared" si="3"/>
        <v>326.49450260837301</v>
      </c>
      <c r="C15">
        <f t="shared" si="4"/>
        <v>191.13704950062439</v>
      </c>
      <c r="E15">
        <f t="shared" si="5"/>
        <v>0.89701312498387598</v>
      </c>
      <c r="F15">
        <f t="shared" si="6"/>
        <v>31.474144736276347</v>
      </c>
      <c r="L15">
        <v>8</v>
      </c>
      <c r="M15">
        <f t="shared" si="0"/>
        <v>0.32</v>
      </c>
      <c r="N15">
        <f t="shared" si="1"/>
        <v>5.0068800000000007</v>
      </c>
      <c r="O15">
        <f t="shared" si="2"/>
        <v>-5.0068800000000007</v>
      </c>
    </row>
    <row r="16" spans="1:15" x14ac:dyDescent="0.25">
      <c r="A16" t="s">
        <v>210</v>
      </c>
      <c r="B16">
        <f t="shared" si="3"/>
        <v>245.26755423578621</v>
      </c>
      <c r="C16">
        <f t="shared" si="4"/>
        <v>197.78069633348872</v>
      </c>
      <c r="E16">
        <f t="shared" si="5"/>
        <v>1.3721884596208029</v>
      </c>
      <c r="F16">
        <f t="shared" si="6"/>
        <v>48.146963495466764</v>
      </c>
      <c r="L16">
        <v>9</v>
      </c>
      <c r="M16">
        <f t="shared" si="0"/>
        <v>0.36</v>
      </c>
      <c r="N16">
        <f t="shared" si="1"/>
        <v>5.6327400000000001</v>
      </c>
      <c r="O16">
        <f t="shared" si="2"/>
        <v>-5.6327400000000001</v>
      </c>
    </row>
    <row r="17" spans="1:15" x14ac:dyDescent="0.25">
      <c r="A17" t="s">
        <v>211</v>
      </c>
      <c r="B17">
        <f t="shared" si="3"/>
        <v>601.45965790389505</v>
      </c>
      <c r="C17">
        <f t="shared" si="4"/>
        <v>191.81189508714803</v>
      </c>
      <c r="E17">
        <f t="shared" si="5"/>
        <v>1.0171703986019975</v>
      </c>
      <c r="F17">
        <f t="shared" si="6"/>
        <v>35.690189424631491</v>
      </c>
      <c r="L17">
        <v>10</v>
      </c>
      <c r="M17">
        <f t="shared" si="0"/>
        <v>0.4</v>
      </c>
      <c r="N17">
        <f t="shared" si="1"/>
        <v>6.2586000000000004</v>
      </c>
      <c r="O17">
        <f t="shared" si="2"/>
        <v>-6.2586000000000004</v>
      </c>
    </row>
    <row r="18" spans="1:15" x14ac:dyDescent="0.25">
      <c r="A18" t="s">
        <v>212</v>
      </c>
      <c r="B18">
        <f t="shared" si="3"/>
        <v>688.65070417967752</v>
      </c>
      <c r="C18">
        <f t="shared" si="4"/>
        <v>192.5205289077953</v>
      </c>
      <c r="E18">
        <f t="shared" si="5"/>
        <v>0.82241493166060664</v>
      </c>
      <c r="F18">
        <f t="shared" si="6"/>
        <v>28.856664268793214</v>
      </c>
      <c r="L18">
        <v>11</v>
      </c>
      <c r="M18">
        <f t="shared" si="0"/>
        <v>0.44</v>
      </c>
      <c r="N18">
        <f t="shared" si="1"/>
        <v>6.8844600000000007</v>
      </c>
      <c r="O18">
        <f t="shared" si="2"/>
        <v>-6.8844600000000007</v>
      </c>
    </row>
    <row r="19" spans="1:15" x14ac:dyDescent="0.25">
      <c r="A19" t="s">
        <v>213</v>
      </c>
      <c r="B19">
        <f t="shared" si="3"/>
        <v>1610.236671287339</v>
      </c>
      <c r="C19">
        <f t="shared" si="4"/>
        <v>189.09824130578497</v>
      </c>
      <c r="E19">
        <f t="shared" si="5"/>
        <v>0.63629905778647</v>
      </c>
      <c r="F19">
        <f t="shared" si="6"/>
        <v>22.326282729349824</v>
      </c>
      <c r="L19">
        <v>12</v>
      </c>
      <c r="M19">
        <f t="shared" si="0"/>
        <v>0.48</v>
      </c>
      <c r="N19">
        <f t="shared" si="1"/>
        <v>7.5103200000000001</v>
      </c>
      <c r="O19">
        <f t="shared" si="2"/>
        <v>-7.5103200000000001</v>
      </c>
    </row>
    <row r="20" spans="1:15" x14ac:dyDescent="0.25">
      <c r="A20" t="s">
        <v>214</v>
      </c>
      <c r="B20">
        <f t="shared" si="3"/>
        <v>1018.3296166989439</v>
      </c>
      <c r="C20">
        <f t="shared" si="4"/>
        <v>200.3920909323208</v>
      </c>
      <c r="E20">
        <f t="shared" si="5"/>
        <v>1.3043208286067256</v>
      </c>
      <c r="F20">
        <f t="shared" si="6"/>
        <v>45.765643109007911</v>
      </c>
      <c r="L20">
        <v>13</v>
      </c>
      <c r="M20">
        <f t="shared" si="0"/>
        <v>0.52</v>
      </c>
      <c r="N20">
        <f t="shared" si="1"/>
        <v>8.1361800000000013</v>
      </c>
      <c r="O20">
        <f t="shared" si="2"/>
        <v>-8.1361800000000013</v>
      </c>
    </row>
    <row r="21" spans="1:15" x14ac:dyDescent="0.25">
      <c r="A21" s="17" t="s">
        <v>46</v>
      </c>
      <c r="B21" s="3"/>
      <c r="C21" s="3">
        <f>AVERAGE(C11:C20)</f>
        <v>192.64674474233868</v>
      </c>
      <c r="D21" s="3"/>
      <c r="E21" s="3">
        <f>AVERAGE(E11:E20)</f>
        <v>0.8321590852924553</v>
      </c>
      <c r="F21" s="4">
        <f>AVERAGE(F11:F20)</f>
        <v>29.198564396226498</v>
      </c>
      <c r="L21">
        <v>14</v>
      </c>
      <c r="M21">
        <f t="shared" si="0"/>
        <v>0.56000000000000005</v>
      </c>
      <c r="N21">
        <f t="shared" si="1"/>
        <v>8.7620400000000007</v>
      </c>
      <c r="O21">
        <f t="shared" si="2"/>
        <v>-8.7620400000000007</v>
      </c>
    </row>
    <row r="22" spans="1:15" x14ac:dyDescent="0.25">
      <c r="A22" s="5" t="s">
        <v>220</v>
      </c>
      <c r="B22" s="7"/>
      <c r="C22" s="7">
        <f>STDEV(C11:C20)</f>
        <v>3.6179980362504676</v>
      </c>
      <c r="D22" s="7"/>
      <c r="E22" s="7">
        <f>STDEV(E11:E20)</f>
        <v>0.31698244021363498</v>
      </c>
      <c r="F22" s="6">
        <f>STDEV(F11:F20)</f>
        <v>11.122190884688944</v>
      </c>
      <c r="L22">
        <v>15</v>
      </c>
      <c r="M22">
        <f t="shared" si="0"/>
        <v>0.6</v>
      </c>
      <c r="N22">
        <f t="shared" si="1"/>
        <v>9.3879000000000001</v>
      </c>
      <c r="O22">
        <f t="shared" si="2"/>
        <v>-9.3879000000000001</v>
      </c>
    </row>
    <row r="23" spans="1:15" x14ac:dyDescent="0.25">
      <c r="L23">
        <v>16</v>
      </c>
      <c r="M23">
        <f t="shared" si="0"/>
        <v>0.64</v>
      </c>
      <c r="N23">
        <f t="shared" si="1"/>
        <v>10.013760000000001</v>
      </c>
      <c r="O23">
        <f t="shared" si="2"/>
        <v>-10.013760000000001</v>
      </c>
    </row>
    <row r="24" spans="1:15" x14ac:dyDescent="0.25">
      <c r="A24" s="35" t="s">
        <v>176</v>
      </c>
      <c r="F24" s="35" t="s">
        <v>202</v>
      </c>
      <c r="L24">
        <v>17</v>
      </c>
      <c r="M24">
        <f t="shared" si="0"/>
        <v>0.68</v>
      </c>
      <c r="N24">
        <f t="shared" si="1"/>
        <v>10.639620000000001</v>
      </c>
      <c r="O24">
        <f t="shared" si="2"/>
        <v>-10.639620000000001</v>
      </c>
    </row>
    <row r="25" spans="1:15" x14ac:dyDescent="0.25">
      <c r="A25" t="s">
        <v>145</v>
      </c>
      <c r="C25" t="s">
        <v>133</v>
      </c>
      <c r="F25" t="s">
        <v>145</v>
      </c>
      <c r="H25" t="s">
        <v>133</v>
      </c>
      <c r="L25">
        <v>18</v>
      </c>
      <c r="M25">
        <f t="shared" si="0"/>
        <v>0.72</v>
      </c>
      <c r="N25">
        <f t="shared" si="1"/>
        <v>11.26548</v>
      </c>
      <c r="O25">
        <f t="shared" si="2"/>
        <v>-11.26548</v>
      </c>
    </row>
    <row r="26" spans="1:15" x14ac:dyDescent="0.25">
      <c r="A26" t="s">
        <v>148</v>
      </c>
      <c r="B26" t="s">
        <v>120</v>
      </c>
      <c r="C26" t="s">
        <v>147</v>
      </c>
      <c r="F26" t="s">
        <v>148</v>
      </c>
      <c r="G26" t="s">
        <v>120</v>
      </c>
      <c r="H26" t="s">
        <v>147</v>
      </c>
      <c r="L26">
        <v>19</v>
      </c>
      <c r="M26">
        <f t="shared" si="0"/>
        <v>0.76</v>
      </c>
      <c r="N26">
        <f t="shared" si="1"/>
        <v>11.891340000000001</v>
      </c>
      <c r="O26">
        <f t="shared" si="2"/>
        <v>-11.891340000000001</v>
      </c>
    </row>
    <row r="27" spans="1:15" x14ac:dyDescent="0.25">
      <c r="A27" t="s">
        <v>149</v>
      </c>
      <c r="B27">
        <v>0</v>
      </c>
      <c r="C27">
        <v>0</v>
      </c>
      <c r="F27" t="s">
        <v>203</v>
      </c>
      <c r="G27">
        <v>1.0946897153704354E-2</v>
      </c>
      <c r="H27">
        <v>0</v>
      </c>
      <c r="L27">
        <v>20</v>
      </c>
      <c r="M27">
        <f t="shared" si="0"/>
        <v>0.8</v>
      </c>
      <c r="N27">
        <f t="shared" si="1"/>
        <v>12.517200000000001</v>
      </c>
      <c r="O27">
        <f t="shared" si="2"/>
        <v>-12.517200000000001</v>
      </c>
    </row>
    <row r="28" spans="1:15" x14ac:dyDescent="0.25">
      <c r="A28" t="s">
        <v>150</v>
      </c>
      <c r="B28">
        <v>0</v>
      </c>
      <c r="C28">
        <v>0</v>
      </c>
      <c r="F28" t="s">
        <v>204</v>
      </c>
      <c r="G28">
        <v>1.0946897153704354E-2</v>
      </c>
      <c r="H28">
        <v>0</v>
      </c>
      <c r="L28">
        <v>21</v>
      </c>
      <c r="M28">
        <f t="shared" si="0"/>
        <v>0.84</v>
      </c>
      <c r="N28">
        <f t="shared" si="1"/>
        <v>13.143060000000002</v>
      </c>
      <c r="O28">
        <f t="shared" si="2"/>
        <v>-13.143060000000002</v>
      </c>
    </row>
    <row r="29" spans="1:15" x14ac:dyDescent="0.25">
      <c r="A29" t="s">
        <v>151</v>
      </c>
      <c r="B29">
        <v>1.0446431004330741</v>
      </c>
      <c r="C29">
        <v>0.58214275982677033</v>
      </c>
      <c r="F29" t="s">
        <v>205</v>
      </c>
      <c r="G29">
        <v>4.1837031650716741E-2</v>
      </c>
      <c r="H29">
        <v>5.7084699881151613E-2</v>
      </c>
      <c r="L29">
        <v>22</v>
      </c>
      <c r="M29">
        <f t="shared" si="0"/>
        <v>0.88</v>
      </c>
      <c r="N29">
        <f t="shared" si="1"/>
        <v>13.768920000000001</v>
      </c>
      <c r="O29">
        <f t="shared" si="2"/>
        <v>-13.768920000000001</v>
      </c>
    </row>
    <row r="30" spans="1:15" x14ac:dyDescent="0.25">
      <c r="A30" t="s">
        <v>152</v>
      </c>
      <c r="B30">
        <v>1.2312443646932638</v>
      </c>
      <c r="C30">
        <v>0.50750225412269456</v>
      </c>
      <c r="F30" t="s">
        <v>206</v>
      </c>
      <c r="G30">
        <v>4.0559734458733052E-2</v>
      </c>
      <c r="H30">
        <v>6.1447947088967877E-2</v>
      </c>
      <c r="L30">
        <v>23</v>
      </c>
      <c r="M30">
        <f t="shared" si="0"/>
        <v>0.92</v>
      </c>
      <c r="N30">
        <f t="shared" si="1"/>
        <v>14.394780000000001</v>
      </c>
      <c r="O30">
        <f t="shared" si="2"/>
        <v>-14.394780000000001</v>
      </c>
    </row>
    <row r="31" spans="1:15" x14ac:dyDescent="0.25">
      <c r="A31" t="s">
        <v>153</v>
      </c>
      <c r="B31">
        <v>3.3626352260400614</v>
      </c>
      <c r="C31">
        <v>1.6549459095839754</v>
      </c>
      <c r="F31" t="s">
        <v>207</v>
      </c>
      <c r="G31">
        <v>0.11524798296423011</v>
      </c>
      <c r="H31">
        <v>0.20631289019418997</v>
      </c>
    </row>
    <row r="32" spans="1:15" x14ac:dyDescent="0.25">
      <c r="A32" t="s">
        <v>154</v>
      </c>
      <c r="B32">
        <v>2.8538443036817798</v>
      </c>
      <c r="C32">
        <v>1.8584622785272882</v>
      </c>
      <c r="F32" t="s">
        <v>208</v>
      </c>
      <c r="G32">
        <v>0.11100265930698577</v>
      </c>
      <c r="H32">
        <v>0.22081491580733656</v>
      </c>
    </row>
    <row r="33" spans="1:21" x14ac:dyDescent="0.25">
      <c r="A33" t="s">
        <v>155</v>
      </c>
      <c r="B33">
        <v>4.1175049919067179</v>
      </c>
      <c r="C33">
        <v>3.352998003237313</v>
      </c>
      <c r="F33" t="s">
        <v>209</v>
      </c>
      <c r="G33">
        <v>0.15291907633896298</v>
      </c>
      <c r="H33">
        <v>0.47762843522610243</v>
      </c>
    </row>
    <row r="34" spans="1:21" x14ac:dyDescent="0.25">
      <c r="A34" t="s">
        <v>156</v>
      </c>
      <c r="B34">
        <v>2.9325477069527945</v>
      </c>
      <c r="C34">
        <v>3.826980917218882</v>
      </c>
      <c r="F34" t="s">
        <v>210</v>
      </c>
      <c r="G34">
        <v>0.16769866165927799</v>
      </c>
      <c r="H34">
        <v>0.42714137177190636</v>
      </c>
    </row>
    <row r="35" spans="1:21" x14ac:dyDescent="0.25">
      <c r="A35" t="s">
        <v>157</v>
      </c>
      <c r="B35">
        <v>7.5439150651451854</v>
      </c>
      <c r="C35">
        <v>6.9824339739419266</v>
      </c>
      <c r="F35" t="s">
        <v>211</v>
      </c>
      <c r="G35">
        <v>0.29527105037996582</v>
      </c>
      <c r="H35">
        <v>0.99135409190203672</v>
      </c>
    </row>
    <row r="36" spans="1:21" x14ac:dyDescent="0.25">
      <c r="A36" t="s">
        <v>158</v>
      </c>
      <c r="B36">
        <v>8.5882918386009788</v>
      </c>
      <c r="C36">
        <v>6.5646832645596085</v>
      </c>
      <c r="F36" t="s">
        <v>212</v>
      </c>
      <c r="G36">
        <v>0.35427013240700678</v>
      </c>
      <c r="H36">
        <v>0.78981322769766482</v>
      </c>
    </row>
    <row r="37" spans="1:21" x14ac:dyDescent="0.25">
      <c r="A37" t="s">
        <v>159</v>
      </c>
      <c r="B37">
        <v>20.645492823065542</v>
      </c>
      <c r="C37">
        <v>11.741802870773784</v>
      </c>
      <c r="F37" t="s">
        <v>213</v>
      </c>
      <c r="G37">
        <v>0.64286845634311585</v>
      </c>
      <c r="H37">
        <v>1.8039613531319163</v>
      </c>
    </row>
    <row r="38" spans="1:21" x14ac:dyDescent="0.25">
      <c r="A38" t="s">
        <v>160</v>
      </c>
      <c r="B38">
        <v>11.925718425442877</v>
      </c>
      <c r="C38">
        <v>15.229712629822849</v>
      </c>
      <c r="F38" t="s">
        <v>214</v>
      </c>
      <c r="G38">
        <v>0.77849574739676342</v>
      </c>
      <c r="H38">
        <v>1.3406585268926559</v>
      </c>
    </row>
    <row r="43" spans="1:21" x14ac:dyDescent="0.25">
      <c r="A43" t="s">
        <v>145</v>
      </c>
      <c r="F43" t="s">
        <v>145</v>
      </c>
      <c r="K43" s="35" t="s">
        <v>215</v>
      </c>
      <c r="O43" t="s">
        <v>224</v>
      </c>
    </row>
    <row r="44" spans="1:21" x14ac:dyDescent="0.25">
      <c r="A44" t="s">
        <v>146</v>
      </c>
      <c r="C44" t="s">
        <v>133</v>
      </c>
      <c r="F44" t="s">
        <v>146</v>
      </c>
      <c r="H44" t="s">
        <v>133</v>
      </c>
      <c r="K44" t="s">
        <v>145</v>
      </c>
      <c r="L44" t="s">
        <v>215</v>
      </c>
      <c r="O44" t="s">
        <v>145</v>
      </c>
      <c r="P44" t="s">
        <v>224</v>
      </c>
      <c r="R44" s="17" t="s">
        <v>228</v>
      </c>
      <c r="S44" s="4"/>
      <c r="T44" s="3" t="s">
        <v>229</v>
      </c>
      <c r="U44" s="4"/>
    </row>
    <row r="45" spans="1:21" x14ac:dyDescent="0.25">
      <c r="B45" t="s">
        <v>120</v>
      </c>
      <c r="C45" t="s">
        <v>147</v>
      </c>
      <c r="G45" t="s">
        <v>120</v>
      </c>
      <c r="H45" t="s">
        <v>147</v>
      </c>
      <c r="K45" t="s">
        <v>148</v>
      </c>
      <c r="L45" t="s">
        <v>120</v>
      </c>
      <c r="M45" t="s">
        <v>147</v>
      </c>
      <c r="O45" t="s">
        <v>148</v>
      </c>
      <c r="P45" t="s">
        <v>120</v>
      </c>
      <c r="Q45" t="s">
        <v>147</v>
      </c>
      <c r="R45" s="71" t="s">
        <v>120</v>
      </c>
      <c r="S45" s="2" t="s">
        <v>147</v>
      </c>
      <c r="T45" s="71" t="s">
        <v>120</v>
      </c>
      <c r="U45" s="2" t="s">
        <v>147</v>
      </c>
    </row>
    <row r="46" spans="1:21" x14ac:dyDescent="0.25">
      <c r="A46" s="16" t="s">
        <v>21</v>
      </c>
      <c r="B46" s="3">
        <v>0</v>
      </c>
      <c r="C46">
        <v>0</v>
      </c>
      <c r="F46" s="16" t="s">
        <v>177</v>
      </c>
      <c r="G46" s="3">
        <v>1.0946897153704354E-2</v>
      </c>
      <c r="H46" s="4">
        <v>0</v>
      </c>
      <c r="K46" t="s">
        <v>203</v>
      </c>
      <c r="O46" t="s">
        <v>203</v>
      </c>
      <c r="P46">
        <f t="shared" ref="P46:P57" si="7">B27+G27</f>
        <v>1.0946897153704354E-2</v>
      </c>
      <c r="Q46">
        <f t="shared" ref="Q46:Q57" si="8">C27+H27</f>
        <v>0</v>
      </c>
      <c r="R46" s="14">
        <f>G27/P46</f>
        <v>1</v>
      </c>
      <c r="S46" s="9"/>
      <c r="T46" s="14">
        <f>B27/P46</f>
        <v>0</v>
      </c>
      <c r="U46" s="9"/>
    </row>
    <row r="47" spans="1:21" x14ac:dyDescent="0.25">
      <c r="A47" s="14" t="s">
        <v>22</v>
      </c>
      <c r="B47" s="8">
        <v>0</v>
      </c>
      <c r="C47">
        <v>0</v>
      </c>
      <c r="F47" s="14" t="s">
        <v>178</v>
      </c>
      <c r="G47">
        <v>1.0946897153704354E-2</v>
      </c>
      <c r="H47" s="9">
        <v>0</v>
      </c>
      <c r="K47" t="s">
        <v>204</v>
      </c>
      <c r="O47" t="s">
        <v>204</v>
      </c>
      <c r="P47">
        <f t="shared" si="7"/>
        <v>1.0946897153704354E-2</v>
      </c>
      <c r="Q47">
        <f t="shared" si="8"/>
        <v>0</v>
      </c>
      <c r="R47" s="14">
        <f t="shared" ref="R47:R57" si="9">G28/P47</f>
        <v>1</v>
      </c>
      <c r="S47" s="9"/>
      <c r="T47" s="14">
        <f t="shared" ref="T47:T57" si="10">B28/P47</f>
        <v>0</v>
      </c>
      <c r="U47" s="9"/>
    </row>
    <row r="48" spans="1:21" x14ac:dyDescent="0.25">
      <c r="A48" s="14" t="s">
        <v>29</v>
      </c>
      <c r="B48" s="8">
        <v>0</v>
      </c>
      <c r="C48">
        <v>0</v>
      </c>
      <c r="F48" s="14" t="s">
        <v>179</v>
      </c>
      <c r="G48">
        <v>1.0946897153704354E-2</v>
      </c>
      <c r="H48" s="9">
        <v>0</v>
      </c>
      <c r="K48" t="s">
        <v>205</v>
      </c>
      <c r="L48">
        <f t="shared" ref="L48:L57" si="11">G29/B29</f>
        <v>4.0049114988049514E-2</v>
      </c>
      <c r="M48">
        <f t="shared" ref="M48:M57" si="12">H29/C29</f>
        <v>9.8059623550309977E-2</v>
      </c>
      <c r="O48" t="s">
        <v>205</v>
      </c>
      <c r="P48">
        <f t="shared" si="7"/>
        <v>1.0864801320837909</v>
      </c>
      <c r="Q48">
        <f t="shared" si="8"/>
        <v>0.63922745970792194</v>
      </c>
      <c r="R48" s="14">
        <f t="shared" si="9"/>
        <v>3.8506945884483244E-2</v>
      </c>
      <c r="S48" s="9">
        <f>H29/Q48</f>
        <v>8.930264026397576E-2</v>
      </c>
      <c r="T48" s="14">
        <f t="shared" si="10"/>
        <v>0.96149305411551667</v>
      </c>
      <c r="U48" s="9">
        <f>C29/Q48</f>
        <v>0.91069735973602428</v>
      </c>
    </row>
    <row r="49" spans="1:21" x14ac:dyDescent="0.25">
      <c r="A49" s="15" t="s">
        <v>30</v>
      </c>
      <c r="B49" s="7">
        <v>0</v>
      </c>
      <c r="C49">
        <v>0</v>
      </c>
      <c r="F49" s="15" t="s">
        <v>180</v>
      </c>
      <c r="G49" s="7">
        <v>1.0946897153704354E-2</v>
      </c>
      <c r="H49" s="6">
        <v>0</v>
      </c>
      <c r="K49" t="s">
        <v>206</v>
      </c>
      <c r="L49">
        <f t="shared" si="11"/>
        <v>3.2942067084171044E-2</v>
      </c>
      <c r="M49">
        <f t="shared" si="12"/>
        <v>0.12107916090972105</v>
      </c>
      <c r="O49" t="s">
        <v>206</v>
      </c>
      <c r="P49">
        <f t="shared" si="7"/>
        <v>1.2718040991519968</v>
      </c>
      <c r="Q49">
        <f t="shared" si="8"/>
        <v>0.5689502012116624</v>
      </c>
      <c r="R49" s="14">
        <f t="shared" si="9"/>
        <v>3.1891495306373946E-2</v>
      </c>
      <c r="S49" s="9">
        <f t="shared" ref="S49:S57" si="13">H30/Q49</f>
        <v>0.10800232947998879</v>
      </c>
      <c r="T49" s="14">
        <f t="shared" si="10"/>
        <v>0.96810850469362608</v>
      </c>
      <c r="U49" s="9">
        <f t="shared" ref="U49:U57" si="14">C30/Q49</f>
        <v>0.89199767052001133</v>
      </c>
    </row>
    <row r="50" spans="1:21" x14ac:dyDescent="0.25">
      <c r="A50" s="36" t="s">
        <v>31</v>
      </c>
      <c r="B50" s="38">
        <v>0.9829802144537918</v>
      </c>
      <c r="C50">
        <v>0.60680791421848324</v>
      </c>
      <c r="F50" s="16" t="s">
        <v>181</v>
      </c>
      <c r="G50" s="3">
        <v>3.7742005233084561E-2</v>
      </c>
      <c r="H50" s="4">
        <v>7.1073310123783123E-2</v>
      </c>
      <c r="K50" t="s">
        <v>207</v>
      </c>
      <c r="L50">
        <f t="shared" si="11"/>
        <v>3.427311474993068E-2</v>
      </c>
      <c r="M50">
        <f t="shared" si="12"/>
        <v>0.12466443102424625</v>
      </c>
      <c r="O50" t="s">
        <v>207</v>
      </c>
      <c r="P50">
        <f t="shared" si="7"/>
        <v>3.4778832090042915</v>
      </c>
      <c r="Q50">
        <f t="shared" si="8"/>
        <v>1.8612587997781653</v>
      </c>
      <c r="R50" s="14">
        <f t="shared" si="9"/>
        <v>3.3137393074572308E-2</v>
      </c>
      <c r="S50" s="9">
        <f t="shared" si="13"/>
        <v>0.11084589108122923</v>
      </c>
      <c r="T50" s="14">
        <f t="shared" si="10"/>
        <v>0.96686260692542769</v>
      </c>
      <c r="U50" s="9">
        <f t="shared" si="14"/>
        <v>0.88915410891877078</v>
      </c>
    </row>
    <row r="51" spans="1:21" x14ac:dyDescent="0.25">
      <c r="A51" s="37" t="s">
        <v>32</v>
      </c>
      <c r="B51" s="28">
        <v>1.1063059864123563</v>
      </c>
      <c r="C51">
        <v>0.55747760543505742</v>
      </c>
      <c r="F51" s="14" t="s">
        <v>182</v>
      </c>
      <c r="G51">
        <v>4.5932058068348929E-2</v>
      </c>
      <c r="H51" s="9">
        <v>4.3096089638520074E-2</v>
      </c>
      <c r="K51" t="s">
        <v>208</v>
      </c>
      <c r="L51">
        <f t="shared" si="11"/>
        <v>3.8895835755223179E-2</v>
      </c>
      <c r="M51">
        <f t="shared" si="12"/>
        <v>0.11881592559538963</v>
      </c>
      <c r="O51" t="s">
        <v>208</v>
      </c>
      <c r="P51">
        <f t="shared" si="7"/>
        <v>2.9648469629887657</v>
      </c>
      <c r="Q51">
        <f t="shared" si="8"/>
        <v>2.0792771943346247</v>
      </c>
      <c r="R51" s="14">
        <f t="shared" si="9"/>
        <v>3.7439591551493644E-2</v>
      </c>
      <c r="S51" s="9">
        <f t="shared" si="13"/>
        <v>0.10619792128196646</v>
      </c>
      <c r="T51" s="14">
        <f t="shared" si="10"/>
        <v>0.96256040844850632</v>
      </c>
      <c r="U51" s="9">
        <f t="shared" si="14"/>
        <v>0.89380207871803352</v>
      </c>
    </row>
    <row r="52" spans="1:21" x14ac:dyDescent="0.25">
      <c r="A52" s="37" t="s">
        <v>34</v>
      </c>
      <c r="B52" s="28">
        <v>1.0477070524455259</v>
      </c>
      <c r="C52">
        <v>0.58091717902178963</v>
      </c>
      <c r="F52" s="14" t="s">
        <v>183</v>
      </c>
      <c r="G52">
        <v>3.801263200227431E-2</v>
      </c>
      <c r="H52" s="9">
        <v>7.0148849080230974E-2</v>
      </c>
      <c r="K52" t="s">
        <v>209</v>
      </c>
      <c r="L52">
        <f t="shared" si="11"/>
        <v>3.7138771328641386E-2</v>
      </c>
      <c r="M52">
        <f t="shared" si="12"/>
        <v>0.14244817168544482</v>
      </c>
      <c r="O52" t="s">
        <v>209</v>
      </c>
      <c r="P52">
        <f t="shared" si="7"/>
        <v>4.2704240682456813</v>
      </c>
      <c r="Q52">
        <f t="shared" si="8"/>
        <v>3.8306264384634154</v>
      </c>
      <c r="R52" s="14">
        <f t="shared" si="9"/>
        <v>3.5808873754728333E-2</v>
      </c>
      <c r="S52" s="9">
        <f t="shared" si="13"/>
        <v>0.12468676935715355</v>
      </c>
      <c r="T52" s="14">
        <f t="shared" si="10"/>
        <v>0.96419112624527159</v>
      </c>
      <c r="U52" s="9">
        <f t="shared" si="14"/>
        <v>0.8753132306428465</v>
      </c>
    </row>
    <row r="53" spans="1:21" x14ac:dyDescent="0.25">
      <c r="A53" s="15" t="s">
        <v>35</v>
      </c>
      <c r="B53" s="39">
        <v>1.4147816769410015</v>
      </c>
      <c r="C53">
        <v>0.43408732922359938</v>
      </c>
      <c r="F53" s="15" t="s">
        <v>184</v>
      </c>
      <c r="G53" s="7">
        <v>4.31068369151918E-2</v>
      </c>
      <c r="H53" s="6">
        <v>5.2747045097704823E-2</v>
      </c>
      <c r="K53" t="s">
        <v>210</v>
      </c>
      <c r="L53">
        <f t="shared" si="11"/>
        <v>5.7185314074066129E-2</v>
      </c>
      <c r="M53">
        <f t="shared" si="12"/>
        <v>0.11161314388845077</v>
      </c>
      <c r="O53" t="s">
        <v>210</v>
      </c>
      <c r="P53">
        <f t="shared" si="7"/>
        <v>3.1002463686120727</v>
      </c>
      <c r="Q53">
        <f t="shared" si="8"/>
        <v>4.2541222889907884</v>
      </c>
      <c r="R53" s="14">
        <f t="shared" si="9"/>
        <v>5.4092043573412463E-2</v>
      </c>
      <c r="S53" s="9">
        <f t="shared" si="13"/>
        <v>0.10040646289771743</v>
      </c>
      <c r="T53" s="14">
        <f t="shared" si="10"/>
        <v>0.94590795642658754</v>
      </c>
      <c r="U53" s="9">
        <f t="shared" si="14"/>
        <v>0.89959353710228251</v>
      </c>
    </row>
    <row r="54" spans="1:21" x14ac:dyDescent="0.25">
      <c r="A54" s="16" t="s">
        <v>36</v>
      </c>
      <c r="B54" s="38">
        <v>3.5361811929188036</v>
      </c>
      <c r="C54">
        <v>1.5855275228324786</v>
      </c>
      <c r="F54" s="16" t="s">
        <v>185</v>
      </c>
      <c r="G54" s="3">
        <v>0.1189740701761816</v>
      </c>
      <c r="H54" s="4">
        <v>0.19358457627816367</v>
      </c>
      <c r="K54" t="s">
        <v>211</v>
      </c>
      <c r="L54">
        <f t="shared" si="11"/>
        <v>3.9140293578356085E-2</v>
      </c>
      <c r="M54">
        <f t="shared" si="12"/>
        <v>0.14197829805505038</v>
      </c>
      <c r="O54" t="s">
        <v>211</v>
      </c>
      <c r="P54">
        <f t="shared" si="7"/>
        <v>7.839186115525151</v>
      </c>
      <c r="Q54">
        <f t="shared" si="8"/>
        <v>7.973788065843963</v>
      </c>
      <c r="R54" s="14">
        <f t="shared" si="9"/>
        <v>3.7666033951559708E-2</v>
      </c>
      <c r="S54" s="9">
        <f t="shared" si="13"/>
        <v>0.124326616623853</v>
      </c>
      <c r="T54" s="14">
        <f t="shared" si="10"/>
        <v>0.96233396604844035</v>
      </c>
      <c r="U54" s="9">
        <f t="shared" si="14"/>
        <v>0.87567338337614697</v>
      </c>
    </row>
    <row r="55" spans="1:21" x14ac:dyDescent="0.25">
      <c r="A55" s="14" t="s">
        <v>37</v>
      </c>
      <c r="B55" s="28">
        <v>3.1890892591613191</v>
      </c>
      <c r="C55">
        <v>1.7243642963354724</v>
      </c>
      <c r="F55" s="14" t="s">
        <v>186</v>
      </c>
      <c r="G55">
        <v>0.11152189575227864</v>
      </c>
      <c r="H55" s="9">
        <v>0.21904120411021616</v>
      </c>
      <c r="K55" t="s">
        <v>212</v>
      </c>
      <c r="L55">
        <f t="shared" si="11"/>
        <v>4.1250360265437477E-2</v>
      </c>
      <c r="M55">
        <f t="shared" si="12"/>
        <v>0.12031246533425088</v>
      </c>
      <c r="O55" t="s">
        <v>212</v>
      </c>
      <c r="P55">
        <f t="shared" si="7"/>
        <v>8.9425619710079864</v>
      </c>
      <c r="Q55">
        <f t="shared" si="8"/>
        <v>7.3544964922572733</v>
      </c>
      <c r="R55" s="14">
        <f t="shared" si="9"/>
        <v>3.9616178624823577E-2</v>
      </c>
      <c r="S55" s="9">
        <f t="shared" si="13"/>
        <v>0.10739188311928231</v>
      </c>
      <c r="T55" s="14">
        <f t="shared" si="10"/>
        <v>0.96038382137517631</v>
      </c>
      <c r="U55" s="9">
        <f t="shared" si="14"/>
        <v>0.89260811688071773</v>
      </c>
    </row>
    <row r="56" spans="1:21" x14ac:dyDescent="0.25">
      <c r="A56" s="14" t="s">
        <v>38</v>
      </c>
      <c r="B56" s="28">
        <v>2.7452091481921088</v>
      </c>
      <c r="C56">
        <v>1.9019163407231567</v>
      </c>
      <c r="F56" s="14" t="s">
        <v>187</v>
      </c>
      <c r="G56">
        <v>0.1011071991363867</v>
      </c>
      <c r="H56" s="9">
        <v>0.25461780775010301</v>
      </c>
      <c r="K56" t="s">
        <v>213</v>
      </c>
      <c r="L56">
        <f t="shared" si="11"/>
        <v>3.1138440813817281E-2</v>
      </c>
      <c r="M56">
        <f t="shared" si="12"/>
        <v>0.1536358064417952</v>
      </c>
      <c r="O56" t="s">
        <v>213</v>
      </c>
      <c r="P56">
        <f t="shared" si="7"/>
        <v>21.288361279408658</v>
      </c>
      <c r="Q56">
        <f t="shared" si="8"/>
        <v>13.545764223905699</v>
      </c>
      <c r="R56" s="14">
        <f t="shared" si="9"/>
        <v>3.0198118488572234E-2</v>
      </c>
      <c r="S56" s="9">
        <f t="shared" si="13"/>
        <v>0.13317531025294738</v>
      </c>
      <c r="T56" s="14">
        <f t="shared" si="10"/>
        <v>0.96980188151142777</v>
      </c>
      <c r="U56" s="9">
        <f t="shared" si="14"/>
        <v>0.86682468974705262</v>
      </c>
    </row>
    <row r="57" spans="1:21" ht="15.75" thickBot="1" x14ac:dyDescent="0.3">
      <c r="A57" s="15" t="s">
        <v>39</v>
      </c>
      <c r="B57" s="39">
        <v>2.9624794591714503</v>
      </c>
      <c r="C57">
        <v>1.8150082163314198</v>
      </c>
      <c r="F57" s="15" t="s">
        <v>188</v>
      </c>
      <c r="G57" s="7">
        <v>0.12089811947758485</v>
      </c>
      <c r="H57" s="6">
        <v>0.18701202386457014</v>
      </c>
      <c r="K57" t="s">
        <v>214</v>
      </c>
      <c r="L57">
        <f t="shared" si="11"/>
        <v>6.5278729517534537E-2</v>
      </c>
      <c r="M57">
        <f t="shared" si="12"/>
        <v>8.8029141421051907E-2</v>
      </c>
      <c r="O57" t="s">
        <v>214</v>
      </c>
      <c r="P57">
        <f t="shared" si="7"/>
        <v>12.70421417283964</v>
      </c>
      <c r="Q57">
        <f t="shared" si="8"/>
        <v>16.570371156715506</v>
      </c>
      <c r="R57" s="15">
        <f t="shared" si="9"/>
        <v>6.1278544017394694E-2</v>
      </c>
      <c r="S57" s="6">
        <f t="shared" si="13"/>
        <v>8.0906970291327762E-2</v>
      </c>
      <c r="T57" s="15">
        <f t="shared" si="10"/>
        <v>0.93872145598260537</v>
      </c>
      <c r="U57" s="6">
        <f t="shared" si="14"/>
        <v>0.91909302970867213</v>
      </c>
    </row>
    <row r="58" spans="1:21" x14ac:dyDescent="0.25">
      <c r="A58" s="62" t="s">
        <v>101</v>
      </c>
      <c r="B58" s="52">
        <v>3.5905679683171878</v>
      </c>
      <c r="C58">
        <v>3.5637728126731245</v>
      </c>
      <c r="F58" s="16" t="s">
        <v>189</v>
      </c>
      <c r="G58" s="3">
        <v>0.14248954876453354</v>
      </c>
      <c r="H58" s="4">
        <v>0.51325570142035348</v>
      </c>
    </row>
    <row r="59" spans="1:21" x14ac:dyDescent="0.25">
      <c r="A59" s="65" t="s">
        <v>102</v>
      </c>
      <c r="B59" s="8">
        <v>4.6444420154962476</v>
      </c>
      <c r="C59">
        <v>3.1422231938015011</v>
      </c>
      <c r="F59" s="14" t="s">
        <v>190</v>
      </c>
      <c r="G59">
        <v>0.16334860391339243</v>
      </c>
      <c r="H59" s="9">
        <v>0.44200116903185138</v>
      </c>
      <c r="K59" t="s">
        <v>46</v>
      </c>
      <c r="L59">
        <f>AVERAGE(L48:L57)</f>
        <v>4.1729204215522737E-2</v>
      </c>
      <c r="M59">
        <f>AVERAGE(M48:M57)</f>
        <v>0.12206361679057109</v>
      </c>
    </row>
    <row r="60" spans="1:21" x14ac:dyDescent="0.25">
      <c r="A60" s="65" t="s">
        <v>103</v>
      </c>
      <c r="B60" s="8">
        <v>2.8498269743329834</v>
      </c>
      <c r="C60">
        <v>3.8600692102668064</v>
      </c>
      <c r="F60" s="14" t="s">
        <v>191</v>
      </c>
      <c r="G60">
        <v>0.16790491901048535</v>
      </c>
      <c r="H60" s="9">
        <v>0.42643679666018208</v>
      </c>
      <c r="K60" t="s">
        <v>216</v>
      </c>
      <c r="L60">
        <f>STDEV(L48:L57)</f>
        <v>1.0940735771384503E-2</v>
      </c>
      <c r="M60">
        <f>STDEV(M48:M57)</f>
        <v>2.0204578067901387E-2</v>
      </c>
    </row>
    <row r="61" spans="1:21" ht="15.75" thickBot="1" x14ac:dyDescent="0.3">
      <c r="A61" s="67" t="s">
        <v>104</v>
      </c>
      <c r="B61" s="55">
        <v>3.0152684395726053</v>
      </c>
      <c r="C61">
        <v>3.7938926241709581</v>
      </c>
      <c r="F61" s="14" t="s">
        <v>192</v>
      </c>
      <c r="G61">
        <v>0.16749240430807066</v>
      </c>
      <c r="H61" s="9">
        <v>0.42784594688363065</v>
      </c>
    </row>
    <row r="62" spans="1:21" x14ac:dyDescent="0.25">
      <c r="A62" s="37" t="s">
        <v>105</v>
      </c>
      <c r="B62" s="8">
        <v>6.6109212053615325</v>
      </c>
      <c r="C62">
        <v>7.3556315178553877</v>
      </c>
      <c r="F62" s="16" t="s">
        <v>193</v>
      </c>
      <c r="G62" s="3">
        <v>0.31065121307281046</v>
      </c>
      <c r="H62" s="4">
        <v>0.93881545614327955</v>
      </c>
    </row>
    <row r="63" spans="1:21" x14ac:dyDescent="0.25">
      <c r="A63" s="14" t="s">
        <v>106</v>
      </c>
      <c r="B63" s="8">
        <v>8.4769089249288392</v>
      </c>
      <c r="C63">
        <v>6.6092364300284645</v>
      </c>
      <c r="F63" s="14" t="s">
        <v>194</v>
      </c>
      <c r="G63">
        <v>0.27989088768712128</v>
      </c>
      <c r="H63" s="9">
        <v>1.0438927276607939</v>
      </c>
    </row>
    <row r="64" spans="1:21" x14ac:dyDescent="0.25">
      <c r="A64" s="14" t="s">
        <v>107</v>
      </c>
      <c r="B64" s="8">
        <v>8.6591963170557591</v>
      </c>
      <c r="C64">
        <v>6.5363214731776962</v>
      </c>
      <c r="F64" s="14" t="s">
        <v>195</v>
      </c>
      <c r="G64">
        <v>0.34948229211336279</v>
      </c>
      <c r="H64" s="9">
        <v>0.80616849014075265</v>
      </c>
    </row>
    <row r="65" spans="1:8" x14ac:dyDescent="0.25">
      <c r="A65" s="15" t="s">
        <v>108</v>
      </c>
      <c r="B65" s="7">
        <v>8.5173873601461985</v>
      </c>
      <c r="C65">
        <v>6.5930450559415208</v>
      </c>
      <c r="F65" s="14" t="s">
        <v>196</v>
      </c>
      <c r="G65">
        <v>0.34994438520140436</v>
      </c>
      <c r="H65" s="9">
        <v>0.80458998015200278</v>
      </c>
    </row>
    <row r="66" spans="1:8" x14ac:dyDescent="0.25">
      <c r="A66" s="16" t="s">
        <v>109</v>
      </c>
      <c r="B66" s="3">
        <v>18.962392811401685</v>
      </c>
      <c r="C66">
        <v>12.415042875439326</v>
      </c>
      <c r="F66" s="14" t="s">
        <v>196</v>
      </c>
      <c r="G66">
        <v>0.35859587961260919</v>
      </c>
      <c r="H66" s="9">
        <v>0.77503647524332708</v>
      </c>
    </row>
    <row r="67" spans="1:8" x14ac:dyDescent="0.25">
      <c r="A67" s="14" t="s">
        <v>110</v>
      </c>
      <c r="B67" s="8">
        <v>22.328592834729399</v>
      </c>
      <c r="C67">
        <v>11.068562866108241</v>
      </c>
      <c r="F67" s="15" t="s">
        <v>197</v>
      </c>
      <c r="G67" s="7">
        <v>0.39072645391127664</v>
      </c>
      <c r="H67" s="6">
        <v>0.66527843343907911</v>
      </c>
    </row>
    <row r="68" spans="1:8" x14ac:dyDescent="0.25">
      <c r="A68" s="14" t="s">
        <v>111</v>
      </c>
      <c r="B68" s="8">
        <v>11.861957472946635</v>
      </c>
      <c r="C68">
        <v>15.255217010821346</v>
      </c>
      <c r="F68" s="14" t="s">
        <v>198</v>
      </c>
      <c r="G68">
        <v>0.66543739622242803</v>
      </c>
      <c r="H68" s="9">
        <v>1.7268658545041859</v>
      </c>
    </row>
    <row r="69" spans="1:8" x14ac:dyDescent="0.25">
      <c r="A69" s="15" t="s">
        <v>112</v>
      </c>
      <c r="B69" s="7">
        <v>11.989479377939118</v>
      </c>
      <c r="C69">
        <v>15.204208248824353</v>
      </c>
      <c r="F69" s="14" t="s">
        <v>199</v>
      </c>
      <c r="G69">
        <v>0.62029951646380355</v>
      </c>
      <c r="H69" s="9">
        <v>1.8810568517596473</v>
      </c>
    </row>
    <row r="70" spans="1:8" x14ac:dyDescent="0.25">
      <c r="F70" s="14" t="s">
        <v>200</v>
      </c>
      <c r="G70">
        <v>0.78424469400319075</v>
      </c>
      <c r="H70" s="9">
        <v>1.3210201252851004</v>
      </c>
    </row>
    <row r="71" spans="1:8" x14ac:dyDescent="0.25">
      <c r="F71" s="15" t="s">
        <v>201</v>
      </c>
      <c r="G71" s="7">
        <v>0.77274680079033597</v>
      </c>
      <c r="H71" s="6">
        <v>1.3602969285002122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FE06-8FB7-4457-94FE-1560BB8C3C07}">
  <dimension ref="A1:AB172"/>
  <sheetViews>
    <sheetView zoomScale="55" zoomScaleNormal="55" workbookViewId="0">
      <selection activeCell="K32" sqref="K32"/>
    </sheetView>
  </sheetViews>
  <sheetFormatPr baseColWidth="10" defaultRowHeight="15" x14ac:dyDescent="0.25"/>
  <cols>
    <col min="1" max="1" width="24.85546875" customWidth="1"/>
    <col min="2" max="2" width="35.85546875" bestFit="1" customWidth="1"/>
    <col min="3" max="3" width="12.42578125" customWidth="1"/>
    <col min="4" max="4" width="13.7109375" bestFit="1" customWidth="1"/>
    <col min="5" max="5" width="12.42578125" customWidth="1"/>
    <col min="6" max="6" width="13.7109375" bestFit="1" customWidth="1"/>
    <col min="7" max="7" width="13.5703125" bestFit="1" customWidth="1"/>
    <col min="10" max="10" width="11.5703125" customWidth="1"/>
    <col min="11" max="11" width="33.85546875" customWidth="1"/>
    <col min="12" max="12" width="10.5703125" customWidth="1"/>
    <col min="13" max="13" width="13.85546875" customWidth="1"/>
    <col min="14" max="14" width="13.5703125" bestFit="1" customWidth="1"/>
    <col min="15" max="15" width="15.140625" customWidth="1"/>
    <col min="16" max="16" width="14.7109375" bestFit="1" customWidth="1"/>
    <col min="17" max="17" width="13.42578125" customWidth="1"/>
    <col min="18" max="18" width="11.5703125" customWidth="1"/>
    <col min="19" max="19" width="13.42578125" customWidth="1"/>
    <col min="20" max="20" width="15" customWidth="1"/>
    <col min="21" max="21" width="14.28515625" customWidth="1"/>
    <col min="22" max="22" width="13.5703125" customWidth="1"/>
    <col min="23" max="23" width="9" bestFit="1" customWidth="1"/>
    <col min="24" max="24" width="10.140625" bestFit="1" customWidth="1"/>
    <col min="25" max="25" width="11.7109375" bestFit="1" customWidth="1"/>
  </cols>
  <sheetData>
    <row r="1" spans="1:28" x14ac:dyDescent="0.25">
      <c r="A1" t="s">
        <v>5</v>
      </c>
    </row>
    <row r="2" spans="1:28" x14ac:dyDescent="0.25">
      <c r="A2" t="s">
        <v>6</v>
      </c>
      <c r="L2" s="1" t="s">
        <v>53</v>
      </c>
      <c r="M2" s="73">
        <v>44382</v>
      </c>
      <c r="O2" s="1" t="s">
        <v>53</v>
      </c>
      <c r="P2" s="73">
        <v>44384</v>
      </c>
      <c r="Z2" s="1" t="s">
        <v>55</v>
      </c>
      <c r="AA2" s="74" t="s">
        <v>249</v>
      </c>
      <c r="AB2" s="2"/>
    </row>
    <row r="3" spans="1:28" x14ac:dyDescent="0.25">
      <c r="A3" t="s">
        <v>7</v>
      </c>
      <c r="L3" s="15" t="s">
        <v>239</v>
      </c>
      <c r="M3" s="6" t="s">
        <v>59</v>
      </c>
      <c r="O3" s="15" t="s">
        <v>239</v>
      </c>
      <c r="P3" s="6" t="s">
        <v>59</v>
      </c>
      <c r="Z3" s="71" t="s">
        <v>239</v>
      </c>
      <c r="AA3" s="1" t="s">
        <v>240</v>
      </c>
      <c r="AB3" s="71" t="s">
        <v>59</v>
      </c>
    </row>
    <row r="4" spans="1:28" x14ac:dyDescent="0.25">
      <c r="A4" t="s">
        <v>8</v>
      </c>
      <c r="L4" s="16" t="s">
        <v>244</v>
      </c>
      <c r="M4" s="4">
        <v>0</v>
      </c>
      <c r="O4" s="16" t="s">
        <v>245</v>
      </c>
      <c r="P4" s="4">
        <v>0</v>
      </c>
      <c r="Z4" s="14" t="s">
        <v>250</v>
      </c>
      <c r="AA4" s="18">
        <v>0</v>
      </c>
      <c r="AB4" s="9">
        <v>0</v>
      </c>
    </row>
    <row r="5" spans="1:28" x14ac:dyDescent="0.25">
      <c r="C5" s="17" t="s">
        <v>237</v>
      </c>
      <c r="D5" s="4"/>
      <c r="E5" s="3" t="s">
        <v>238</v>
      </c>
      <c r="F5" s="4"/>
      <c r="L5" s="14" t="s">
        <v>241</v>
      </c>
      <c r="M5" s="9">
        <v>0.05</v>
      </c>
      <c r="O5" s="14" t="s">
        <v>246</v>
      </c>
      <c r="P5" s="9">
        <v>0.25</v>
      </c>
      <c r="Z5" s="14" t="s">
        <v>251</v>
      </c>
      <c r="AA5" s="18">
        <v>0</v>
      </c>
      <c r="AB5" s="9">
        <v>0</v>
      </c>
    </row>
    <row r="6" spans="1:28" x14ac:dyDescent="0.25">
      <c r="A6" t="s">
        <v>2</v>
      </c>
      <c r="B6" t="s">
        <v>3</v>
      </c>
      <c r="C6" s="5" t="s">
        <v>12</v>
      </c>
      <c r="D6" s="6" t="s">
        <v>13</v>
      </c>
      <c r="E6" s="7" t="s">
        <v>17</v>
      </c>
      <c r="F6" s="6" t="s">
        <v>18</v>
      </c>
      <c r="L6" s="14" t="s">
        <v>242</v>
      </c>
      <c r="M6" s="9">
        <v>0.5</v>
      </c>
      <c r="O6" s="14" t="s">
        <v>247</v>
      </c>
      <c r="P6" s="9">
        <v>2</v>
      </c>
      <c r="Z6" s="14" t="s">
        <v>252</v>
      </c>
      <c r="AA6" s="18">
        <v>0.5</v>
      </c>
      <c r="AB6" s="9">
        <v>2.5</v>
      </c>
    </row>
    <row r="7" spans="1:28" x14ac:dyDescent="0.25">
      <c r="A7">
        <v>1</v>
      </c>
      <c r="B7" t="s">
        <v>19</v>
      </c>
      <c r="C7">
        <v>0</v>
      </c>
      <c r="D7">
        <v>6254</v>
      </c>
      <c r="E7">
        <v>236336</v>
      </c>
      <c r="F7">
        <v>236336</v>
      </c>
      <c r="L7" s="15" t="s">
        <v>243</v>
      </c>
      <c r="M7" s="6">
        <v>1</v>
      </c>
      <c r="O7" s="15" t="s">
        <v>248</v>
      </c>
      <c r="P7" s="6">
        <v>5</v>
      </c>
      <c r="Z7" s="14" t="s">
        <v>253</v>
      </c>
      <c r="AA7" s="18">
        <v>0.5</v>
      </c>
      <c r="AB7" s="9">
        <v>2.5</v>
      </c>
    </row>
    <row r="8" spans="1:28" x14ac:dyDescent="0.25">
      <c r="A8">
        <v>2</v>
      </c>
      <c r="B8" t="s">
        <v>20</v>
      </c>
      <c r="C8">
        <v>0</v>
      </c>
      <c r="D8">
        <v>0</v>
      </c>
      <c r="E8">
        <v>361174</v>
      </c>
      <c r="F8">
        <v>371280</v>
      </c>
      <c r="Q8" s="8"/>
      <c r="R8" s="8"/>
      <c r="Z8" s="14" t="s">
        <v>254</v>
      </c>
      <c r="AA8" s="18">
        <v>1.5</v>
      </c>
      <c r="AB8" s="9">
        <v>7.5</v>
      </c>
    </row>
    <row r="9" spans="1:28" x14ac:dyDescent="0.25">
      <c r="A9">
        <v>3</v>
      </c>
      <c r="B9" t="s">
        <v>21</v>
      </c>
      <c r="C9">
        <v>0</v>
      </c>
      <c r="D9">
        <v>36781</v>
      </c>
      <c r="E9">
        <v>433796</v>
      </c>
      <c r="F9">
        <v>430719</v>
      </c>
      <c r="L9" s="8"/>
      <c r="M9" s="8"/>
      <c r="N9" s="8"/>
      <c r="O9" s="8"/>
      <c r="Z9" s="14" t="s">
        <v>255</v>
      </c>
      <c r="AA9" s="18">
        <v>1.5</v>
      </c>
      <c r="AB9" s="9">
        <v>7.5</v>
      </c>
    </row>
    <row r="10" spans="1:28" x14ac:dyDescent="0.25">
      <c r="A10">
        <v>4</v>
      </c>
      <c r="B10" t="s">
        <v>22</v>
      </c>
      <c r="C10">
        <v>0</v>
      </c>
      <c r="D10">
        <v>25142</v>
      </c>
      <c r="E10">
        <v>378102</v>
      </c>
      <c r="F10">
        <v>378002</v>
      </c>
      <c r="K10" s="76" t="s">
        <v>53</v>
      </c>
      <c r="L10" s="8"/>
      <c r="M10" s="8"/>
      <c r="N10" s="8"/>
      <c r="O10" s="8"/>
      <c r="R10" s="8"/>
      <c r="S10" s="8"/>
      <c r="T10" s="8"/>
      <c r="U10" s="8"/>
      <c r="Z10" s="14" t="s">
        <v>256</v>
      </c>
      <c r="AA10" s="18">
        <v>2.5</v>
      </c>
      <c r="AB10" s="9">
        <v>12.5</v>
      </c>
    </row>
    <row r="11" spans="1:28" x14ac:dyDescent="0.25">
      <c r="A11">
        <v>5</v>
      </c>
      <c r="B11" t="s">
        <v>23</v>
      </c>
      <c r="C11">
        <v>853878</v>
      </c>
      <c r="D11">
        <v>853878</v>
      </c>
      <c r="E11">
        <v>512563</v>
      </c>
      <c r="F11">
        <v>509270</v>
      </c>
      <c r="K11" s="75">
        <v>44382</v>
      </c>
      <c r="L11" s="17" t="s">
        <v>56</v>
      </c>
      <c r="M11" s="16" t="s">
        <v>57</v>
      </c>
      <c r="N11" s="16" t="s">
        <v>58</v>
      </c>
      <c r="O11" s="16" t="s">
        <v>62</v>
      </c>
      <c r="Q11" s="17"/>
      <c r="R11" s="76" t="s">
        <v>53</v>
      </c>
      <c r="S11" s="17" t="s">
        <v>56</v>
      </c>
      <c r="T11" s="16" t="s">
        <v>57</v>
      </c>
      <c r="U11" s="4" t="s">
        <v>58</v>
      </c>
      <c r="V11" s="16" t="s">
        <v>62</v>
      </c>
      <c r="Z11" s="14" t="s">
        <v>257</v>
      </c>
      <c r="AA11" s="18">
        <v>2.5</v>
      </c>
      <c r="AB11" s="9">
        <v>12.5</v>
      </c>
    </row>
    <row r="12" spans="1:28" x14ac:dyDescent="0.25">
      <c r="A12">
        <v>6</v>
      </c>
      <c r="B12" t="s">
        <v>24</v>
      </c>
      <c r="C12">
        <v>985732</v>
      </c>
      <c r="D12">
        <v>984415</v>
      </c>
      <c r="E12">
        <v>299955</v>
      </c>
      <c r="F12">
        <v>299955</v>
      </c>
      <c r="K12" s="15" t="s">
        <v>54</v>
      </c>
      <c r="L12" s="5" t="s">
        <v>12</v>
      </c>
      <c r="M12" s="15" t="s">
        <v>59</v>
      </c>
      <c r="N12" s="15" t="s">
        <v>60</v>
      </c>
      <c r="O12" s="15" t="s">
        <v>59</v>
      </c>
      <c r="Q12" s="18"/>
      <c r="R12" s="15" t="s">
        <v>281</v>
      </c>
      <c r="S12" s="5" t="s">
        <v>12</v>
      </c>
      <c r="T12" s="15" t="s">
        <v>59</v>
      </c>
      <c r="U12" s="6" t="s">
        <v>60</v>
      </c>
      <c r="V12" s="15" t="s">
        <v>59</v>
      </c>
      <c r="Z12" s="14" t="s">
        <v>258</v>
      </c>
      <c r="AA12" s="18">
        <v>5</v>
      </c>
      <c r="AB12" s="9">
        <v>25</v>
      </c>
    </row>
    <row r="13" spans="1:28" x14ac:dyDescent="0.25">
      <c r="A13">
        <v>7</v>
      </c>
      <c r="B13" t="s">
        <v>25</v>
      </c>
      <c r="C13">
        <v>109206</v>
      </c>
      <c r="D13">
        <v>110241</v>
      </c>
      <c r="E13">
        <v>351518</v>
      </c>
      <c r="F13">
        <v>350977</v>
      </c>
      <c r="K13" s="14" t="s">
        <v>19</v>
      </c>
      <c r="L13" s="18">
        <v>0</v>
      </c>
      <c r="M13" s="14">
        <v>0</v>
      </c>
      <c r="N13" s="14">
        <v>0</v>
      </c>
      <c r="O13" s="14">
        <v>0</v>
      </c>
      <c r="Q13" s="75">
        <v>44382</v>
      </c>
      <c r="R13" s="14" t="s">
        <v>244</v>
      </c>
      <c r="S13" s="8">
        <f>AVERAGE(L13:L14)</f>
        <v>0</v>
      </c>
      <c r="T13" s="14">
        <f>AVERAGE(M13:M14)</f>
        <v>0</v>
      </c>
      <c r="U13" s="8">
        <f>AVERAGE(N13:N14)</f>
        <v>0</v>
      </c>
      <c r="V13" s="14">
        <f>AVERAGE(O13:O14)</f>
        <v>0</v>
      </c>
      <c r="Z13" s="14" t="s">
        <v>259</v>
      </c>
      <c r="AA13" s="18">
        <v>5</v>
      </c>
      <c r="AB13" s="9">
        <v>25</v>
      </c>
    </row>
    <row r="14" spans="1:28" x14ac:dyDescent="0.25">
      <c r="A14">
        <v>8</v>
      </c>
      <c r="B14" t="s">
        <v>26</v>
      </c>
      <c r="C14">
        <v>117140</v>
      </c>
      <c r="D14">
        <v>117133</v>
      </c>
      <c r="E14">
        <v>414390</v>
      </c>
      <c r="F14">
        <v>412871</v>
      </c>
      <c r="K14" s="14" t="s">
        <v>20</v>
      </c>
      <c r="L14" s="18">
        <v>0</v>
      </c>
      <c r="M14" s="14">
        <v>0</v>
      </c>
      <c r="N14" s="14">
        <v>0</v>
      </c>
      <c r="O14" s="14">
        <v>0</v>
      </c>
      <c r="Q14" s="18"/>
      <c r="R14" s="14" t="s">
        <v>241</v>
      </c>
      <c r="S14" s="8">
        <f>AVERAGE(L15:L16)</f>
        <v>113173</v>
      </c>
      <c r="T14" s="14">
        <f>AVERAGE(M15:M16)</f>
        <v>0.05</v>
      </c>
      <c r="U14" s="8">
        <f>AVERAGE(N15:N16)</f>
        <v>0.25</v>
      </c>
      <c r="V14" s="14">
        <f>AVERAGE(O15:O16)</f>
        <v>0.25</v>
      </c>
      <c r="Z14" s="14" t="s">
        <v>260</v>
      </c>
      <c r="AA14" s="18">
        <v>10</v>
      </c>
      <c r="AB14" s="9">
        <v>50</v>
      </c>
    </row>
    <row r="15" spans="1:28" x14ac:dyDescent="0.25">
      <c r="A15">
        <v>9</v>
      </c>
      <c r="B15" t="s">
        <v>27</v>
      </c>
      <c r="C15">
        <v>2317099</v>
      </c>
      <c r="D15">
        <v>2313151</v>
      </c>
      <c r="E15">
        <v>289350</v>
      </c>
      <c r="F15">
        <v>289350</v>
      </c>
      <c r="K15" s="14" t="s">
        <v>25</v>
      </c>
      <c r="L15" s="18">
        <v>109206</v>
      </c>
      <c r="M15" s="14">
        <v>0.05</v>
      </c>
      <c r="N15" s="14">
        <v>0.25</v>
      </c>
      <c r="O15" s="14">
        <v>0.25</v>
      </c>
      <c r="Q15" s="18"/>
      <c r="R15" s="14" t="s">
        <v>242</v>
      </c>
      <c r="S15" s="8">
        <f>AVERAGE(L17:L18)</f>
        <v>919805</v>
      </c>
      <c r="T15" s="14">
        <f>AVERAGE(M17:M18)</f>
        <v>0.5</v>
      </c>
      <c r="U15" s="8">
        <f>AVERAGE(N17:N18)</f>
        <v>2.5</v>
      </c>
      <c r="V15" s="14">
        <f>AVERAGE(O17:O18)</f>
        <v>2.5</v>
      </c>
      <c r="Z15" s="15" t="s">
        <v>261</v>
      </c>
      <c r="AA15" s="5">
        <v>10</v>
      </c>
      <c r="AB15" s="6">
        <v>50</v>
      </c>
    </row>
    <row r="16" spans="1:28" x14ac:dyDescent="0.25">
      <c r="A16">
        <v>10</v>
      </c>
      <c r="B16" t="s">
        <v>40</v>
      </c>
      <c r="C16">
        <v>2155583</v>
      </c>
      <c r="D16">
        <v>2145706</v>
      </c>
      <c r="E16">
        <v>326195</v>
      </c>
      <c r="F16">
        <v>321995</v>
      </c>
      <c r="K16" s="14" t="s">
        <v>26</v>
      </c>
      <c r="L16" s="18">
        <v>117140</v>
      </c>
      <c r="M16" s="14">
        <v>0.05</v>
      </c>
      <c r="N16" s="14">
        <v>0.25</v>
      </c>
      <c r="O16" s="14">
        <v>0.25</v>
      </c>
      <c r="Q16" s="18"/>
      <c r="R16" s="15" t="s">
        <v>243</v>
      </c>
      <c r="S16" s="7">
        <f>AVERAGE(L19:L20)</f>
        <v>2236341</v>
      </c>
      <c r="T16" s="15">
        <f>AVERAGE(M19:M20)</f>
        <v>1</v>
      </c>
      <c r="U16" s="7">
        <f>AVERAGE(N19:N20)</f>
        <v>5</v>
      </c>
      <c r="V16" s="15">
        <f>AVERAGE(O19:O20)</f>
        <v>5</v>
      </c>
    </row>
    <row r="17" spans="1:22" x14ac:dyDescent="0.25">
      <c r="A17">
        <v>11</v>
      </c>
      <c r="B17" t="s">
        <v>29</v>
      </c>
      <c r="C17">
        <v>0</v>
      </c>
      <c r="D17">
        <v>33430</v>
      </c>
      <c r="E17">
        <v>440913</v>
      </c>
      <c r="F17">
        <v>440913</v>
      </c>
      <c r="K17" s="14" t="s">
        <v>23</v>
      </c>
      <c r="L17" s="18">
        <v>853878</v>
      </c>
      <c r="M17" s="14">
        <v>0.5</v>
      </c>
      <c r="N17" s="14">
        <v>2.5</v>
      </c>
      <c r="O17" s="14">
        <v>2.5</v>
      </c>
      <c r="Q17" s="75">
        <v>44384</v>
      </c>
      <c r="R17" s="16" t="s">
        <v>245</v>
      </c>
      <c r="S17" s="8">
        <v>0</v>
      </c>
      <c r="T17" s="14">
        <v>0</v>
      </c>
      <c r="U17" s="8">
        <v>0</v>
      </c>
      <c r="V17" s="14">
        <v>0</v>
      </c>
    </row>
    <row r="18" spans="1:22" x14ac:dyDescent="0.25">
      <c r="A18">
        <v>12</v>
      </c>
      <c r="B18" t="s">
        <v>30</v>
      </c>
      <c r="C18">
        <v>0</v>
      </c>
      <c r="D18">
        <v>0</v>
      </c>
      <c r="E18">
        <v>499398</v>
      </c>
      <c r="F18">
        <v>497774</v>
      </c>
      <c r="K18" s="14" t="s">
        <v>24</v>
      </c>
      <c r="L18" s="18">
        <v>985732</v>
      </c>
      <c r="M18" s="14">
        <v>0.5</v>
      </c>
      <c r="N18" s="14">
        <v>2.5</v>
      </c>
      <c r="O18" s="14">
        <v>2.5</v>
      </c>
      <c r="Q18" s="14"/>
      <c r="R18" s="14" t="s">
        <v>246</v>
      </c>
      <c r="S18" s="8">
        <v>824048.5</v>
      </c>
      <c r="T18" s="14">
        <v>0.25</v>
      </c>
      <c r="U18" s="8">
        <v>1.25</v>
      </c>
      <c r="V18" s="14">
        <v>1.25</v>
      </c>
    </row>
    <row r="19" spans="1:22" x14ac:dyDescent="0.25">
      <c r="A19">
        <v>13</v>
      </c>
      <c r="B19" t="s">
        <v>28</v>
      </c>
      <c r="C19">
        <v>0</v>
      </c>
      <c r="D19">
        <v>0</v>
      </c>
      <c r="E19">
        <v>364185</v>
      </c>
      <c r="F19">
        <v>363610</v>
      </c>
      <c r="K19" s="14" t="s">
        <v>27</v>
      </c>
      <c r="L19" s="18">
        <v>2317099</v>
      </c>
      <c r="M19" s="14">
        <v>1</v>
      </c>
      <c r="N19" s="14">
        <v>5</v>
      </c>
      <c r="O19" s="14">
        <v>5</v>
      </c>
      <c r="Q19" s="14"/>
      <c r="R19" s="14" t="s">
        <v>247</v>
      </c>
      <c r="S19" s="8">
        <v>8981526</v>
      </c>
      <c r="T19" s="14">
        <v>2</v>
      </c>
      <c r="U19" s="8">
        <v>10</v>
      </c>
      <c r="V19" s="14">
        <v>10</v>
      </c>
    </row>
    <row r="20" spans="1:22" x14ac:dyDescent="0.25">
      <c r="A20">
        <v>14</v>
      </c>
      <c r="B20" t="s">
        <v>31</v>
      </c>
      <c r="C20">
        <v>180679</v>
      </c>
      <c r="D20">
        <v>181013</v>
      </c>
      <c r="E20">
        <v>343231</v>
      </c>
      <c r="F20">
        <v>343231</v>
      </c>
      <c r="K20" s="15" t="s">
        <v>40</v>
      </c>
      <c r="L20" s="5">
        <v>2155583</v>
      </c>
      <c r="M20" s="15">
        <v>1</v>
      </c>
      <c r="N20" s="15">
        <v>5</v>
      </c>
      <c r="O20" s="15">
        <v>5</v>
      </c>
      <c r="Q20" s="15"/>
      <c r="R20" s="15" t="s">
        <v>248</v>
      </c>
      <c r="S20" s="7">
        <v>21318564</v>
      </c>
      <c r="T20" s="15">
        <v>5</v>
      </c>
      <c r="U20" s="7">
        <v>25</v>
      </c>
      <c r="V20" s="15">
        <v>25</v>
      </c>
    </row>
    <row r="21" spans="1:22" x14ac:dyDescent="0.25">
      <c r="A21">
        <v>15</v>
      </c>
      <c r="B21" t="s">
        <v>32</v>
      </c>
      <c r="C21">
        <v>207828</v>
      </c>
      <c r="D21">
        <v>208827</v>
      </c>
      <c r="E21">
        <v>343533</v>
      </c>
      <c r="F21">
        <v>342090</v>
      </c>
      <c r="P21" s="8"/>
      <c r="Q21" s="8"/>
      <c r="R21" s="8"/>
      <c r="S21" s="8"/>
      <c r="T21" s="8"/>
      <c r="U21" s="8"/>
    </row>
    <row r="22" spans="1:22" x14ac:dyDescent="0.25">
      <c r="A22">
        <v>16</v>
      </c>
      <c r="B22" t="s">
        <v>34</v>
      </c>
      <c r="C22">
        <v>194928</v>
      </c>
      <c r="D22">
        <v>196476</v>
      </c>
      <c r="E22">
        <v>387266</v>
      </c>
      <c r="F22">
        <v>384859</v>
      </c>
      <c r="K22" s="35" t="s">
        <v>55</v>
      </c>
    </row>
    <row r="23" spans="1:22" x14ac:dyDescent="0.25">
      <c r="A23">
        <v>17</v>
      </c>
      <c r="B23" t="s">
        <v>35</v>
      </c>
      <c r="C23">
        <v>275736</v>
      </c>
      <c r="D23">
        <v>275814</v>
      </c>
      <c r="E23">
        <v>346011</v>
      </c>
      <c r="F23">
        <v>346011</v>
      </c>
      <c r="K23" s="75">
        <v>44382</v>
      </c>
      <c r="L23" s="17" t="s">
        <v>56</v>
      </c>
      <c r="M23" s="3" t="s">
        <v>57</v>
      </c>
      <c r="N23" s="3" t="s">
        <v>58</v>
      </c>
      <c r="O23" s="17" t="s">
        <v>64</v>
      </c>
      <c r="P23" s="3" t="s">
        <v>267</v>
      </c>
      <c r="Q23" s="4" t="s">
        <v>264</v>
      </c>
      <c r="R23" s="17" t="s">
        <v>263</v>
      </c>
      <c r="S23" s="4"/>
      <c r="T23" s="77" t="s">
        <v>88</v>
      </c>
    </row>
    <row r="24" spans="1:22" x14ac:dyDescent="0.25">
      <c r="A24">
        <v>18</v>
      </c>
      <c r="B24" t="s">
        <v>36</v>
      </c>
      <c r="C24">
        <v>742742</v>
      </c>
      <c r="D24">
        <v>742742</v>
      </c>
      <c r="E24">
        <v>449807</v>
      </c>
      <c r="F24">
        <v>448666</v>
      </c>
      <c r="K24" s="14" t="s">
        <v>54</v>
      </c>
      <c r="L24" s="18" t="s">
        <v>12</v>
      </c>
      <c r="M24" s="8" t="s">
        <v>59</v>
      </c>
      <c r="N24" s="8" t="s">
        <v>60</v>
      </c>
      <c r="O24" s="18" t="s">
        <v>262</v>
      </c>
      <c r="P24" s="8" t="s">
        <v>268</v>
      </c>
      <c r="Q24" s="60" t="s">
        <v>269</v>
      </c>
      <c r="R24" s="18" t="s">
        <v>266</v>
      </c>
      <c r="S24" s="9" t="s">
        <v>265</v>
      </c>
      <c r="T24" s="60" t="s">
        <v>89</v>
      </c>
    </row>
    <row r="25" spans="1:22" x14ac:dyDescent="0.25">
      <c r="A25">
        <v>19</v>
      </c>
      <c r="B25" t="s">
        <v>37</v>
      </c>
      <c r="C25">
        <v>666333</v>
      </c>
      <c r="D25">
        <v>664531</v>
      </c>
      <c r="E25">
        <v>52642</v>
      </c>
      <c r="F25">
        <v>352091</v>
      </c>
      <c r="K25" s="16" t="s">
        <v>21</v>
      </c>
      <c r="L25" s="17">
        <v>0</v>
      </c>
      <c r="M25" s="3">
        <v>0</v>
      </c>
      <c r="N25" s="3">
        <f>M25*8</f>
        <v>0</v>
      </c>
      <c r="O25" s="17">
        <v>0</v>
      </c>
      <c r="P25" s="3">
        <v>0</v>
      </c>
      <c r="Q25" s="4">
        <v>0</v>
      </c>
      <c r="R25" s="17">
        <v>0</v>
      </c>
      <c r="S25" s="4">
        <v>0</v>
      </c>
      <c r="T25" s="4"/>
    </row>
    <row r="26" spans="1:22" x14ac:dyDescent="0.25">
      <c r="A26">
        <v>20</v>
      </c>
      <c r="B26" t="s">
        <v>38</v>
      </c>
      <c r="C26">
        <v>568617</v>
      </c>
      <c r="D26">
        <v>568617</v>
      </c>
      <c r="E26">
        <v>433420</v>
      </c>
      <c r="F26">
        <v>430546</v>
      </c>
      <c r="K26" s="14" t="s">
        <v>22</v>
      </c>
      <c r="L26" s="42">
        <v>0</v>
      </c>
      <c r="M26" s="10">
        <v>0</v>
      </c>
      <c r="N26" s="8">
        <f t="shared" ref="N26:N36" si="0">M26*8</f>
        <v>0</v>
      </c>
      <c r="O26" s="18">
        <v>0</v>
      </c>
      <c r="P26" s="8">
        <v>0</v>
      </c>
      <c r="Q26" s="9">
        <v>0</v>
      </c>
      <c r="R26" s="18">
        <v>0</v>
      </c>
      <c r="S26" s="9">
        <v>0</v>
      </c>
      <c r="T26" s="9"/>
    </row>
    <row r="27" spans="1:22" x14ac:dyDescent="0.25">
      <c r="A27">
        <v>21</v>
      </c>
      <c r="B27" t="s">
        <v>39</v>
      </c>
      <c r="C27">
        <v>616447</v>
      </c>
      <c r="D27">
        <v>616356</v>
      </c>
      <c r="E27">
        <v>383199</v>
      </c>
      <c r="F27">
        <v>381088</v>
      </c>
      <c r="K27" s="14" t="s">
        <v>29</v>
      </c>
      <c r="L27" s="18">
        <v>0</v>
      </c>
      <c r="M27" s="8">
        <v>0</v>
      </c>
      <c r="N27" s="8">
        <f t="shared" si="0"/>
        <v>0</v>
      </c>
      <c r="O27" s="18">
        <v>0</v>
      </c>
      <c r="P27" s="8">
        <v>0</v>
      </c>
      <c r="Q27" s="9">
        <v>0</v>
      </c>
      <c r="R27" s="18">
        <v>0</v>
      </c>
      <c r="S27" s="9">
        <v>0</v>
      </c>
      <c r="T27" s="9"/>
    </row>
    <row r="28" spans="1:22" x14ac:dyDescent="0.25">
      <c r="A28">
        <v>22</v>
      </c>
      <c r="B28" t="s">
        <v>33</v>
      </c>
      <c r="C28">
        <v>0</v>
      </c>
      <c r="D28">
        <v>42100</v>
      </c>
      <c r="E28">
        <v>354679</v>
      </c>
      <c r="F28">
        <v>354679</v>
      </c>
      <c r="K28" s="15" t="s">
        <v>30</v>
      </c>
      <c r="L28" s="43">
        <v>0</v>
      </c>
      <c r="M28" s="44">
        <v>0</v>
      </c>
      <c r="N28" s="7">
        <f t="shared" si="0"/>
        <v>0</v>
      </c>
      <c r="O28" s="5">
        <v>0</v>
      </c>
      <c r="P28" s="7">
        <v>0</v>
      </c>
      <c r="Q28" s="6">
        <v>0</v>
      </c>
      <c r="R28" s="5">
        <v>0</v>
      </c>
      <c r="S28" s="6">
        <v>0</v>
      </c>
      <c r="T28" s="6"/>
    </row>
    <row r="29" spans="1:22" x14ac:dyDescent="0.25">
      <c r="K29" s="36" t="s">
        <v>31</v>
      </c>
      <c r="L29" s="17">
        <v>180679</v>
      </c>
      <c r="M29" s="3">
        <v>2.5</v>
      </c>
      <c r="N29" s="3">
        <f t="shared" si="0"/>
        <v>20</v>
      </c>
      <c r="O29" s="78">
        <v>0.49149010722689601</v>
      </c>
      <c r="P29" s="79">
        <v>0.9829802144537918</v>
      </c>
      <c r="Q29" s="80">
        <v>7.8638417156303344</v>
      </c>
      <c r="R29" s="78">
        <v>12.136158284369666</v>
      </c>
      <c r="S29" s="80">
        <v>0.60680791421848324</v>
      </c>
      <c r="T29" s="80">
        <v>0.61731447418365937</v>
      </c>
    </row>
    <row r="30" spans="1:22" x14ac:dyDescent="0.25">
      <c r="K30" s="37" t="s">
        <v>32</v>
      </c>
      <c r="L30" s="18">
        <v>207828</v>
      </c>
      <c r="M30" s="8">
        <v>2.5</v>
      </c>
      <c r="N30" s="8">
        <f t="shared" si="0"/>
        <v>20</v>
      </c>
      <c r="O30" s="81">
        <v>0.55315299320617817</v>
      </c>
      <c r="P30" s="82">
        <v>1.1063059864123563</v>
      </c>
      <c r="Q30" s="83">
        <v>8.8504478912988507</v>
      </c>
      <c r="R30" s="81">
        <v>11.149552108701149</v>
      </c>
      <c r="S30" s="83">
        <v>0.55747760543505742</v>
      </c>
      <c r="T30" s="83">
        <v>0.50390905615805581</v>
      </c>
    </row>
    <row r="31" spans="1:22" x14ac:dyDescent="0.25">
      <c r="A31" t="s">
        <v>90</v>
      </c>
      <c r="K31" s="37" t="s">
        <v>34</v>
      </c>
      <c r="L31" s="18">
        <v>194928</v>
      </c>
      <c r="M31" s="8">
        <v>2.5</v>
      </c>
      <c r="N31" s="8">
        <f t="shared" si="0"/>
        <v>20</v>
      </c>
      <c r="O31" s="81">
        <v>0.52385352622276293</v>
      </c>
      <c r="P31" s="82">
        <v>1.0477070524455259</v>
      </c>
      <c r="Q31" s="83">
        <v>8.3816564195642069</v>
      </c>
      <c r="R31" s="81">
        <v>11.618343580435793</v>
      </c>
      <c r="S31" s="83">
        <v>0.58091717902178963</v>
      </c>
      <c r="T31" s="83">
        <v>0.55446527506503884</v>
      </c>
    </row>
    <row r="32" spans="1:22" x14ac:dyDescent="0.25">
      <c r="A32" t="s">
        <v>91</v>
      </c>
      <c r="K32" s="15" t="s">
        <v>35</v>
      </c>
      <c r="L32" s="5">
        <v>275736</v>
      </c>
      <c r="M32" s="7">
        <v>2.5</v>
      </c>
      <c r="N32" s="7">
        <f t="shared" si="0"/>
        <v>20</v>
      </c>
      <c r="O32" s="84">
        <v>0.70739083847050077</v>
      </c>
      <c r="P32" s="85">
        <v>1.4147816769410015</v>
      </c>
      <c r="Q32" s="86">
        <v>11.318253415528012</v>
      </c>
      <c r="R32" s="84">
        <v>8.6817465844719877</v>
      </c>
      <c r="S32" s="86">
        <v>0.43408732922359938</v>
      </c>
      <c r="T32" s="86">
        <v>0.30682283796760074</v>
      </c>
    </row>
    <row r="33" spans="1:20" x14ac:dyDescent="0.25">
      <c r="A33" t="s">
        <v>7</v>
      </c>
      <c r="K33" s="16" t="s">
        <v>36</v>
      </c>
      <c r="L33" s="17">
        <v>742742</v>
      </c>
      <c r="M33" s="3">
        <v>7.5</v>
      </c>
      <c r="N33" s="3">
        <f t="shared" si="0"/>
        <v>60</v>
      </c>
      <c r="O33" s="78">
        <v>1.7680905964594018</v>
      </c>
      <c r="P33" s="79">
        <v>3.5361811929188036</v>
      </c>
      <c r="Q33" s="80">
        <v>28.289449543350429</v>
      </c>
      <c r="R33" s="78">
        <v>31.710550456649571</v>
      </c>
      <c r="S33" s="80">
        <v>1.5855275228324786</v>
      </c>
      <c r="T33" s="80">
        <v>0.44837281698333065</v>
      </c>
    </row>
    <row r="34" spans="1:20" x14ac:dyDescent="0.25">
      <c r="A34" t="s">
        <v>8</v>
      </c>
      <c r="K34" s="14" t="s">
        <v>37</v>
      </c>
      <c r="L34" s="18">
        <v>666333</v>
      </c>
      <c r="M34" s="8">
        <v>7.5</v>
      </c>
      <c r="N34" s="8">
        <f t="shared" si="0"/>
        <v>60</v>
      </c>
      <c r="O34" s="81">
        <v>1.5945446295806596</v>
      </c>
      <c r="P34" s="82">
        <v>3.1890892591613191</v>
      </c>
      <c r="Q34" s="83">
        <v>25.512714073290553</v>
      </c>
      <c r="R34" s="81">
        <v>34.487285926709447</v>
      </c>
      <c r="S34" s="83">
        <v>1.7243642963354724</v>
      </c>
      <c r="T34" s="83">
        <v>0.54070744222096601</v>
      </c>
    </row>
    <row r="35" spans="1:20" x14ac:dyDescent="0.25">
      <c r="C35" s="17" t="s">
        <v>237</v>
      </c>
      <c r="D35" s="4"/>
      <c r="E35" s="3" t="s">
        <v>238</v>
      </c>
      <c r="F35" s="4"/>
      <c r="K35" s="14" t="s">
        <v>38</v>
      </c>
      <c r="L35" s="18">
        <v>568617</v>
      </c>
      <c r="M35" s="8">
        <v>7.5</v>
      </c>
      <c r="N35" s="8">
        <f t="shared" si="0"/>
        <v>60</v>
      </c>
      <c r="O35" s="81">
        <v>1.3726045740960544</v>
      </c>
      <c r="P35" s="82">
        <v>2.7452091481921088</v>
      </c>
      <c r="Q35" s="83">
        <v>21.961673185536871</v>
      </c>
      <c r="R35" s="81">
        <v>38.038326814463133</v>
      </c>
      <c r="S35" s="83">
        <v>1.9019163407231567</v>
      </c>
      <c r="T35" s="83">
        <v>0.69281291080342167</v>
      </c>
    </row>
    <row r="36" spans="1:20" ht="15.75" thickBot="1" x14ac:dyDescent="0.3">
      <c r="A36" t="s">
        <v>2</v>
      </c>
      <c r="B36" t="s">
        <v>3</v>
      </c>
      <c r="C36" s="5" t="s">
        <v>12</v>
      </c>
      <c r="D36" s="6" t="s">
        <v>13</v>
      </c>
      <c r="E36" s="7" t="s">
        <v>17</v>
      </c>
      <c r="F36" s="6" t="s">
        <v>18</v>
      </c>
      <c r="K36" s="15" t="s">
        <v>39</v>
      </c>
      <c r="L36" s="5">
        <v>616447</v>
      </c>
      <c r="M36" s="7">
        <v>7.5</v>
      </c>
      <c r="N36" s="7">
        <f t="shared" si="0"/>
        <v>60</v>
      </c>
      <c r="O36" s="84">
        <v>1.4812397295857251</v>
      </c>
      <c r="P36" s="85">
        <v>2.9624794591714503</v>
      </c>
      <c r="Q36" s="86">
        <v>23.699835673371602</v>
      </c>
      <c r="R36" s="84">
        <v>36.300164326628398</v>
      </c>
      <c r="S36" s="83">
        <v>1.8150082163314198</v>
      </c>
      <c r="T36" s="83">
        <v>0.61266524927705102</v>
      </c>
    </row>
    <row r="37" spans="1:20" x14ac:dyDescent="0.25">
      <c r="A37">
        <v>1</v>
      </c>
      <c r="B37" t="s">
        <v>92</v>
      </c>
      <c r="S37" s="90" t="s">
        <v>46</v>
      </c>
      <c r="T37" s="91">
        <f>AVERAGE(T29:T36)</f>
        <v>0.53463375783239042</v>
      </c>
    </row>
    <row r="38" spans="1:20" ht="15.75" thickBot="1" x14ac:dyDescent="0.3">
      <c r="A38">
        <v>2</v>
      </c>
      <c r="B38" t="s">
        <v>94</v>
      </c>
      <c r="C38">
        <v>0</v>
      </c>
      <c r="D38">
        <v>45132</v>
      </c>
      <c r="E38">
        <v>341416</v>
      </c>
      <c r="F38">
        <v>341416</v>
      </c>
      <c r="S38" s="54" t="s">
        <v>116</v>
      </c>
      <c r="T38" s="56">
        <f>STDEV(T29:T36)</f>
        <v>0.1187185206905421</v>
      </c>
    </row>
    <row r="39" spans="1:20" x14ac:dyDescent="0.25">
      <c r="A39">
        <v>3</v>
      </c>
      <c r="B39" t="s">
        <v>95</v>
      </c>
      <c r="C39">
        <v>0</v>
      </c>
      <c r="D39">
        <v>50110</v>
      </c>
      <c r="E39">
        <v>607250</v>
      </c>
      <c r="F39">
        <v>607250</v>
      </c>
    </row>
    <row r="40" spans="1:20" x14ac:dyDescent="0.25">
      <c r="A40">
        <v>4</v>
      </c>
      <c r="B40" t="s">
        <v>93</v>
      </c>
      <c r="C40">
        <v>844407</v>
      </c>
      <c r="D40">
        <v>844407</v>
      </c>
      <c r="E40">
        <v>130937</v>
      </c>
      <c r="F40">
        <v>136149</v>
      </c>
      <c r="K40" s="35" t="s">
        <v>55</v>
      </c>
    </row>
    <row r="41" spans="1:20" x14ac:dyDescent="0.25">
      <c r="A41">
        <v>5</v>
      </c>
      <c r="B41" t="s">
        <v>96</v>
      </c>
      <c r="C41">
        <v>803690</v>
      </c>
      <c r="D41">
        <v>803690</v>
      </c>
      <c r="E41">
        <v>97902</v>
      </c>
      <c r="F41">
        <v>98704</v>
      </c>
      <c r="K41" s="75">
        <v>44382</v>
      </c>
      <c r="L41" s="17" t="s">
        <v>56</v>
      </c>
      <c r="M41" s="3" t="s">
        <v>57</v>
      </c>
      <c r="N41" s="3" t="s">
        <v>58</v>
      </c>
      <c r="O41" s="17" t="s">
        <v>64</v>
      </c>
      <c r="P41" s="3" t="s">
        <v>267</v>
      </c>
      <c r="Q41" s="4" t="s">
        <v>264</v>
      </c>
      <c r="R41" s="17" t="s">
        <v>263</v>
      </c>
      <c r="S41" s="4"/>
      <c r="T41" s="77" t="s">
        <v>88</v>
      </c>
    </row>
    <row r="42" spans="1:20" x14ac:dyDescent="0.25">
      <c r="A42">
        <v>6</v>
      </c>
      <c r="B42" t="s">
        <v>97</v>
      </c>
      <c r="C42">
        <v>8946010</v>
      </c>
      <c r="D42">
        <v>8918872</v>
      </c>
      <c r="E42">
        <v>279894</v>
      </c>
      <c r="F42">
        <v>279894</v>
      </c>
      <c r="K42" s="14" t="s">
        <v>281</v>
      </c>
      <c r="L42" s="18" t="s">
        <v>12</v>
      </c>
      <c r="M42" s="8" t="s">
        <v>59</v>
      </c>
      <c r="N42" s="8" t="s">
        <v>60</v>
      </c>
      <c r="O42" s="18" t="s">
        <v>262</v>
      </c>
      <c r="P42" s="8" t="s">
        <v>268</v>
      </c>
      <c r="Q42" s="60" t="s">
        <v>269</v>
      </c>
      <c r="R42" s="18" t="s">
        <v>266</v>
      </c>
      <c r="S42" s="9" t="s">
        <v>265</v>
      </c>
      <c r="T42" s="60" t="s">
        <v>89</v>
      </c>
    </row>
    <row r="43" spans="1:20" x14ac:dyDescent="0.25">
      <c r="A43">
        <v>7</v>
      </c>
      <c r="B43" t="s">
        <v>98</v>
      </c>
      <c r="C43">
        <v>9017042</v>
      </c>
      <c r="D43">
        <v>8990727</v>
      </c>
      <c r="E43">
        <v>282159</v>
      </c>
      <c r="F43">
        <v>282159</v>
      </c>
      <c r="K43" s="17" t="s">
        <v>282</v>
      </c>
      <c r="L43" s="17">
        <f>AVERAGE(L25:L26)</f>
        <v>0</v>
      </c>
      <c r="M43" s="3">
        <f t="shared" ref="M43:S43" si="1">AVERAGE(M25:M26)</f>
        <v>0</v>
      </c>
      <c r="N43" s="4">
        <f t="shared" si="1"/>
        <v>0</v>
      </c>
      <c r="O43" s="17">
        <f t="shared" si="1"/>
        <v>0</v>
      </c>
      <c r="P43" s="3">
        <f t="shared" si="1"/>
        <v>0</v>
      </c>
      <c r="Q43" s="4">
        <f t="shared" si="1"/>
        <v>0</v>
      </c>
      <c r="R43" s="17">
        <f t="shared" si="1"/>
        <v>0</v>
      </c>
      <c r="S43" s="4">
        <f t="shared" si="1"/>
        <v>0</v>
      </c>
      <c r="T43" s="4"/>
    </row>
    <row r="44" spans="1:20" x14ac:dyDescent="0.25">
      <c r="A44">
        <v>8</v>
      </c>
      <c r="B44" t="s">
        <v>99</v>
      </c>
      <c r="C44">
        <v>21292759</v>
      </c>
      <c r="D44">
        <v>21232349</v>
      </c>
      <c r="E44">
        <v>487153</v>
      </c>
      <c r="F44">
        <v>487153</v>
      </c>
      <c r="K44" s="18" t="s">
        <v>283</v>
      </c>
      <c r="L44" s="5">
        <f>AVERAGE(L27:L28)</f>
        <v>0</v>
      </c>
      <c r="M44" s="7">
        <f t="shared" ref="M44:S44" si="2">AVERAGE(M27:M28)</f>
        <v>0</v>
      </c>
      <c r="N44" s="6">
        <f t="shared" si="2"/>
        <v>0</v>
      </c>
      <c r="O44" s="5">
        <f t="shared" si="2"/>
        <v>0</v>
      </c>
      <c r="P44" s="7">
        <f t="shared" si="2"/>
        <v>0</v>
      </c>
      <c r="Q44" s="6">
        <f t="shared" si="2"/>
        <v>0</v>
      </c>
      <c r="R44" s="5">
        <f t="shared" si="2"/>
        <v>0</v>
      </c>
      <c r="S44" s="6">
        <f t="shared" si="2"/>
        <v>0</v>
      </c>
      <c r="T44" s="6"/>
    </row>
    <row r="45" spans="1:20" x14ac:dyDescent="0.25">
      <c r="A45">
        <v>9</v>
      </c>
      <c r="B45" t="s">
        <v>100</v>
      </c>
      <c r="C45">
        <v>21344369</v>
      </c>
      <c r="D45">
        <v>21268193</v>
      </c>
      <c r="E45">
        <v>588156</v>
      </c>
      <c r="F45">
        <v>588156</v>
      </c>
      <c r="K45" s="94" t="s">
        <v>284</v>
      </c>
      <c r="L45" s="17">
        <f>AVERAGE(L29:L30)</f>
        <v>194253.5</v>
      </c>
      <c r="M45" s="3">
        <f t="shared" ref="M45:T45" si="3">AVERAGE(M29:M30)</f>
        <v>2.5</v>
      </c>
      <c r="N45" s="4">
        <f t="shared" si="3"/>
        <v>20</v>
      </c>
      <c r="O45" s="17">
        <f t="shared" si="3"/>
        <v>0.52232155021653703</v>
      </c>
      <c r="P45" s="3">
        <f t="shared" si="3"/>
        <v>1.0446431004330741</v>
      </c>
      <c r="Q45" s="4">
        <f t="shared" si="3"/>
        <v>8.3571448034645925</v>
      </c>
      <c r="R45" s="17">
        <f t="shared" si="3"/>
        <v>11.642855196535407</v>
      </c>
      <c r="S45" s="4">
        <f t="shared" si="3"/>
        <v>0.58214275982677033</v>
      </c>
      <c r="T45" s="4">
        <f t="shared" si="3"/>
        <v>0.56061176517085753</v>
      </c>
    </row>
    <row r="46" spans="1:20" x14ac:dyDescent="0.25">
      <c r="A46">
        <v>10</v>
      </c>
      <c r="B46" t="s">
        <v>113</v>
      </c>
      <c r="C46">
        <v>485398</v>
      </c>
      <c r="D46">
        <v>486020</v>
      </c>
      <c r="E46">
        <v>509719</v>
      </c>
      <c r="F46">
        <v>505768</v>
      </c>
      <c r="K46" s="42" t="s">
        <v>285</v>
      </c>
      <c r="L46" s="5">
        <f>AVERAGE(L31:L32)</f>
        <v>235332</v>
      </c>
      <c r="M46" s="7">
        <f t="shared" ref="M46:T46" si="4">AVERAGE(M31:M32)</f>
        <v>2.5</v>
      </c>
      <c r="N46" s="6">
        <f t="shared" si="4"/>
        <v>20</v>
      </c>
      <c r="O46" s="5">
        <f t="shared" si="4"/>
        <v>0.61562218234663191</v>
      </c>
      <c r="P46" s="7">
        <f t="shared" si="4"/>
        <v>1.2312443646932638</v>
      </c>
      <c r="Q46" s="6">
        <f t="shared" si="4"/>
        <v>9.8499549175461105</v>
      </c>
      <c r="R46" s="5">
        <f t="shared" si="4"/>
        <v>10.150045082453889</v>
      </c>
      <c r="S46" s="6">
        <f t="shared" si="4"/>
        <v>0.50750225412269456</v>
      </c>
      <c r="T46" s="6">
        <f t="shared" si="4"/>
        <v>0.43064405651631976</v>
      </c>
    </row>
    <row r="47" spans="1:20" x14ac:dyDescent="0.25">
      <c r="A47">
        <v>11</v>
      </c>
      <c r="B47" t="s">
        <v>101</v>
      </c>
      <c r="C47">
        <v>1537277</v>
      </c>
      <c r="D47">
        <v>1535444</v>
      </c>
      <c r="E47">
        <v>270128</v>
      </c>
      <c r="F47">
        <v>268122</v>
      </c>
      <c r="K47" s="17" t="s">
        <v>286</v>
      </c>
      <c r="L47" s="18">
        <f>AVERAGE(L33:L34)</f>
        <v>704537.5</v>
      </c>
      <c r="M47" s="8">
        <f t="shared" ref="M47:T47" si="5">AVERAGE(M33:M34)</f>
        <v>7.5</v>
      </c>
      <c r="N47" s="9">
        <f t="shared" si="5"/>
        <v>60</v>
      </c>
      <c r="O47" s="18">
        <f t="shared" si="5"/>
        <v>1.6813176130200307</v>
      </c>
      <c r="P47" s="8">
        <f t="shared" si="5"/>
        <v>3.3626352260400614</v>
      </c>
      <c r="Q47" s="9">
        <f t="shared" si="5"/>
        <v>26.901081808320491</v>
      </c>
      <c r="R47" s="18">
        <f t="shared" si="5"/>
        <v>33.098918191679509</v>
      </c>
      <c r="S47" s="9">
        <f t="shared" si="5"/>
        <v>1.6549459095839754</v>
      </c>
      <c r="T47" s="9">
        <f t="shared" si="5"/>
        <v>0.49454012960214833</v>
      </c>
    </row>
    <row r="48" spans="1:20" x14ac:dyDescent="0.25">
      <c r="A48">
        <v>12</v>
      </c>
      <c r="B48" t="s">
        <v>102</v>
      </c>
      <c r="C48">
        <v>1991960</v>
      </c>
      <c r="D48">
        <v>1991960</v>
      </c>
      <c r="E48">
        <v>237239</v>
      </c>
      <c r="F48">
        <v>237239</v>
      </c>
      <c r="K48" s="5" t="s">
        <v>287</v>
      </c>
      <c r="L48" s="5">
        <f>AVERAGE(L35:L36)</f>
        <v>592532</v>
      </c>
      <c r="M48" s="7">
        <f t="shared" ref="M48:T48" si="6">AVERAGE(M35:M36)</f>
        <v>7.5</v>
      </c>
      <c r="N48" s="6">
        <f t="shared" si="6"/>
        <v>60</v>
      </c>
      <c r="O48" s="5">
        <f t="shared" si="6"/>
        <v>1.4269221518408899</v>
      </c>
      <c r="P48" s="7">
        <f t="shared" si="6"/>
        <v>2.8538443036817798</v>
      </c>
      <c r="Q48" s="6">
        <f t="shared" si="6"/>
        <v>22.830754429454238</v>
      </c>
      <c r="R48" s="5">
        <f t="shared" si="6"/>
        <v>37.169245570545769</v>
      </c>
      <c r="S48" s="6">
        <f t="shared" si="6"/>
        <v>1.8584622785272882</v>
      </c>
      <c r="T48" s="6">
        <f t="shared" si="6"/>
        <v>0.6527390800402364</v>
      </c>
    </row>
    <row r="49" spans="1:21" x14ac:dyDescent="0.25">
      <c r="A49">
        <v>13</v>
      </c>
      <c r="B49" t="s">
        <v>103</v>
      </c>
      <c r="C49">
        <v>1217692</v>
      </c>
      <c r="D49">
        <v>1216284</v>
      </c>
      <c r="E49">
        <v>435691</v>
      </c>
      <c r="F49">
        <v>435691</v>
      </c>
    </row>
    <row r="50" spans="1:21" x14ac:dyDescent="0.25">
      <c r="A50">
        <v>14</v>
      </c>
      <c r="B50" t="s">
        <v>104</v>
      </c>
      <c r="C50">
        <v>1289070</v>
      </c>
      <c r="D50">
        <v>1286556</v>
      </c>
      <c r="E50">
        <v>409520</v>
      </c>
      <c r="F50">
        <v>406602</v>
      </c>
    </row>
    <row r="51" spans="1:21" x14ac:dyDescent="0.25">
      <c r="A51">
        <v>15</v>
      </c>
      <c r="B51" t="s">
        <v>105</v>
      </c>
      <c r="C51">
        <v>2840377</v>
      </c>
      <c r="D51">
        <v>2826529</v>
      </c>
      <c r="E51">
        <v>374085</v>
      </c>
      <c r="F51">
        <v>373631</v>
      </c>
    </row>
    <row r="52" spans="1:21" x14ac:dyDescent="0.25">
      <c r="A52">
        <v>16</v>
      </c>
      <c r="B52" t="s">
        <v>106</v>
      </c>
      <c r="C52">
        <v>3645438</v>
      </c>
      <c r="D52">
        <v>3631848</v>
      </c>
      <c r="E52">
        <v>493403</v>
      </c>
      <c r="F52">
        <v>491254</v>
      </c>
      <c r="K52" s="76" t="s">
        <v>53</v>
      </c>
      <c r="Q52" s="76" t="s">
        <v>53</v>
      </c>
    </row>
    <row r="53" spans="1:21" x14ac:dyDescent="0.25">
      <c r="A53">
        <v>17</v>
      </c>
      <c r="B53" t="s">
        <v>107</v>
      </c>
      <c r="C53">
        <v>3724084</v>
      </c>
      <c r="D53">
        <v>3718770</v>
      </c>
      <c r="E53">
        <v>173044</v>
      </c>
      <c r="F53">
        <v>173044</v>
      </c>
      <c r="K53" s="75">
        <v>44384</v>
      </c>
      <c r="L53" s="17" t="s">
        <v>56</v>
      </c>
      <c r="M53" s="16" t="s">
        <v>57</v>
      </c>
      <c r="N53" s="16" t="s">
        <v>58</v>
      </c>
      <c r="O53" s="16" t="s">
        <v>62</v>
      </c>
      <c r="Q53" s="75">
        <v>44384</v>
      </c>
      <c r="R53" s="17" t="s">
        <v>56</v>
      </c>
      <c r="S53" s="16" t="s">
        <v>57</v>
      </c>
      <c r="T53" s="16" t="s">
        <v>58</v>
      </c>
      <c r="U53" s="16" t="s">
        <v>62</v>
      </c>
    </row>
    <row r="54" spans="1:21" x14ac:dyDescent="0.25">
      <c r="A54">
        <v>18</v>
      </c>
      <c r="B54" t="s">
        <v>108</v>
      </c>
      <c r="C54">
        <v>3662902</v>
      </c>
      <c r="D54">
        <v>3658071</v>
      </c>
      <c r="E54">
        <v>195773</v>
      </c>
      <c r="F54">
        <v>195773</v>
      </c>
      <c r="K54" s="15" t="s">
        <v>54</v>
      </c>
      <c r="L54" s="5" t="s">
        <v>12</v>
      </c>
      <c r="M54" s="15" t="s">
        <v>59</v>
      </c>
      <c r="N54" s="15" t="s">
        <v>60</v>
      </c>
      <c r="O54" s="15" t="s">
        <v>59</v>
      </c>
      <c r="Q54" s="15" t="s">
        <v>281</v>
      </c>
      <c r="R54" s="5" t="s">
        <v>12</v>
      </c>
      <c r="S54" s="15" t="s">
        <v>59</v>
      </c>
      <c r="T54" s="15" t="s">
        <v>60</v>
      </c>
      <c r="U54" s="15" t="s">
        <v>59</v>
      </c>
    </row>
    <row r="55" spans="1:21" x14ac:dyDescent="0.25">
      <c r="A55">
        <v>19</v>
      </c>
      <c r="B55" t="s">
        <v>109</v>
      </c>
      <c r="C55">
        <v>8169291</v>
      </c>
      <c r="D55">
        <v>8134064</v>
      </c>
      <c r="E55">
        <v>136648</v>
      </c>
      <c r="F55">
        <v>137318</v>
      </c>
      <c r="K55" s="16" t="s">
        <v>94</v>
      </c>
      <c r="L55" s="16">
        <v>0</v>
      </c>
      <c r="M55" s="16">
        <v>0</v>
      </c>
      <c r="N55" s="16">
        <v>0</v>
      </c>
      <c r="O55" s="4">
        <v>0</v>
      </c>
      <c r="Q55" s="16" t="s">
        <v>245</v>
      </c>
      <c r="R55">
        <f>AVERAGE(L55,L56,L58)</f>
        <v>0</v>
      </c>
      <c r="S55">
        <f>AVERAGE(M55,M56,M58)</f>
        <v>0</v>
      </c>
      <c r="T55">
        <f>AVERAGE(N55,N56,N58)</f>
        <v>0</v>
      </c>
      <c r="U55">
        <f>AVERAGE(O55,O56,O58)</f>
        <v>0</v>
      </c>
    </row>
    <row r="56" spans="1:21" x14ac:dyDescent="0.25">
      <c r="A56">
        <v>20</v>
      </c>
      <c r="B56" t="s">
        <v>110</v>
      </c>
      <c r="C56">
        <v>9621603</v>
      </c>
      <c r="D56">
        <v>9565766</v>
      </c>
      <c r="E56">
        <v>226320</v>
      </c>
      <c r="F56">
        <v>227867</v>
      </c>
      <c r="K56" s="14" t="s">
        <v>95</v>
      </c>
      <c r="L56" s="14">
        <v>0</v>
      </c>
      <c r="M56" s="14">
        <v>0</v>
      </c>
      <c r="N56" s="14">
        <v>0</v>
      </c>
      <c r="O56" s="9">
        <v>0</v>
      </c>
      <c r="Q56" s="14" t="s">
        <v>246</v>
      </c>
      <c r="R56">
        <f>AVERAGE(L59:L60)</f>
        <v>824048.5</v>
      </c>
      <c r="S56">
        <f>AVERAGE(M59:M60)</f>
        <v>0.25</v>
      </c>
      <c r="T56">
        <f>AVERAGE(N59:N60)</f>
        <v>1.25</v>
      </c>
      <c r="U56">
        <f>AVERAGE(O59:O60)</f>
        <v>1.25</v>
      </c>
    </row>
    <row r="57" spans="1:21" x14ac:dyDescent="0.25">
      <c r="A57">
        <v>21</v>
      </c>
      <c r="B57" t="s">
        <v>111</v>
      </c>
      <c r="C57">
        <v>5105882</v>
      </c>
      <c r="D57">
        <v>5071788</v>
      </c>
      <c r="E57">
        <v>261092</v>
      </c>
      <c r="F57">
        <v>262544</v>
      </c>
      <c r="K57" s="88" t="s">
        <v>113</v>
      </c>
      <c r="L57" s="88">
        <v>485398</v>
      </c>
      <c r="M57" s="88">
        <v>0</v>
      </c>
      <c r="N57" s="88">
        <v>0</v>
      </c>
      <c r="O57" s="89">
        <v>0</v>
      </c>
      <c r="Q57" s="14" t="s">
        <v>247</v>
      </c>
      <c r="R57">
        <f>AVERAGE(L61:L62)</f>
        <v>8981526</v>
      </c>
      <c r="S57">
        <f>AVERAGE(M61:M62)</f>
        <v>2</v>
      </c>
      <c r="T57">
        <f>AVERAGE(N61:N62)</f>
        <v>10</v>
      </c>
      <c r="U57">
        <f>AVERAGE(O61:O62)</f>
        <v>10</v>
      </c>
    </row>
    <row r="58" spans="1:21" x14ac:dyDescent="0.25">
      <c r="A58">
        <v>22</v>
      </c>
      <c r="B58" t="s">
        <v>112</v>
      </c>
      <c r="C58">
        <v>5160900</v>
      </c>
      <c r="D58">
        <v>5139561</v>
      </c>
      <c r="E58">
        <v>229732</v>
      </c>
      <c r="F58">
        <v>229732</v>
      </c>
      <c r="K58" s="14" t="s">
        <v>114</v>
      </c>
      <c r="L58" s="14">
        <v>0</v>
      </c>
      <c r="M58" s="14">
        <v>0</v>
      </c>
      <c r="N58" s="14">
        <v>0</v>
      </c>
      <c r="O58" s="9">
        <v>0</v>
      </c>
      <c r="Q58" s="14" t="s">
        <v>248</v>
      </c>
      <c r="R58">
        <f>AVERAGE(L63:L64)</f>
        <v>21318564</v>
      </c>
      <c r="S58">
        <f>AVERAGE(M63:M64)</f>
        <v>5</v>
      </c>
      <c r="T58">
        <f>AVERAGE(N63:N64)</f>
        <v>25</v>
      </c>
      <c r="U58">
        <f>AVERAGE(O63:O64)</f>
        <v>25</v>
      </c>
    </row>
    <row r="59" spans="1:21" x14ac:dyDescent="0.25">
      <c r="A59">
        <v>23</v>
      </c>
      <c r="B59" t="s">
        <v>114</v>
      </c>
      <c r="C59">
        <v>0</v>
      </c>
      <c r="D59">
        <v>133944</v>
      </c>
      <c r="E59">
        <v>241496</v>
      </c>
      <c r="F59">
        <v>241496</v>
      </c>
      <c r="K59" s="14" t="s">
        <v>93</v>
      </c>
      <c r="L59" s="14">
        <v>844407</v>
      </c>
      <c r="M59" s="14">
        <v>0.25</v>
      </c>
      <c r="N59" s="14">
        <v>1.25</v>
      </c>
      <c r="O59" s="9">
        <v>1.25</v>
      </c>
    </row>
    <row r="60" spans="1:21" x14ac:dyDescent="0.25">
      <c r="K60" s="14" t="s">
        <v>96</v>
      </c>
      <c r="L60" s="14">
        <v>803690</v>
      </c>
      <c r="M60" s="14">
        <v>0.25</v>
      </c>
      <c r="N60" s="14">
        <v>1.25</v>
      </c>
      <c r="O60" s="9">
        <v>1.25</v>
      </c>
    </row>
    <row r="61" spans="1:21" x14ac:dyDescent="0.25">
      <c r="K61" s="14" t="s">
        <v>97</v>
      </c>
      <c r="L61" s="14">
        <v>8946010</v>
      </c>
      <c r="M61" s="14">
        <v>2</v>
      </c>
      <c r="N61" s="14">
        <v>10</v>
      </c>
      <c r="O61" s="9">
        <v>10</v>
      </c>
    </row>
    <row r="62" spans="1:21" x14ac:dyDescent="0.25">
      <c r="K62" s="14" t="s">
        <v>98</v>
      </c>
      <c r="L62" s="14">
        <v>9017042</v>
      </c>
      <c r="M62" s="14">
        <v>2</v>
      </c>
      <c r="N62" s="14">
        <v>10</v>
      </c>
      <c r="O62" s="9">
        <v>10</v>
      </c>
    </row>
    <row r="63" spans="1:21" x14ac:dyDescent="0.25">
      <c r="K63" s="14" t="s">
        <v>99</v>
      </c>
      <c r="L63" s="14">
        <v>21292759</v>
      </c>
      <c r="M63" s="14">
        <v>5</v>
      </c>
      <c r="N63" s="14">
        <v>25</v>
      </c>
      <c r="O63" s="9">
        <v>25</v>
      </c>
    </row>
    <row r="64" spans="1:21" x14ac:dyDescent="0.25">
      <c r="K64" s="15" t="s">
        <v>100</v>
      </c>
      <c r="L64" s="15">
        <v>21344369</v>
      </c>
      <c r="M64" s="15">
        <v>5</v>
      </c>
      <c r="N64" s="15">
        <v>25</v>
      </c>
      <c r="O64" s="6">
        <v>25</v>
      </c>
    </row>
    <row r="66" spans="1:20" x14ac:dyDescent="0.25">
      <c r="L66" s="8"/>
      <c r="M66" s="8"/>
      <c r="N66" s="8"/>
      <c r="O66" s="8"/>
      <c r="P66" s="8"/>
      <c r="Q66" s="8"/>
      <c r="R66" s="8"/>
      <c r="S66" s="8"/>
      <c r="T66" s="8"/>
    </row>
    <row r="67" spans="1:20" x14ac:dyDescent="0.25">
      <c r="K67" s="35" t="s">
        <v>55</v>
      </c>
      <c r="L67" s="8"/>
      <c r="M67" s="8"/>
      <c r="N67" s="8"/>
      <c r="O67" s="8"/>
      <c r="P67" s="8"/>
      <c r="Q67" s="8"/>
      <c r="R67" s="8"/>
      <c r="S67" s="8"/>
      <c r="T67" s="8"/>
    </row>
    <row r="68" spans="1:20" x14ac:dyDescent="0.25">
      <c r="K68" s="95">
        <v>44384</v>
      </c>
      <c r="L68" s="17" t="s">
        <v>56</v>
      </c>
      <c r="M68" s="3" t="s">
        <v>57</v>
      </c>
      <c r="N68" s="3" t="s">
        <v>58</v>
      </c>
      <c r="O68" s="17" t="s">
        <v>64</v>
      </c>
      <c r="P68" s="3" t="s">
        <v>267</v>
      </c>
      <c r="Q68" s="4" t="s">
        <v>264</v>
      </c>
      <c r="R68" s="17" t="s">
        <v>263</v>
      </c>
      <c r="S68" s="4"/>
      <c r="T68" s="77" t="s">
        <v>88</v>
      </c>
    </row>
    <row r="69" spans="1:20" x14ac:dyDescent="0.25">
      <c r="K69" s="18" t="s">
        <v>54</v>
      </c>
      <c r="L69" s="5" t="s">
        <v>12</v>
      </c>
      <c r="M69" s="7" t="s">
        <v>59</v>
      </c>
      <c r="N69" s="7" t="s">
        <v>60</v>
      </c>
      <c r="O69" s="5" t="s">
        <v>262</v>
      </c>
      <c r="P69" s="7" t="s">
        <v>268</v>
      </c>
      <c r="Q69" s="96" t="s">
        <v>269</v>
      </c>
      <c r="R69" s="5" t="s">
        <v>266</v>
      </c>
      <c r="S69" s="6" t="s">
        <v>265</v>
      </c>
      <c r="T69" s="96" t="s">
        <v>89</v>
      </c>
    </row>
    <row r="70" spans="1:20" x14ac:dyDescent="0.25">
      <c r="K70" s="36" t="s">
        <v>101</v>
      </c>
      <c r="L70" s="8">
        <v>1537277</v>
      </c>
      <c r="M70" s="8">
        <v>12.5</v>
      </c>
      <c r="N70" s="9">
        <f>M70*8</f>
        <v>100</v>
      </c>
      <c r="O70" s="81">
        <v>1.7952839841585939</v>
      </c>
      <c r="P70" s="82">
        <v>3.5905679683171878</v>
      </c>
      <c r="Q70" s="83">
        <v>28.724543746537503</v>
      </c>
      <c r="R70" s="81">
        <v>71.275456253462494</v>
      </c>
      <c r="S70" s="83">
        <v>3.5637728126731245</v>
      </c>
      <c r="T70" s="83">
        <v>0.99253734899868185</v>
      </c>
    </row>
    <row r="71" spans="1:20" x14ac:dyDescent="0.25">
      <c r="K71" s="37" t="s">
        <v>102</v>
      </c>
      <c r="L71" s="8">
        <v>1991960</v>
      </c>
      <c r="M71" s="8">
        <v>12.5</v>
      </c>
      <c r="N71" s="9">
        <f t="shared" ref="N71:N81" si="7">M71*8</f>
        <v>100</v>
      </c>
      <c r="O71" s="81">
        <v>2.3222210077481238</v>
      </c>
      <c r="P71" s="82">
        <v>4.6444420154962476</v>
      </c>
      <c r="Q71" s="83">
        <v>37.155536123969981</v>
      </c>
      <c r="R71" s="81">
        <v>62.844463876030019</v>
      </c>
      <c r="S71" s="83">
        <v>3.1422231938015011</v>
      </c>
      <c r="T71" s="83">
        <v>0.6765555869397073</v>
      </c>
    </row>
    <row r="72" spans="1:20" x14ac:dyDescent="0.25">
      <c r="K72" s="37" t="s">
        <v>103</v>
      </c>
      <c r="L72" s="8">
        <v>1217692</v>
      </c>
      <c r="M72" s="8">
        <v>12.5</v>
      </c>
      <c r="N72" s="9">
        <f t="shared" si="7"/>
        <v>100</v>
      </c>
      <c r="O72" s="81">
        <v>1.4249134871664917</v>
      </c>
      <c r="P72" s="82">
        <v>2.8498269743329834</v>
      </c>
      <c r="Q72" s="83">
        <v>22.798615794663867</v>
      </c>
      <c r="R72" s="81">
        <v>77.201384205336126</v>
      </c>
      <c r="S72" s="83">
        <v>3.8600692102668064</v>
      </c>
      <c r="T72" s="83">
        <v>1.3544924814848718</v>
      </c>
    </row>
    <row r="73" spans="1:20" x14ac:dyDescent="0.25">
      <c r="K73" s="87" t="s">
        <v>104</v>
      </c>
      <c r="L73" s="7">
        <v>1289070</v>
      </c>
      <c r="M73" s="7">
        <v>12.5</v>
      </c>
      <c r="N73" s="6">
        <f t="shared" si="7"/>
        <v>100</v>
      </c>
      <c r="O73" s="84">
        <v>1.5076342197863026</v>
      </c>
      <c r="P73" s="85">
        <v>3.0152684395726053</v>
      </c>
      <c r="Q73" s="86">
        <v>24.122147516580842</v>
      </c>
      <c r="R73" s="84">
        <v>75.877852483419161</v>
      </c>
      <c r="S73" s="86">
        <v>3.7938926241709581</v>
      </c>
      <c r="T73" s="86">
        <v>1.2582271529723961</v>
      </c>
    </row>
    <row r="74" spans="1:20" x14ac:dyDescent="0.25">
      <c r="A74" t="s">
        <v>166</v>
      </c>
      <c r="K74" s="37" t="s">
        <v>105</v>
      </c>
      <c r="L74" s="8">
        <v>2840377</v>
      </c>
      <c r="M74" s="8">
        <v>25</v>
      </c>
      <c r="N74" s="8">
        <f t="shared" si="7"/>
        <v>200</v>
      </c>
      <c r="O74" s="78">
        <v>3.3054606026807662</v>
      </c>
      <c r="P74" s="79">
        <v>6.6109212053615325</v>
      </c>
      <c r="Q74" s="80">
        <v>52.88736964289226</v>
      </c>
      <c r="R74" s="78">
        <v>147.11263035710775</v>
      </c>
      <c r="S74" s="80">
        <v>7.3556315178553877</v>
      </c>
      <c r="T74" s="80">
        <v>1.1126484932069507</v>
      </c>
    </row>
    <row r="75" spans="1:20" x14ac:dyDescent="0.25">
      <c r="B75" t="s">
        <v>137</v>
      </c>
      <c r="C75" t="s">
        <v>274</v>
      </c>
      <c r="K75" s="14" t="s">
        <v>106</v>
      </c>
      <c r="L75" s="8">
        <v>3645438</v>
      </c>
      <c r="M75" s="8">
        <v>25</v>
      </c>
      <c r="N75" s="8">
        <f t="shared" si="7"/>
        <v>200</v>
      </c>
      <c r="O75" s="81">
        <v>4.2384544624644196</v>
      </c>
      <c r="P75" s="82">
        <v>8.4769089249288392</v>
      </c>
      <c r="Q75" s="83">
        <v>67.815271399430713</v>
      </c>
      <c r="R75" s="81">
        <v>132.18472860056929</v>
      </c>
      <c r="S75" s="83">
        <v>6.6092364300284645</v>
      </c>
      <c r="T75" s="83">
        <v>0.77967529067017161</v>
      </c>
    </row>
    <row r="76" spans="1:20" x14ac:dyDescent="0.25">
      <c r="A76" t="s">
        <v>129</v>
      </c>
      <c r="B76">
        <v>78</v>
      </c>
      <c r="K76" s="14" t="s">
        <v>107</v>
      </c>
      <c r="L76" s="8">
        <v>3724084</v>
      </c>
      <c r="M76" s="8">
        <v>25</v>
      </c>
      <c r="N76" s="8">
        <f t="shared" si="7"/>
        <v>200</v>
      </c>
      <c r="O76" s="81">
        <v>4.3295981585278795</v>
      </c>
      <c r="P76" s="82">
        <v>8.6591963170557591</v>
      </c>
      <c r="Q76" s="83">
        <v>69.273570536446073</v>
      </c>
      <c r="R76" s="81">
        <v>130.72642946355393</v>
      </c>
      <c r="S76" s="83">
        <v>6.5363214731776962</v>
      </c>
      <c r="T76" s="83">
        <v>0.7548415850444804</v>
      </c>
    </row>
    <row r="77" spans="1:20" x14ac:dyDescent="0.25">
      <c r="A77" t="s">
        <v>130</v>
      </c>
      <c r="K77" s="15" t="s">
        <v>108</v>
      </c>
      <c r="L77" s="7">
        <v>3662902</v>
      </c>
      <c r="M77" s="7">
        <v>25</v>
      </c>
      <c r="N77" s="7">
        <f t="shared" si="7"/>
        <v>200</v>
      </c>
      <c r="O77" s="84">
        <v>4.2586936800730992</v>
      </c>
      <c r="P77" s="85">
        <v>8.5173873601461985</v>
      </c>
      <c r="Q77" s="86">
        <v>68.139098881169588</v>
      </c>
      <c r="R77" s="84">
        <v>131.86090111883041</v>
      </c>
      <c r="S77" s="86">
        <v>6.5930450559415208</v>
      </c>
      <c r="T77" s="86">
        <v>0.77406894592948905</v>
      </c>
    </row>
    <row r="78" spans="1:20" x14ac:dyDescent="0.25">
      <c r="A78" t="s">
        <v>133</v>
      </c>
      <c r="B78">
        <v>2.85</v>
      </c>
      <c r="K78" s="16" t="s">
        <v>109</v>
      </c>
      <c r="L78" s="17">
        <v>8169291</v>
      </c>
      <c r="M78" s="3">
        <v>50</v>
      </c>
      <c r="N78" s="4">
        <f t="shared" si="7"/>
        <v>400</v>
      </c>
      <c r="O78" s="78">
        <v>9.4811964057008424</v>
      </c>
      <c r="P78" s="79">
        <v>18.962392811401685</v>
      </c>
      <c r="Q78" s="80">
        <v>151.69914249121348</v>
      </c>
      <c r="R78" s="78">
        <v>248.30085750878652</v>
      </c>
      <c r="S78" s="80">
        <v>12.415042875439326</v>
      </c>
      <c r="T78" s="80">
        <v>0.65471921180614001</v>
      </c>
    </row>
    <row r="79" spans="1:20" x14ac:dyDescent="0.25">
      <c r="A79" t="s">
        <v>134</v>
      </c>
      <c r="B79">
        <v>9.5299999999999994</v>
      </c>
      <c r="K79" s="14" t="s">
        <v>110</v>
      </c>
      <c r="L79" s="18">
        <v>9621603</v>
      </c>
      <c r="M79" s="8">
        <v>50</v>
      </c>
      <c r="N79" s="9">
        <f t="shared" si="7"/>
        <v>400</v>
      </c>
      <c r="O79" s="81">
        <v>11.164296417364699</v>
      </c>
      <c r="P79" s="82">
        <v>22.328592834729399</v>
      </c>
      <c r="Q79" s="83">
        <v>178.62874267783519</v>
      </c>
      <c r="R79" s="81">
        <v>221.37125732216481</v>
      </c>
      <c r="S79" s="83">
        <v>11.068562866108241</v>
      </c>
      <c r="T79" s="83">
        <v>0.49571251301122943</v>
      </c>
    </row>
    <row r="80" spans="1:20" x14ac:dyDescent="0.25">
      <c r="A80" t="s">
        <v>135</v>
      </c>
      <c r="B80">
        <v>0.82</v>
      </c>
      <c r="K80" s="14" t="s">
        <v>111</v>
      </c>
      <c r="L80" s="18">
        <v>5105882</v>
      </c>
      <c r="M80" s="8">
        <v>50</v>
      </c>
      <c r="N80" s="9">
        <f t="shared" si="7"/>
        <v>400</v>
      </c>
      <c r="O80" s="81">
        <v>5.9309787364733175</v>
      </c>
      <c r="P80" s="82">
        <v>11.861957472946635</v>
      </c>
      <c r="Q80" s="83">
        <v>94.89565978357308</v>
      </c>
      <c r="R80" s="81">
        <v>305.10434021642692</v>
      </c>
      <c r="S80" s="83">
        <v>15.255217010821346</v>
      </c>
      <c r="T80" s="83">
        <v>1.2860623590679414</v>
      </c>
    </row>
    <row r="81" spans="1:20" ht="15.75" thickBot="1" x14ac:dyDescent="0.3">
      <c r="K81" s="15" t="s">
        <v>112</v>
      </c>
      <c r="L81" s="5">
        <v>5160900</v>
      </c>
      <c r="M81" s="7">
        <v>50</v>
      </c>
      <c r="N81" s="6">
        <f t="shared" si="7"/>
        <v>400</v>
      </c>
      <c r="O81" s="84">
        <v>5.9947396889695588</v>
      </c>
      <c r="P81" s="85">
        <v>11.989479377939118</v>
      </c>
      <c r="Q81" s="86">
        <v>95.91583502351294</v>
      </c>
      <c r="R81" s="84">
        <v>304.08416497648705</v>
      </c>
      <c r="S81" s="83">
        <v>15.204208248824353</v>
      </c>
      <c r="T81" s="83">
        <v>1.2681291463581312</v>
      </c>
    </row>
    <row r="82" spans="1:20" x14ac:dyDescent="0.25">
      <c r="A82" t="s">
        <v>88</v>
      </c>
      <c r="B82" t="s">
        <v>131</v>
      </c>
      <c r="D82" t="s">
        <v>280</v>
      </c>
      <c r="S82" s="90" t="s">
        <v>46</v>
      </c>
      <c r="T82" s="91">
        <f>AVERAGE(T70:T81)</f>
        <v>0.95063917629084926</v>
      </c>
    </row>
    <row r="83" spans="1:20" ht="15.75" thickBot="1" x14ac:dyDescent="0.3">
      <c r="A83" t="s">
        <v>133</v>
      </c>
      <c r="B83">
        <f>$B$76*(B78/100)</f>
        <v>2.2229999999999999</v>
      </c>
      <c r="D83" t="s">
        <v>270</v>
      </c>
      <c r="S83" s="54" t="s">
        <v>116</v>
      </c>
      <c r="T83" s="56">
        <f>STDEV(T70:T81)</f>
        <v>0.29655752550435516</v>
      </c>
    </row>
    <row r="84" spans="1:20" ht="15.75" thickBot="1" x14ac:dyDescent="0.3">
      <c r="A84" t="s">
        <v>134</v>
      </c>
      <c r="B84">
        <f>$B$76*(B79/100)</f>
        <v>7.4333999999999998</v>
      </c>
      <c r="D84" t="s">
        <v>275</v>
      </c>
      <c r="R84" s="59" t="s">
        <v>270</v>
      </c>
      <c r="S84" s="90" t="s">
        <v>46</v>
      </c>
      <c r="T84" s="91">
        <f>AVERAGE(T29:T36,T70:T81)</f>
        <v>0.78423700890746573</v>
      </c>
    </row>
    <row r="85" spans="1:20" ht="15.75" thickBot="1" x14ac:dyDescent="0.3">
      <c r="A85" t="s">
        <v>135</v>
      </c>
      <c r="B85">
        <f>$B$76*(B80/100)</f>
        <v>0.63959999999999995</v>
      </c>
      <c r="D85">
        <v>0.75729999999999997</v>
      </c>
      <c r="S85" s="54" t="s">
        <v>116</v>
      </c>
      <c r="T85" s="56">
        <f>STDEV(T29:T36,T70:T81)</f>
        <v>0.31595794812194888</v>
      </c>
    </row>
    <row r="87" spans="1:20" x14ac:dyDescent="0.25">
      <c r="K87" s="35" t="s">
        <v>55</v>
      </c>
    </row>
    <row r="88" spans="1:20" x14ac:dyDescent="0.25">
      <c r="K88" s="75">
        <v>44384</v>
      </c>
      <c r="L88" s="17" t="s">
        <v>56</v>
      </c>
      <c r="M88" s="3" t="s">
        <v>57</v>
      </c>
      <c r="N88" s="3" t="s">
        <v>58</v>
      </c>
      <c r="O88" s="17" t="s">
        <v>64</v>
      </c>
      <c r="P88" s="3" t="s">
        <v>267</v>
      </c>
      <c r="Q88" s="4" t="s">
        <v>264</v>
      </c>
      <c r="R88" s="17" t="s">
        <v>263</v>
      </c>
      <c r="S88" s="4"/>
      <c r="T88" s="77" t="s">
        <v>88</v>
      </c>
    </row>
    <row r="89" spans="1:20" x14ac:dyDescent="0.25">
      <c r="K89" s="14" t="s">
        <v>281</v>
      </c>
      <c r="L89" s="18" t="s">
        <v>12</v>
      </c>
      <c r="M89" s="8" t="s">
        <v>59</v>
      </c>
      <c r="N89" s="8" t="s">
        <v>60</v>
      </c>
      <c r="O89" s="18" t="s">
        <v>262</v>
      </c>
      <c r="P89" s="8" t="s">
        <v>268</v>
      </c>
      <c r="Q89" s="60" t="s">
        <v>269</v>
      </c>
      <c r="R89" s="18" t="s">
        <v>266</v>
      </c>
      <c r="S89" s="9" t="s">
        <v>265</v>
      </c>
      <c r="T89" s="60" t="s">
        <v>89</v>
      </c>
    </row>
    <row r="90" spans="1:20" x14ac:dyDescent="0.25">
      <c r="A90" t="s">
        <v>164</v>
      </c>
      <c r="B90" t="s">
        <v>143</v>
      </c>
      <c r="C90" t="s">
        <v>129</v>
      </c>
      <c r="K90" s="94" t="s">
        <v>101</v>
      </c>
      <c r="L90" s="17">
        <f>AVERAGE(L70:L71)</f>
        <v>1764618.5</v>
      </c>
      <c r="M90" s="3">
        <f t="shared" ref="M90:T90" si="8">AVERAGE(M70:M71)</f>
        <v>12.5</v>
      </c>
      <c r="N90" s="4">
        <f t="shared" si="8"/>
        <v>100</v>
      </c>
      <c r="O90" s="17">
        <f t="shared" si="8"/>
        <v>2.058752495953359</v>
      </c>
      <c r="P90" s="3">
        <f t="shared" si="8"/>
        <v>4.1175049919067179</v>
      </c>
      <c r="Q90" s="4">
        <f t="shared" si="8"/>
        <v>32.940039935253743</v>
      </c>
      <c r="R90" s="17">
        <f t="shared" si="8"/>
        <v>67.059960064746264</v>
      </c>
      <c r="S90" s="4">
        <f t="shared" si="8"/>
        <v>3.352998003237313</v>
      </c>
      <c r="T90" s="4">
        <f t="shared" si="8"/>
        <v>0.83454646796919452</v>
      </c>
    </row>
    <row r="91" spans="1:20" x14ac:dyDescent="0.25">
      <c r="K91" s="43" t="s">
        <v>103</v>
      </c>
      <c r="L91" s="5">
        <f>AVERAGE(L72:L73)</f>
        <v>1253381</v>
      </c>
      <c r="M91" s="7">
        <f t="shared" ref="M91:T91" si="9">AVERAGE(M72:M73)</f>
        <v>12.5</v>
      </c>
      <c r="N91" s="6">
        <f t="shared" si="9"/>
        <v>100</v>
      </c>
      <c r="O91" s="5">
        <f t="shared" si="9"/>
        <v>1.4662738534763973</v>
      </c>
      <c r="P91" s="7">
        <f t="shared" si="9"/>
        <v>2.9325477069527945</v>
      </c>
      <c r="Q91" s="6">
        <f t="shared" si="9"/>
        <v>23.460381655622356</v>
      </c>
      <c r="R91" s="5">
        <f t="shared" si="9"/>
        <v>76.539618344377644</v>
      </c>
      <c r="S91" s="6">
        <f t="shared" si="9"/>
        <v>3.826980917218882</v>
      </c>
      <c r="T91" s="6">
        <f t="shared" si="9"/>
        <v>1.3063598172286339</v>
      </c>
    </row>
    <row r="92" spans="1:20" x14ac:dyDescent="0.25">
      <c r="A92" t="s">
        <v>136</v>
      </c>
      <c r="K92" s="42" t="s">
        <v>105</v>
      </c>
      <c r="L92" s="17">
        <f>AVERAGE(L74:L75)</f>
        <v>3242907.5</v>
      </c>
      <c r="M92" s="3">
        <f t="shared" ref="M92:T92" si="10">AVERAGE(M74:M75)</f>
        <v>25</v>
      </c>
      <c r="N92" s="4">
        <f t="shared" si="10"/>
        <v>200</v>
      </c>
      <c r="O92" s="17">
        <f t="shared" si="10"/>
        <v>3.7719575325725927</v>
      </c>
      <c r="P92" s="3">
        <f t="shared" si="10"/>
        <v>7.5439150651451854</v>
      </c>
      <c r="Q92" s="4">
        <f t="shared" si="10"/>
        <v>60.351320521161483</v>
      </c>
      <c r="R92" s="17">
        <f t="shared" si="10"/>
        <v>139.64867947883852</v>
      </c>
      <c r="S92" s="4">
        <f t="shared" si="10"/>
        <v>6.9824339739419266</v>
      </c>
      <c r="T92" s="4">
        <f t="shared" si="10"/>
        <v>0.94616189193856115</v>
      </c>
    </row>
    <row r="93" spans="1:20" x14ac:dyDescent="0.25">
      <c r="A93" t="s">
        <v>142</v>
      </c>
      <c r="B93">
        <v>1.89</v>
      </c>
      <c r="C93">
        <v>77.624711662869217</v>
      </c>
      <c r="K93" s="18" t="s">
        <v>107</v>
      </c>
      <c r="L93" s="5">
        <f>AVERAGE(L76:L77)</f>
        <v>3693493</v>
      </c>
      <c r="M93" s="7">
        <f t="shared" ref="M93:T93" si="11">AVERAGE(M76:M77)</f>
        <v>25</v>
      </c>
      <c r="N93" s="6">
        <f t="shared" si="11"/>
        <v>200</v>
      </c>
      <c r="O93" s="5">
        <f t="shared" si="11"/>
        <v>4.2941459193004894</v>
      </c>
      <c r="P93" s="7">
        <f t="shared" si="11"/>
        <v>8.5882918386009788</v>
      </c>
      <c r="Q93" s="6">
        <f t="shared" si="11"/>
        <v>68.70633470880783</v>
      </c>
      <c r="R93" s="5">
        <f t="shared" si="11"/>
        <v>131.29366529119216</v>
      </c>
      <c r="S93" s="6">
        <f t="shared" si="11"/>
        <v>6.5646832645596085</v>
      </c>
      <c r="T93" s="6">
        <f t="shared" si="11"/>
        <v>0.76445526548698473</v>
      </c>
    </row>
    <row r="94" spans="1:20" x14ac:dyDescent="0.25">
      <c r="A94" t="s">
        <v>144</v>
      </c>
      <c r="B94">
        <v>2.63</v>
      </c>
      <c r="C94">
        <v>426.57951880159294</v>
      </c>
      <c r="K94" s="17" t="s">
        <v>109</v>
      </c>
      <c r="L94" s="18">
        <f>AVERAGE(L78:L79)</f>
        <v>8895447</v>
      </c>
      <c r="M94" s="8">
        <f t="shared" ref="M94:T94" si="12">AVERAGE(M78:M79)</f>
        <v>50</v>
      </c>
      <c r="N94" s="9">
        <f t="shared" si="12"/>
        <v>400</v>
      </c>
      <c r="O94" s="18">
        <f t="shared" si="12"/>
        <v>10.322746411532771</v>
      </c>
      <c r="P94" s="8">
        <f t="shared" si="12"/>
        <v>20.645492823065542</v>
      </c>
      <c r="Q94" s="9">
        <f t="shared" si="12"/>
        <v>165.16394258452434</v>
      </c>
      <c r="R94" s="18">
        <f t="shared" si="12"/>
        <v>234.83605741547566</v>
      </c>
      <c r="S94" s="9">
        <f t="shared" si="12"/>
        <v>11.741802870773784</v>
      </c>
      <c r="T94" s="9">
        <f t="shared" si="12"/>
        <v>0.57521586240868472</v>
      </c>
    </row>
    <row r="95" spans="1:20" x14ac:dyDescent="0.25">
      <c r="K95" s="5" t="s">
        <v>111</v>
      </c>
      <c r="L95" s="5">
        <f>AVERAGE(L80:L81)</f>
        <v>5133391</v>
      </c>
      <c r="M95" s="7">
        <f t="shared" ref="M95:T95" si="13">AVERAGE(M80:M81)</f>
        <v>50</v>
      </c>
      <c r="N95" s="6">
        <f t="shared" si="13"/>
        <v>400</v>
      </c>
      <c r="O95" s="5">
        <f t="shared" si="13"/>
        <v>5.9628592127214386</v>
      </c>
      <c r="P95" s="7">
        <f t="shared" si="13"/>
        <v>11.925718425442877</v>
      </c>
      <c r="Q95" s="6">
        <f t="shared" si="13"/>
        <v>95.405747403543018</v>
      </c>
      <c r="R95" s="5">
        <f t="shared" si="13"/>
        <v>304.59425259645695</v>
      </c>
      <c r="S95" s="6">
        <f t="shared" si="13"/>
        <v>15.229712629822849</v>
      </c>
      <c r="T95" s="6">
        <f t="shared" si="13"/>
        <v>1.2770957527130364</v>
      </c>
    </row>
    <row r="96" spans="1:20" x14ac:dyDescent="0.25">
      <c r="A96" t="s">
        <v>165</v>
      </c>
      <c r="B96">
        <v>2.0289999999999999</v>
      </c>
      <c r="C96">
        <v>106.8</v>
      </c>
    </row>
    <row r="99" spans="1:17" x14ac:dyDescent="0.25">
      <c r="G99" t="s">
        <v>279</v>
      </c>
    </row>
    <row r="100" spans="1:17" x14ac:dyDescent="0.25">
      <c r="A100" s="35" t="s">
        <v>137</v>
      </c>
      <c r="F100" t="s">
        <v>274</v>
      </c>
      <c r="G100" s="93">
        <v>44382</v>
      </c>
      <c r="H100" s="93">
        <v>44384</v>
      </c>
      <c r="I100" t="s">
        <v>276</v>
      </c>
    </row>
    <row r="101" spans="1:17" x14ac:dyDescent="0.25">
      <c r="A101" t="s">
        <v>138</v>
      </c>
      <c r="B101" t="s">
        <v>139</v>
      </c>
      <c r="C101" t="s">
        <v>140</v>
      </c>
      <c r="D101" t="s">
        <v>141</v>
      </c>
      <c r="F101" t="s">
        <v>277</v>
      </c>
      <c r="G101" t="s">
        <v>275</v>
      </c>
      <c r="H101" t="s">
        <v>275</v>
      </c>
      <c r="I101" t="s">
        <v>275</v>
      </c>
      <c r="J101" s="17"/>
      <c r="K101" s="97" t="s">
        <v>55</v>
      </c>
      <c r="L101" s="17" t="s">
        <v>56</v>
      </c>
      <c r="M101" s="3" t="s">
        <v>57</v>
      </c>
      <c r="N101" s="17" t="s">
        <v>64</v>
      </c>
      <c r="O101" s="3" t="s">
        <v>267</v>
      </c>
      <c r="P101" s="16" t="s">
        <v>263</v>
      </c>
      <c r="Q101" s="4" t="s">
        <v>88</v>
      </c>
    </row>
    <row r="102" spans="1:17" x14ac:dyDescent="0.25">
      <c r="A102" t="s">
        <v>121</v>
      </c>
      <c r="B102" t="s">
        <v>132</v>
      </c>
      <c r="F102" t="s">
        <v>278</v>
      </c>
      <c r="G102">
        <v>0.53463375783239042</v>
      </c>
      <c r="H102">
        <v>0.95063917629084926</v>
      </c>
      <c r="I102" s="29">
        <f>AVERAGE(T29:T36,T70:T81)</f>
        <v>0.78423700890746573</v>
      </c>
      <c r="J102" s="18"/>
      <c r="K102" s="15" t="s">
        <v>290</v>
      </c>
      <c r="L102" s="5" t="s">
        <v>12</v>
      </c>
      <c r="M102" s="7" t="s">
        <v>59</v>
      </c>
      <c r="N102" s="5" t="s">
        <v>262</v>
      </c>
      <c r="O102" s="7" t="s">
        <v>268</v>
      </c>
      <c r="P102" s="15" t="s">
        <v>265</v>
      </c>
      <c r="Q102" s="6" t="s">
        <v>89</v>
      </c>
    </row>
    <row r="103" spans="1:17" x14ac:dyDescent="0.25">
      <c r="A103">
        <v>0.5</v>
      </c>
      <c r="B103">
        <f t="shared" ref="B103:B126" si="14">A103*$B$83</f>
        <v>1.1114999999999999</v>
      </c>
      <c r="C103">
        <f t="shared" ref="C103:C126" si="15">A103*$B$84</f>
        <v>3.7166999999999999</v>
      </c>
      <c r="D103">
        <f t="shared" ref="D103:D126" si="16">A103*$B$85</f>
        <v>0.31979999999999997</v>
      </c>
      <c r="F103" t="s">
        <v>121</v>
      </c>
      <c r="G103" t="s">
        <v>132</v>
      </c>
      <c r="J103" s="95">
        <v>44382</v>
      </c>
      <c r="K103" s="16" t="s">
        <v>149</v>
      </c>
      <c r="L103" s="17">
        <v>0</v>
      </c>
      <c r="M103" s="3">
        <v>0</v>
      </c>
      <c r="N103" s="17">
        <v>0</v>
      </c>
      <c r="O103" s="3">
        <v>0</v>
      </c>
      <c r="P103" s="16">
        <v>0</v>
      </c>
      <c r="Q103" s="4"/>
    </row>
    <row r="104" spans="1:17" x14ac:dyDescent="0.25">
      <c r="A104">
        <v>1</v>
      </c>
      <c r="B104">
        <f t="shared" si="14"/>
        <v>2.2229999999999999</v>
      </c>
      <c r="C104">
        <f t="shared" si="15"/>
        <v>7.4333999999999998</v>
      </c>
      <c r="D104">
        <f t="shared" si="16"/>
        <v>0.63959999999999995</v>
      </c>
      <c r="F104">
        <v>0.5</v>
      </c>
      <c r="G104">
        <f t="shared" ref="G104:G127" si="17">F104*$G$102</f>
        <v>0.26731687891619521</v>
      </c>
      <c r="H104">
        <f t="shared" ref="H104:H127" si="18">F104*$H$102</f>
        <v>0.47531958814542463</v>
      </c>
      <c r="I104">
        <f t="shared" ref="I104:I127" si="19">F104*$I$102</f>
        <v>0.39211850445373286</v>
      </c>
      <c r="J104" s="18"/>
      <c r="K104" s="14" t="s">
        <v>150</v>
      </c>
      <c r="L104" s="18">
        <v>0</v>
      </c>
      <c r="M104" s="8">
        <v>0</v>
      </c>
      <c r="N104" s="18">
        <v>0</v>
      </c>
      <c r="O104" s="8">
        <v>0</v>
      </c>
      <c r="P104" s="14">
        <v>0</v>
      </c>
      <c r="Q104" s="9"/>
    </row>
    <row r="105" spans="1:17" x14ac:dyDescent="0.25">
      <c r="A105">
        <v>2</v>
      </c>
      <c r="B105">
        <f t="shared" si="14"/>
        <v>4.4459999999999997</v>
      </c>
      <c r="C105">
        <f t="shared" si="15"/>
        <v>14.8668</v>
      </c>
      <c r="D105">
        <f t="shared" si="16"/>
        <v>1.2791999999999999</v>
      </c>
      <c r="F105">
        <v>1</v>
      </c>
      <c r="G105">
        <f t="shared" si="17"/>
        <v>0.53463375783239042</v>
      </c>
      <c r="H105">
        <f t="shared" si="18"/>
        <v>0.95063917629084926</v>
      </c>
      <c r="I105">
        <f t="shared" si="19"/>
        <v>0.78423700890746573</v>
      </c>
      <c r="J105" s="18"/>
      <c r="K105" s="14" t="s">
        <v>151</v>
      </c>
      <c r="L105" s="18">
        <v>194253.5</v>
      </c>
      <c r="M105" s="8">
        <v>2.5</v>
      </c>
      <c r="N105" s="26">
        <v>0.52232155021653703</v>
      </c>
      <c r="O105" s="28">
        <v>1.0446431004330741</v>
      </c>
      <c r="P105" s="98">
        <v>0.58214275982677033</v>
      </c>
      <c r="Q105" s="27">
        <v>0.56061176517085753</v>
      </c>
    </row>
    <row r="106" spans="1:17" x14ac:dyDescent="0.25">
      <c r="A106">
        <v>3</v>
      </c>
      <c r="B106">
        <f t="shared" si="14"/>
        <v>6.6689999999999996</v>
      </c>
      <c r="C106">
        <f t="shared" si="15"/>
        <v>22.3002</v>
      </c>
      <c r="D106">
        <f t="shared" si="16"/>
        <v>1.9187999999999998</v>
      </c>
      <c r="F106">
        <v>2</v>
      </c>
      <c r="G106">
        <f t="shared" si="17"/>
        <v>1.0692675156647808</v>
      </c>
      <c r="H106">
        <f t="shared" si="18"/>
        <v>1.9012783525816985</v>
      </c>
      <c r="I106">
        <f t="shared" si="19"/>
        <v>1.5684740178149315</v>
      </c>
      <c r="J106" s="18"/>
      <c r="K106" s="14" t="s">
        <v>152</v>
      </c>
      <c r="L106" s="18">
        <v>235332</v>
      </c>
      <c r="M106" s="8">
        <v>2.5</v>
      </c>
      <c r="N106" s="26">
        <v>0.61562218234663191</v>
      </c>
      <c r="O106" s="28">
        <v>1.2312443646932638</v>
      </c>
      <c r="P106" s="98">
        <v>0.50750225412269456</v>
      </c>
      <c r="Q106" s="27">
        <v>0.43064405651631976</v>
      </c>
    </row>
    <row r="107" spans="1:17" x14ac:dyDescent="0.25">
      <c r="A107">
        <v>4</v>
      </c>
      <c r="B107">
        <f t="shared" si="14"/>
        <v>8.8919999999999995</v>
      </c>
      <c r="C107">
        <f t="shared" si="15"/>
        <v>29.733599999999999</v>
      </c>
      <c r="D107">
        <f t="shared" si="16"/>
        <v>2.5583999999999998</v>
      </c>
      <c r="F107">
        <v>3</v>
      </c>
      <c r="G107">
        <f t="shared" si="17"/>
        <v>1.6039012734971712</v>
      </c>
      <c r="H107">
        <f t="shared" si="18"/>
        <v>2.8519175288725478</v>
      </c>
      <c r="I107">
        <f t="shared" si="19"/>
        <v>2.352711026722397</v>
      </c>
      <c r="J107" s="18"/>
      <c r="K107" s="14" t="s">
        <v>153</v>
      </c>
      <c r="L107" s="18">
        <v>704537.5</v>
      </c>
      <c r="M107" s="8">
        <v>7.5</v>
      </c>
      <c r="N107" s="26">
        <v>1.6813176130200307</v>
      </c>
      <c r="O107" s="28">
        <v>3.3626352260400614</v>
      </c>
      <c r="P107" s="98">
        <v>1.6549459095839754</v>
      </c>
      <c r="Q107" s="27">
        <v>0.49454012960214833</v>
      </c>
    </row>
    <row r="108" spans="1:17" x14ac:dyDescent="0.25">
      <c r="A108">
        <v>5</v>
      </c>
      <c r="B108">
        <f t="shared" si="14"/>
        <v>11.114999999999998</v>
      </c>
      <c r="C108">
        <f t="shared" si="15"/>
        <v>37.167000000000002</v>
      </c>
      <c r="D108">
        <f t="shared" si="16"/>
        <v>3.1979999999999995</v>
      </c>
      <c r="F108">
        <v>4</v>
      </c>
      <c r="G108">
        <f t="shared" si="17"/>
        <v>2.1385350313295617</v>
      </c>
      <c r="H108">
        <f t="shared" si="18"/>
        <v>3.8025567051633971</v>
      </c>
      <c r="I108">
        <f t="shared" si="19"/>
        <v>3.1369480356298629</v>
      </c>
      <c r="J108" s="18"/>
      <c r="K108" s="15" t="s">
        <v>154</v>
      </c>
      <c r="L108" s="5">
        <v>592532</v>
      </c>
      <c r="M108" s="7">
        <v>7.5</v>
      </c>
      <c r="N108" s="47">
        <v>1.4269221518408899</v>
      </c>
      <c r="O108" s="39">
        <v>2.8538443036817798</v>
      </c>
      <c r="P108" s="99">
        <v>1.8584622785272882</v>
      </c>
      <c r="Q108" s="40">
        <v>0.6527390800402364</v>
      </c>
    </row>
    <row r="109" spans="1:17" x14ac:dyDescent="0.25">
      <c r="A109">
        <v>6</v>
      </c>
      <c r="B109">
        <f t="shared" si="14"/>
        <v>13.337999999999999</v>
      </c>
      <c r="C109">
        <f t="shared" si="15"/>
        <v>44.6004</v>
      </c>
      <c r="D109">
        <f t="shared" si="16"/>
        <v>3.8375999999999997</v>
      </c>
      <c r="F109">
        <v>5</v>
      </c>
      <c r="G109">
        <f t="shared" si="17"/>
        <v>2.6731687891619522</v>
      </c>
      <c r="H109">
        <f t="shared" si="18"/>
        <v>4.7531958814542463</v>
      </c>
      <c r="I109">
        <f t="shared" si="19"/>
        <v>3.9211850445373289</v>
      </c>
      <c r="J109" s="95">
        <v>44384</v>
      </c>
      <c r="K109" s="14" t="s">
        <v>291</v>
      </c>
      <c r="L109" s="18">
        <v>1764618.5</v>
      </c>
      <c r="M109" s="8">
        <v>12.5</v>
      </c>
      <c r="N109" s="26">
        <v>2.058752495953359</v>
      </c>
      <c r="O109" s="28">
        <v>4.1175049919067179</v>
      </c>
      <c r="P109" s="98">
        <v>3.352998003237313</v>
      </c>
      <c r="Q109" s="27">
        <v>0.83454646796919452</v>
      </c>
    </row>
    <row r="110" spans="1:17" x14ac:dyDescent="0.25">
      <c r="A110">
        <v>7</v>
      </c>
      <c r="B110">
        <f t="shared" si="14"/>
        <v>15.561</v>
      </c>
      <c r="C110">
        <f t="shared" si="15"/>
        <v>52.033799999999999</v>
      </c>
      <c r="D110">
        <f t="shared" si="16"/>
        <v>4.4771999999999998</v>
      </c>
      <c r="F110">
        <v>6</v>
      </c>
      <c r="G110">
        <f t="shared" si="17"/>
        <v>3.2078025469943423</v>
      </c>
      <c r="H110">
        <f t="shared" si="18"/>
        <v>5.7038350577450956</v>
      </c>
      <c r="I110">
        <f t="shared" si="19"/>
        <v>4.7054220534447939</v>
      </c>
      <c r="J110" s="18"/>
      <c r="K110" s="14" t="s">
        <v>292</v>
      </c>
      <c r="L110" s="18">
        <v>1253381</v>
      </c>
      <c r="M110" s="8">
        <v>12.5</v>
      </c>
      <c r="N110" s="26">
        <v>1.4662738534763973</v>
      </c>
      <c r="O110" s="28">
        <v>2.9325477069527945</v>
      </c>
      <c r="P110" s="98">
        <v>3.826980917218882</v>
      </c>
      <c r="Q110" s="27">
        <v>1.3063598172286339</v>
      </c>
    </row>
    <row r="111" spans="1:17" x14ac:dyDescent="0.25">
      <c r="A111">
        <v>8</v>
      </c>
      <c r="B111">
        <f t="shared" si="14"/>
        <v>17.783999999999999</v>
      </c>
      <c r="C111">
        <f t="shared" si="15"/>
        <v>59.467199999999998</v>
      </c>
      <c r="D111">
        <f t="shared" si="16"/>
        <v>5.1167999999999996</v>
      </c>
      <c r="F111">
        <v>7</v>
      </c>
      <c r="G111">
        <f t="shared" si="17"/>
        <v>3.7424363048267328</v>
      </c>
      <c r="H111">
        <f t="shared" si="18"/>
        <v>6.6544742340359448</v>
      </c>
      <c r="I111">
        <f t="shared" si="19"/>
        <v>5.4896590623522599</v>
      </c>
      <c r="J111" s="18"/>
      <c r="K111" s="14" t="s">
        <v>293</v>
      </c>
      <c r="L111" s="18">
        <v>3242907.5</v>
      </c>
      <c r="M111" s="8">
        <v>25</v>
      </c>
      <c r="N111" s="26">
        <v>3.7719575325725927</v>
      </c>
      <c r="O111" s="28">
        <v>7.5439150651451854</v>
      </c>
      <c r="P111" s="98">
        <v>6.9824339739419266</v>
      </c>
      <c r="Q111" s="27">
        <v>0.94616189193856115</v>
      </c>
    </row>
    <row r="112" spans="1:17" x14ac:dyDescent="0.25">
      <c r="A112">
        <v>9</v>
      </c>
      <c r="B112">
        <f t="shared" si="14"/>
        <v>20.006999999999998</v>
      </c>
      <c r="C112">
        <f t="shared" si="15"/>
        <v>66.900599999999997</v>
      </c>
      <c r="D112">
        <f t="shared" si="16"/>
        <v>5.7563999999999993</v>
      </c>
      <c r="F112">
        <v>8</v>
      </c>
      <c r="G112">
        <f t="shared" si="17"/>
        <v>4.2770700626591234</v>
      </c>
      <c r="H112">
        <f t="shared" si="18"/>
        <v>7.6051134103267941</v>
      </c>
      <c r="I112">
        <f t="shared" si="19"/>
        <v>6.2738960712597258</v>
      </c>
      <c r="J112" s="18"/>
      <c r="K112" s="14" t="s">
        <v>294</v>
      </c>
      <c r="L112" s="18">
        <v>3693493</v>
      </c>
      <c r="M112" s="8">
        <v>25</v>
      </c>
      <c r="N112" s="26">
        <v>4.2941459193004894</v>
      </c>
      <c r="O112" s="28">
        <v>8.5882918386009788</v>
      </c>
      <c r="P112" s="98">
        <v>6.5646832645596085</v>
      </c>
      <c r="Q112" s="27">
        <v>0.76445526548698473</v>
      </c>
    </row>
    <row r="113" spans="1:24" x14ac:dyDescent="0.25">
      <c r="A113">
        <v>10</v>
      </c>
      <c r="B113">
        <f t="shared" si="14"/>
        <v>22.229999999999997</v>
      </c>
      <c r="C113">
        <f t="shared" si="15"/>
        <v>74.334000000000003</v>
      </c>
      <c r="D113">
        <f t="shared" si="16"/>
        <v>6.395999999999999</v>
      </c>
      <c r="F113">
        <v>9</v>
      </c>
      <c r="G113">
        <f t="shared" si="17"/>
        <v>4.8117038204915135</v>
      </c>
      <c r="H113">
        <f t="shared" si="18"/>
        <v>8.5557525866176434</v>
      </c>
      <c r="I113">
        <f t="shared" si="19"/>
        <v>7.0581330801671918</v>
      </c>
      <c r="J113" s="18"/>
      <c r="K113" s="14" t="s">
        <v>295</v>
      </c>
      <c r="L113" s="18">
        <v>8895447</v>
      </c>
      <c r="M113" s="8">
        <v>50</v>
      </c>
      <c r="N113" s="26">
        <v>10.322746411532771</v>
      </c>
      <c r="O113" s="28">
        <v>20.645492823065542</v>
      </c>
      <c r="P113" s="98">
        <v>11.741802870773784</v>
      </c>
      <c r="Q113" s="27">
        <v>0.57521586240868472</v>
      </c>
    </row>
    <row r="114" spans="1:24" x14ac:dyDescent="0.25">
      <c r="A114">
        <v>11</v>
      </c>
      <c r="B114">
        <f t="shared" si="14"/>
        <v>24.452999999999999</v>
      </c>
      <c r="C114">
        <f t="shared" si="15"/>
        <v>81.767399999999995</v>
      </c>
      <c r="D114">
        <f t="shared" si="16"/>
        <v>7.0355999999999996</v>
      </c>
      <c r="F114">
        <v>10</v>
      </c>
      <c r="G114">
        <f t="shared" si="17"/>
        <v>5.3463375783239044</v>
      </c>
      <c r="H114">
        <f t="shared" si="18"/>
        <v>9.5063917629084926</v>
      </c>
      <c r="I114">
        <f t="shared" si="19"/>
        <v>7.8423700890746577</v>
      </c>
      <c r="J114" s="5"/>
      <c r="K114" s="15" t="s">
        <v>296</v>
      </c>
      <c r="L114" s="5">
        <v>5133391</v>
      </c>
      <c r="M114" s="7">
        <v>50</v>
      </c>
      <c r="N114" s="47">
        <v>5.9628592127214386</v>
      </c>
      <c r="O114" s="39">
        <v>11.925718425442877</v>
      </c>
      <c r="P114" s="99">
        <v>15.229712629822849</v>
      </c>
      <c r="Q114" s="40">
        <v>1.2770957527130364</v>
      </c>
    </row>
    <row r="115" spans="1:24" x14ac:dyDescent="0.25">
      <c r="A115">
        <v>12</v>
      </c>
      <c r="B115">
        <f t="shared" si="14"/>
        <v>26.675999999999998</v>
      </c>
      <c r="C115">
        <f t="shared" si="15"/>
        <v>89.200800000000001</v>
      </c>
      <c r="D115">
        <f t="shared" si="16"/>
        <v>7.6751999999999994</v>
      </c>
      <c r="F115">
        <v>11</v>
      </c>
      <c r="G115">
        <f t="shared" si="17"/>
        <v>5.8809713361562945</v>
      </c>
      <c r="H115">
        <f t="shared" si="18"/>
        <v>10.457030939199342</v>
      </c>
      <c r="I115">
        <f t="shared" si="19"/>
        <v>8.6266070979821237</v>
      </c>
    </row>
    <row r="116" spans="1:24" x14ac:dyDescent="0.25">
      <c r="A116">
        <v>13</v>
      </c>
      <c r="B116">
        <f t="shared" si="14"/>
        <v>28.898999999999997</v>
      </c>
      <c r="C116">
        <f t="shared" si="15"/>
        <v>96.634199999999993</v>
      </c>
      <c r="D116">
        <f t="shared" si="16"/>
        <v>8.3148</v>
      </c>
      <c r="F116">
        <v>12</v>
      </c>
      <c r="G116">
        <f t="shared" si="17"/>
        <v>6.4156050939886846</v>
      </c>
      <c r="H116">
        <f t="shared" si="18"/>
        <v>11.407670115490191</v>
      </c>
      <c r="I116">
        <f t="shared" si="19"/>
        <v>9.4108441068895878</v>
      </c>
    </row>
    <row r="117" spans="1:24" x14ac:dyDescent="0.25">
      <c r="A117">
        <v>14</v>
      </c>
      <c r="B117">
        <f t="shared" si="14"/>
        <v>31.122</v>
      </c>
      <c r="C117">
        <f t="shared" si="15"/>
        <v>104.0676</v>
      </c>
      <c r="D117">
        <f t="shared" si="16"/>
        <v>8.9543999999999997</v>
      </c>
      <c r="F117">
        <v>13</v>
      </c>
      <c r="G117">
        <f t="shared" si="17"/>
        <v>6.9502388518210756</v>
      </c>
      <c r="H117">
        <f t="shared" si="18"/>
        <v>12.35830929178104</v>
      </c>
      <c r="I117">
        <f t="shared" si="19"/>
        <v>10.195081115797054</v>
      </c>
    </row>
    <row r="118" spans="1:24" x14ac:dyDescent="0.25">
      <c r="A118">
        <v>15</v>
      </c>
      <c r="B118">
        <f t="shared" si="14"/>
        <v>33.344999999999999</v>
      </c>
      <c r="C118">
        <f t="shared" si="15"/>
        <v>111.50099999999999</v>
      </c>
      <c r="D118">
        <f t="shared" si="16"/>
        <v>9.5939999999999994</v>
      </c>
      <c r="F118">
        <v>14</v>
      </c>
      <c r="G118">
        <f t="shared" si="17"/>
        <v>7.4848726096534657</v>
      </c>
      <c r="H118">
        <f t="shared" si="18"/>
        <v>13.30894846807189</v>
      </c>
      <c r="I118">
        <f t="shared" si="19"/>
        <v>10.97931812470452</v>
      </c>
    </row>
    <row r="119" spans="1:24" x14ac:dyDescent="0.25">
      <c r="A119">
        <v>16</v>
      </c>
      <c r="B119">
        <f t="shared" si="14"/>
        <v>35.567999999999998</v>
      </c>
      <c r="C119">
        <f t="shared" si="15"/>
        <v>118.9344</v>
      </c>
      <c r="D119">
        <f t="shared" si="16"/>
        <v>10.233599999999999</v>
      </c>
      <c r="F119">
        <v>15</v>
      </c>
      <c r="G119">
        <f t="shared" si="17"/>
        <v>8.0195063674858567</v>
      </c>
      <c r="H119">
        <f t="shared" si="18"/>
        <v>14.259587644362739</v>
      </c>
      <c r="I119">
        <f t="shared" si="19"/>
        <v>11.763555133611986</v>
      </c>
    </row>
    <row r="120" spans="1:24" x14ac:dyDescent="0.25">
      <c r="A120">
        <v>17</v>
      </c>
      <c r="B120">
        <f t="shared" si="14"/>
        <v>37.790999999999997</v>
      </c>
      <c r="C120">
        <f t="shared" si="15"/>
        <v>126.3678</v>
      </c>
      <c r="D120">
        <f t="shared" si="16"/>
        <v>10.873199999999999</v>
      </c>
      <c r="F120">
        <v>16</v>
      </c>
      <c r="G120">
        <f t="shared" si="17"/>
        <v>8.5541401253182467</v>
      </c>
      <c r="H120">
        <f t="shared" si="18"/>
        <v>15.210226820653588</v>
      </c>
      <c r="I120">
        <f t="shared" si="19"/>
        <v>12.547792142519452</v>
      </c>
    </row>
    <row r="121" spans="1:24" x14ac:dyDescent="0.25">
      <c r="A121">
        <v>18</v>
      </c>
      <c r="B121">
        <f t="shared" si="14"/>
        <v>40.013999999999996</v>
      </c>
      <c r="C121">
        <f t="shared" si="15"/>
        <v>133.80119999999999</v>
      </c>
      <c r="D121">
        <f t="shared" si="16"/>
        <v>11.512799999999999</v>
      </c>
      <c r="F121">
        <v>17</v>
      </c>
      <c r="G121">
        <f t="shared" si="17"/>
        <v>9.0887738831506368</v>
      </c>
      <c r="H121">
        <f t="shared" si="18"/>
        <v>16.160865996944437</v>
      </c>
      <c r="I121">
        <f t="shared" si="19"/>
        <v>13.332029151426918</v>
      </c>
    </row>
    <row r="122" spans="1:24" x14ac:dyDescent="0.25">
      <c r="A122">
        <v>19</v>
      </c>
      <c r="B122">
        <f t="shared" si="14"/>
        <v>42.236999999999995</v>
      </c>
      <c r="C122">
        <f t="shared" si="15"/>
        <v>141.2346</v>
      </c>
      <c r="D122">
        <f t="shared" si="16"/>
        <v>12.152399999999998</v>
      </c>
      <c r="F122">
        <v>18</v>
      </c>
      <c r="G122">
        <f t="shared" si="17"/>
        <v>9.6234076409830269</v>
      </c>
      <c r="H122">
        <f t="shared" si="18"/>
        <v>17.111505173235287</v>
      </c>
      <c r="I122">
        <f t="shared" si="19"/>
        <v>14.116266160334384</v>
      </c>
    </row>
    <row r="123" spans="1:24" x14ac:dyDescent="0.25">
      <c r="A123">
        <v>20</v>
      </c>
      <c r="B123">
        <f t="shared" si="14"/>
        <v>44.459999999999994</v>
      </c>
      <c r="C123">
        <f t="shared" si="15"/>
        <v>148.66800000000001</v>
      </c>
      <c r="D123">
        <f t="shared" si="16"/>
        <v>12.791999999999998</v>
      </c>
      <c r="F123">
        <v>19</v>
      </c>
      <c r="G123">
        <f t="shared" si="17"/>
        <v>10.158041398815419</v>
      </c>
      <c r="H123">
        <f t="shared" si="18"/>
        <v>18.062144349526136</v>
      </c>
      <c r="I123">
        <f t="shared" si="19"/>
        <v>14.900503169241849</v>
      </c>
      <c r="K123" s="100" t="s">
        <v>289</v>
      </c>
    </row>
    <row r="124" spans="1:24" x14ac:dyDescent="0.25">
      <c r="A124">
        <v>21</v>
      </c>
      <c r="B124">
        <f t="shared" si="14"/>
        <v>46.683</v>
      </c>
      <c r="C124">
        <f t="shared" si="15"/>
        <v>156.10139999999998</v>
      </c>
      <c r="D124">
        <f t="shared" si="16"/>
        <v>13.4316</v>
      </c>
      <c r="F124">
        <v>20</v>
      </c>
      <c r="G124">
        <f t="shared" si="17"/>
        <v>10.692675156647809</v>
      </c>
      <c r="H124">
        <f t="shared" si="18"/>
        <v>19.012783525816985</v>
      </c>
      <c r="I124">
        <f t="shared" si="19"/>
        <v>15.684740178149315</v>
      </c>
    </row>
    <row r="125" spans="1:24" x14ac:dyDescent="0.25">
      <c r="A125">
        <v>22</v>
      </c>
      <c r="B125">
        <f t="shared" si="14"/>
        <v>48.905999999999999</v>
      </c>
      <c r="C125">
        <f t="shared" si="15"/>
        <v>163.53479999999999</v>
      </c>
      <c r="D125">
        <f t="shared" si="16"/>
        <v>14.071199999999999</v>
      </c>
      <c r="F125">
        <v>21</v>
      </c>
      <c r="G125">
        <f t="shared" si="17"/>
        <v>11.227308914480199</v>
      </c>
      <c r="H125">
        <f t="shared" si="18"/>
        <v>19.963422702107835</v>
      </c>
      <c r="I125">
        <f t="shared" si="19"/>
        <v>16.46897718705678</v>
      </c>
      <c r="K125" t="s">
        <v>289</v>
      </c>
      <c r="U125" t="s">
        <v>299</v>
      </c>
    </row>
    <row r="126" spans="1:24" x14ac:dyDescent="0.25">
      <c r="A126">
        <v>23</v>
      </c>
      <c r="B126">
        <f t="shared" si="14"/>
        <v>51.128999999999998</v>
      </c>
      <c r="C126">
        <f t="shared" si="15"/>
        <v>170.9682</v>
      </c>
      <c r="D126">
        <f t="shared" si="16"/>
        <v>14.710799999999999</v>
      </c>
      <c r="F126">
        <v>22</v>
      </c>
      <c r="G126">
        <f t="shared" si="17"/>
        <v>11.761942672312589</v>
      </c>
      <c r="H126">
        <f t="shared" si="18"/>
        <v>20.914061878398684</v>
      </c>
      <c r="I126">
        <f t="shared" si="19"/>
        <v>17.253214195964247</v>
      </c>
      <c r="K126" t="s">
        <v>55</v>
      </c>
      <c r="L126" t="s">
        <v>56</v>
      </c>
      <c r="M126" t="s">
        <v>57</v>
      </c>
      <c r="N126" t="s">
        <v>66</v>
      </c>
      <c r="O126" t="s">
        <v>297</v>
      </c>
      <c r="P126" t="s">
        <v>73</v>
      </c>
      <c r="Q126" t="s">
        <v>88</v>
      </c>
      <c r="V126" t="s">
        <v>279</v>
      </c>
    </row>
    <row r="127" spans="1:24" x14ac:dyDescent="0.25">
      <c r="F127">
        <v>23</v>
      </c>
      <c r="G127">
        <f t="shared" si="17"/>
        <v>12.296576430144979</v>
      </c>
      <c r="H127">
        <f t="shared" si="18"/>
        <v>21.864701054689533</v>
      </c>
      <c r="I127">
        <f t="shared" si="19"/>
        <v>18.037451204871711</v>
      </c>
      <c r="K127" t="s">
        <v>54</v>
      </c>
      <c r="L127" t="s">
        <v>12</v>
      </c>
      <c r="M127" t="s">
        <v>59</v>
      </c>
      <c r="N127" t="s">
        <v>63</v>
      </c>
      <c r="O127" t="s">
        <v>67</v>
      </c>
      <c r="P127" t="s">
        <v>74</v>
      </c>
      <c r="Q127" t="s">
        <v>89</v>
      </c>
      <c r="U127" t="s">
        <v>274</v>
      </c>
      <c r="V127" s="93">
        <v>44382</v>
      </c>
      <c r="W127" s="93">
        <v>44384</v>
      </c>
      <c r="X127" t="s">
        <v>276</v>
      </c>
    </row>
    <row r="128" spans="1:24" x14ac:dyDescent="0.25">
      <c r="K128" t="s">
        <v>21</v>
      </c>
      <c r="L128">
        <v>0</v>
      </c>
      <c r="M128">
        <v>0</v>
      </c>
      <c r="N128">
        <v>0</v>
      </c>
      <c r="O128">
        <v>0</v>
      </c>
      <c r="P128">
        <v>0</v>
      </c>
      <c r="U128" t="s">
        <v>277</v>
      </c>
      <c r="V128" t="s">
        <v>275</v>
      </c>
      <c r="W128" t="s">
        <v>275</v>
      </c>
      <c r="X128" t="s">
        <v>275</v>
      </c>
    </row>
    <row r="129" spans="11:24" x14ac:dyDescent="0.25">
      <c r="K129" t="s">
        <v>22</v>
      </c>
      <c r="L129">
        <v>0</v>
      </c>
      <c r="M129">
        <v>0</v>
      </c>
      <c r="N129">
        <v>0</v>
      </c>
      <c r="O129">
        <v>0</v>
      </c>
      <c r="P129">
        <v>0</v>
      </c>
      <c r="U129" t="s">
        <v>278</v>
      </c>
      <c r="V129">
        <f>AVERAGE(Q132:Q139)</f>
        <v>1.4692675156647808</v>
      </c>
      <c r="W129">
        <f>AVERAGE(Q140:Q151)</f>
        <v>2.3012783525816984</v>
      </c>
      <c r="X129" s="29">
        <f>AVERAGE(Q132:Q151)</f>
        <v>1.9684740178149316</v>
      </c>
    </row>
    <row r="130" spans="11:24" x14ac:dyDescent="0.25">
      <c r="K130" t="s">
        <v>29</v>
      </c>
      <c r="L130">
        <v>0</v>
      </c>
      <c r="M130">
        <v>0</v>
      </c>
      <c r="N130">
        <v>0</v>
      </c>
      <c r="O130">
        <v>0</v>
      </c>
      <c r="P130">
        <v>0</v>
      </c>
      <c r="U130" t="s">
        <v>121</v>
      </c>
      <c r="V130" t="s">
        <v>132</v>
      </c>
    </row>
    <row r="131" spans="11:24" x14ac:dyDescent="0.25">
      <c r="K131" t="s">
        <v>30</v>
      </c>
      <c r="L131">
        <v>0</v>
      </c>
      <c r="M131">
        <v>0</v>
      </c>
      <c r="N131">
        <v>0</v>
      </c>
      <c r="O131">
        <v>0</v>
      </c>
      <c r="P131">
        <v>0</v>
      </c>
      <c r="U131">
        <v>0.5</v>
      </c>
      <c r="V131">
        <f>U131*$V$129</f>
        <v>0.73463375783239038</v>
      </c>
      <c r="W131">
        <f>U131*$W$129</f>
        <v>1.1506391762908492</v>
      </c>
      <c r="X131">
        <f>U131*$X$129</f>
        <v>0.98423700890746579</v>
      </c>
    </row>
    <row r="132" spans="11:24" x14ac:dyDescent="0.25">
      <c r="K132" t="s">
        <v>31</v>
      </c>
      <c r="L132">
        <v>180679</v>
      </c>
      <c r="M132">
        <v>2.5</v>
      </c>
      <c r="N132">
        <v>0.4914901072268959</v>
      </c>
      <c r="O132">
        <v>0.4914901072268959</v>
      </c>
      <c r="P132">
        <v>0.80340395710924162</v>
      </c>
      <c r="Q132">
        <v>1.6346289483673189</v>
      </c>
      <c r="U132">
        <v>1</v>
      </c>
      <c r="V132">
        <f t="shared" ref="V132:V154" si="20">U132*$V$129</f>
        <v>1.4692675156647808</v>
      </c>
      <c r="W132">
        <f t="shared" ref="W132:W154" si="21">U132*$W$129</f>
        <v>2.3012783525816984</v>
      </c>
      <c r="X132">
        <f t="shared" ref="X132:X154" si="22">U132*$X$129</f>
        <v>1.9684740178149316</v>
      </c>
    </row>
    <row r="133" spans="11:24" x14ac:dyDescent="0.25">
      <c r="K133" t="s">
        <v>32</v>
      </c>
      <c r="L133">
        <v>207828</v>
      </c>
      <c r="M133">
        <v>2.5</v>
      </c>
      <c r="N133">
        <v>0.55315299320617817</v>
      </c>
      <c r="O133">
        <v>0.55315299320617817</v>
      </c>
      <c r="P133">
        <v>0.77873880271752882</v>
      </c>
      <c r="Q133">
        <v>1.407818112316112</v>
      </c>
      <c r="U133">
        <v>2</v>
      </c>
      <c r="V133">
        <f t="shared" si="20"/>
        <v>2.9385350313295615</v>
      </c>
      <c r="W133">
        <f t="shared" si="21"/>
        <v>4.6025567051633969</v>
      </c>
      <c r="X133">
        <f t="shared" si="22"/>
        <v>3.9369480356298632</v>
      </c>
    </row>
    <row r="134" spans="11:24" x14ac:dyDescent="0.25">
      <c r="K134" t="s">
        <v>34</v>
      </c>
      <c r="L134">
        <v>194928</v>
      </c>
      <c r="M134">
        <v>2.5</v>
      </c>
      <c r="N134">
        <v>0.52385352622276293</v>
      </c>
      <c r="O134">
        <v>0.52385352622276293</v>
      </c>
      <c r="P134">
        <v>0.79045858951089476</v>
      </c>
      <c r="Q134">
        <v>1.5089305501300776</v>
      </c>
      <c r="U134">
        <v>3</v>
      </c>
      <c r="V134">
        <f t="shared" si="20"/>
        <v>4.4078025469943425</v>
      </c>
      <c r="W134">
        <f t="shared" si="21"/>
        <v>6.9038350577450949</v>
      </c>
      <c r="X134">
        <f t="shared" si="22"/>
        <v>5.905422053444795</v>
      </c>
    </row>
    <row r="135" spans="11:24" x14ac:dyDescent="0.25">
      <c r="K135" t="s">
        <v>35</v>
      </c>
      <c r="L135">
        <v>275736</v>
      </c>
      <c r="M135">
        <v>2.5</v>
      </c>
      <c r="N135">
        <v>0.70739083847050077</v>
      </c>
      <c r="O135">
        <v>0.70739083847050077</v>
      </c>
      <c r="P135">
        <v>0.71704366461179969</v>
      </c>
      <c r="Q135">
        <v>1.0136456759352015</v>
      </c>
      <c r="U135">
        <v>4</v>
      </c>
      <c r="V135">
        <f t="shared" si="20"/>
        <v>5.877070062659123</v>
      </c>
      <c r="W135">
        <f t="shared" si="21"/>
        <v>9.2051134103267938</v>
      </c>
      <c r="X135">
        <f t="shared" si="22"/>
        <v>7.8738960712597263</v>
      </c>
    </row>
    <row r="136" spans="11:24" x14ac:dyDescent="0.25">
      <c r="K136" t="s">
        <v>36</v>
      </c>
      <c r="L136">
        <v>742742</v>
      </c>
      <c r="M136">
        <v>7.5</v>
      </c>
      <c r="N136">
        <v>1.7680905964594018</v>
      </c>
      <c r="O136">
        <v>1.7680905964594018</v>
      </c>
      <c r="P136">
        <v>2.2927637614162393</v>
      </c>
      <c r="Q136">
        <v>1.2967456339666612</v>
      </c>
      <c r="U136">
        <v>5</v>
      </c>
      <c r="V136">
        <f t="shared" si="20"/>
        <v>7.3463375783239035</v>
      </c>
      <c r="W136">
        <f t="shared" si="21"/>
        <v>11.506391762908493</v>
      </c>
      <c r="X136">
        <f t="shared" si="22"/>
        <v>9.8423700890746577</v>
      </c>
    </row>
    <row r="137" spans="11:24" x14ac:dyDescent="0.25">
      <c r="K137" t="s">
        <v>37</v>
      </c>
      <c r="L137">
        <v>666333</v>
      </c>
      <c r="M137">
        <v>7.5</v>
      </c>
      <c r="N137">
        <v>1.5945446295806596</v>
      </c>
      <c r="O137">
        <v>1.5945446295806596</v>
      </c>
      <c r="P137">
        <v>2.3621821481677361</v>
      </c>
      <c r="Q137">
        <v>1.4814148844419319</v>
      </c>
      <c r="U137">
        <v>6</v>
      </c>
      <c r="V137">
        <f t="shared" si="20"/>
        <v>8.815605093988685</v>
      </c>
      <c r="W137">
        <f t="shared" si="21"/>
        <v>13.80767011549019</v>
      </c>
      <c r="X137">
        <f t="shared" si="22"/>
        <v>11.81084410688959</v>
      </c>
    </row>
    <row r="138" spans="11:24" x14ac:dyDescent="0.25">
      <c r="K138" t="s">
        <v>38</v>
      </c>
      <c r="L138">
        <v>568617</v>
      </c>
      <c r="M138">
        <v>7.5</v>
      </c>
      <c r="N138">
        <v>1.3726045740960544</v>
      </c>
      <c r="O138">
        <v>1.3726045740960544</v>
      </c>
      <c r="P138">
        <v>2.4509581703615781</v>
      </c>
      <c r="Q138">
        <v>1.7856258216068432</v>
      </c>
      <c r="U138">
        <v>7</v>
      </c>
      <c r="V138">
        <f t="shared" si="20"/>
        <v>10.284872609653466</v>
      </c>
      <c r="W138">
        <f t="shared" si="21"/>
        <v>16.10894846807189</v>
      </c>
      <c r="X138">
        <f t="shared" si="22"/>
        <v>13.77931812470452</v>
      </c>
    </row>
    <row r="139" spans="11:24" x14ac:dyDescent="0.25">
      <c r="K139" t="s">
        <v>39</v>
      </c>
      <c r="L139">
        <v>616447</v>
      </c>
      <c r="M139">
        <v>7.5</v>
      </c>
      <c r="N139">
        <v>1.4812397295857251</v>
      </c>
      <c r="O139">
        <v>1.4812397295857251</v>
      </c>
      <c r="P139">
        <v>2.4075041081657096</v>
      </c>
      <c r="Q139">
        <v>1.6253304985541017</v>
      </c>
      <c r="U139">
        <v>8</v>
      </c>
      <c r="V139">
        <f t="shared" si="20"/>
        <v>11.754140125318246</v>
      </c>
      <c r="W139">
        <f t="shared" si="21"/>
        <v>18.410226820653588</v>
      </c>
      <c r="X139">
        <f t="shared" si="22"/>
        <v>15.747792142519453</v>
      </c>
    </row>
    <row r="140" spans="11:24" x14ac:dyDescent="0.25">
      <c r="K140" t="s">
        <v>101</v>
      </c>
      <c r="L140">
        <v>1537277</v>
      </c>
      <c r="M140">
        <v>12.5</v>
      </c>
      <c r="N140">
        <v>1.7952839841585939</v>
      </c>
      <c r="O140">
        <v>1.7952839841585939</v>
      </c>
      <c r="P140">
        <v>4.2818864063365627</v>
      </c>
      <c r="Q140">
        <v>2.3850746979973638</v>
      </c>
      <c r="U140">
        <v>9</v>
      </c>
      <c r="V140">
        <f t="shared" si="20"/>
        <v>13.223407640983027</v>
      </c>
      <c r="W140">
        <f t="shared" si="21"/>
        <v>20.711505173235285</v>
      </c>
      <c r="X140">
        <f t="shared" si="22"/>
        <v>17.716266160334385</v>
      </c>
    </row>
    <row r="141" spans="11:24" x14ac:dyDescent="0.25">
      <c r="K141" t="s">
        <v>102</v>
      </c>
      <c r="L141">
        <v>1991960</v>
      </c>
      <c r="M141">
        <v>12.5</v>
      </c>
      <c r="N141">
        <v>2.3222210077481238</v>
      </c>
      <c r="O141">
        <v>2.3222210077481238</v>
      </c>
      <c r="P141">
        <v>4.0711115969007512</v>
      </c>
      <c r="Q141">
        <v>1.753111173879415</v>
      </c>
      <c r="U141">
        <v>10</v>
      </c>
      <c r="V141">
        <f t="shared" si="20"/>
        <v>14.692675156647807</v>
      </c>
      <c r="W141">
        <f t="shared" si="21"/>
        <v>23.012783525816985</v>
      </c>
      <c r="X141">
        <f t="shared" si="22"/>
        <v>19.684740178149315</v>
      </c>
    </row>
    <row r="142" spans="11:24" x14ac:dyDescent="0.25">
      <c r="K142" t="s">
        <v>103</v>
      </c>
      <c r="L142">
        <v>1217692</v>
      </c>
      <c r="M142">
        <v>12.5</v>
      </c>
      <c r="N142">
        <v>1.4249134871664917</v>
      </c>
      <c r="O142">
        <v>1.4249134871664917</v>
      </c>
      <c r="P142">
        <v>4.430034605133403</v>
      </c>
      <c r="Q142">
        <v>3.1089849629697435</v>
      </c>
      <c r="U142">
        <v>11</v>
      </c>
      <c r="V142">
        <f t="shared" si="20"/>
        <v>16.161942672312588</v>
      </c>
      <c r="W142">
        <f t="shared" si="21"/>
        <v>25.314061878398682</v>
      </c>
      <c r="X142">
        <f t="shared" si="22"/>
        <v>21.653214195964246</v>
      </c>
    </row>
    <row r="143" spans="11:24" x14ac:dyDescent="0.25">
      <c r="K143" t="s">
        <v>104</v>
      </c>
      <c r="L143">
        <v>1289070</v>
      </c>
      <c r="M143">
        <v>12.5</v>
      </c>
      <c r="N143">
        <v>1.5076342197863026</v>
      </c>
      <c r="O143">
        <v>1.5076342197863026</v>
      </c>
      <c r="P143">
        <v>4.396946312085479</v>
      </c>
      <c r="Q143">
        <v>2.916454305944792</v>
      </c>
      <c r="U143">
        <v>12</v>
      </c>
      <c r="V143">
        <f t="shared" si="20"/>
        <v>17.63121018797737</v>
      </c>
      <c r="W143">
        <f t="shared" si="21"/>
        <v>27.615340230980379</v>
      </c>
      <c r="X143">
        <f t="shared" si="22"/>
        <v>23.62168821377918</v>
      </c>
    </row>
    <row r="144" spans="11:24" x14ac:dyDescent="0.25">
      <c r="K144" t="s">
        <v>105</v>
      </c>
      <c r="L144">
        <v>2840377</v>
      </c>
      <c r="M144">
        <v>25</v>
      </c>
      <c r="N144">
        <v>3.3054606026807662</v>
      </c>
      <c r="O144">
        <v>3.3054606026807662</v>
      </c>
      <c r="P144">
        <v>8.677815758927693</v>
      </c>
      <c r="Q144">
        <v>2.6252969864139013</v>
      </c>
      <c r="U144">
        <v>13</v>
      </c>
      <c r="V144">
        <f t="shared" si="20"/>
        <v>19.100477703642149</v>
      </c>
      <c r="W144">
        <f t="shared" si="21"/>
        <v>29.91661858356208</v>
      </c>
      <c r="X144">
        <f t="shared" si="22"/>
        <v>25.59016223159411</v>
      </c>
    </row>
    <row r="145" spans="10:24" x14ac:dyDescent="0.25">
      <c r="K145" t="s">
        <v>106</v>
      </c>
      <c r="L145">
        <v>3645438</v>
      </c>
      <c r="M145">
        <v>25</v>
      </c>
      <c r="N145">
        <v>4.2384544624644196</v>
      </c>
      <c r="O145">
        <v>4.2384544624644196</v>
      </c>
      <c r="P145">
        <v>8.3046182150142336</v>
      </c>
      <c r="Q145">
        <v>1.9593505813403436</v>
      </c>
      <c r="U145">
        <v>14</v>
      </c>
      <c r="V145">
        <f t="shared" si="20"/>
        <v>20.569745219306931</v>
      </c>
      <c r="W145">
        <f t="shared" si="21"/>
        <v>32.217896936143781</v>
      </c>
      <c r="X145">
        <f t="shared" si="22"/>
        <v>27.558636249409041</v>
      </c>
    </row>
    <row r="146" spans="10:24" x14ac:dyDescent="0.25">
      <c r="K146" t="s">
        <v>107</v>
      </c>
      <c r="L146">
        <v>3724084</v>
      </c>
      <c r="M146">
        <v>25</v>
      </c>
      <c r="N146">
        <v>4.3295981585278795</v>
      </c>
      <c r="O146">
        <v>4.3295981585278795</v>
      </c>
      <c r="P146">
        <v>8.2681607365888485</v>
      </c>
      <c r="Q146">
        <v>1.9096831700889609</v>
      </c>
      <c r="U146">
        <v>15</v>
      </c>
      <c r="V146">
        <f t="shared" si="20"/>
        <v>22.03901273497171</v>
      </c>
      <c r="W146">
        <f t="shared" si="21"/>
        <v>34.519175288725478</v>
      </c>
      <c r="X146">
        <f t="shared" si="22"/>
        <v>29.527110267223975</v>
      </c>
    </row>
    <row r="147" spans="10:24" x14ac:dyDescent="0.25">
      <c r="K147" t="s">
        <v>108</v>
      </c>
      <c r="L147">
        <v>3662902</v>
      </c>
      <c r="M147">
        <v>25</v>
      </c>
      <c r="N147">
        <v>4.2586936800730992</v>
      </c>
      <c r="O147">
        <v>4.2586936800730992</v>
      </c>
      <c r="P147">
        <v>8.29652252797076</v>
      </c>
      <c r="Q147">
        <v>1.9481378918589778</v>
      </c>
      <c r="U147">
        <v>16</v>
      </c>
      <c r="V147">
        <f t="shared" si="20"/>
        <v>23.508280250636492</v>
      </c>
      <c r="W147">
        <f t="shared" si="21"/>
        <v>36.820453641307175</v>
      </c>
      <c r="X147">
        <f t="shared" si="22"/>
        <v>31.495584285038905</v>
      </c>
    </row>
    <row r="148" spans="10:24" x14ac:dyDescent="0.25">
      <c r="K148" t="s">
        <v>109</v>
      </c>
      <c r="L148">
        <v>8169291</v>
      </c>
      <c r="M148">
        <v>50</v>
      </c>
      <c r="N148">
        <v>9.4811964057008424</v>
      </c>
      <c r="O148">
        <v>9.4811964057008424</v>
      </c>
      <c r="P148">
        <v>16.207521437719663</v>
      </c>
      <c r="Q148">
        <v>1.7094384236122799</v>
      </c>
      <c r="U148">
        <v>17</v>
      </c>
      <c r="V148">
        <f t="shared" si="20"/>
        <v>24.977547766301274</v>
      </c>
      <c r="W148">
        <f t="shared" si="21"/>
        <v>39.121731993888872</v>
      </c>
      <c r="X148">
        <f t="shared" si="22"/>
        <v>33.464058302853836</v>
      </c>
    </row>
    <row r="149" spans="10:24" x14ac:dyDescent="0.25">
      <c r="K149" t="s">
        <v>110</v>
      </c>
      <c r="L149">
        <v>9621603</v>
      </c>
      <c r="M149">
        <v>50</v>
      </c>
      <c r="N149">
        <v>11.164296417364699</v>
      </c>
      <c r="O149">
        <v>11.164296417364699</v>
      </c>
      <c r="P149">
        <v>15.534281433054122</v>
      </c>
      <c r="Q149">
        <v>1.391425026022459</v>
      </c>
      <c r="U149">
        <v>18</v>
      </c>
      <c r="V149">
        <f t="shared" si="20"/>
        <v>26.446815281966053</v>
      </c>
      <c r="W149">
        <f t="shared" si="21"/>
        <v>41.423010346470569</v>
      </c>
      <c r="X149">
        <f t="shared" si="22"/>
        <v>35.43253232066877</v>
      </c>
    </row>
    <row r="150" spans="10:24" x14ac:dyDescent="0.25">
      <c r="K150" t="s">
        <v>111</v>
      </c>
      <c r="L150">
        <v>5105882</v>
      </c>
      <c r="M150">
        <v>50</v>
      </c>
      <c r="N150">
        <v>5.9309787364733175</v>
      </c>
      <c r="O150">
        <v>5.9309787364733175</v>
      </c>
      <c r="P150">
        <v>17.62760850541067</v>
      </c>
      <c r="Q150">
        <v>2.9721247181358823</v>
      </c>
      <c r="U150">
        <v>19</v>
      </c>
      <c r="V150">
        <f t="shared" si="20"/>
        <v>27.916082797630835</v>
      </c>
      <c r="W150">
        <f t="shared" si="21"/>
        <v>43.724288699052273</v>
      </c>
      <c r="X150">
        <f t="shared" si="22"/>
        <v>37.401006338483697</v>
      </c>
    </row>
    <row r="151" spans="10:24" x14ac:dyDescent="0.25">
      <c r="K151" t="s">
        <v>112</v>
      </c>
      <c r="L151">
        <v>5160900</v>
      </c>
      <c r="M151">
        <v>50</v>
      </c>
      <c r="N151">
        <v>5.9947396889695588</v>
      </c>
      <c r="O151">
        <v>5.9947396889695588</v>
      </c>
      <c r="P151">
        <v>17.602104124412175</v>
      </c>
      <c r="Q151">
        <v>2.9362582927162624</v>
      </c>
      <c r="U151">
        <v>20</v>
      </c>
      <c r="V151">
        <f t="shared" si="20"/>
        <v>29.385350313295614</v>
      </c>
      <c r="W151">
        <f t="shared" si="21"/>
        <v>46.025567051633971</v>
      </c>
      <c r="X151">
        <f t="shared" si="22"/>
        <v>39.369480356298631</v>
      </c>
    </row>
    <row r="152" spans="10:24" x14ac:dyDescent="0.25">
      <c r="P152" t="s">
        <v>46</v>
      </c>
      <c r="Q152">
        <v>1.9684740178149316</v>
      </c>
      <c r="U152">
        <v>21</v>
      </c>
      <c r="V152">
        <f t="shared" si="20"/>
        <v>30.854617828960397</v>
      </c>
      <c r="W152">
        <f t="shared" si="21"/>
        <v>48.326845404215668</v>
      </c>
      <c r="X152">
        <f t="shared" si="22"/>
        <v>41.337954374113565</v>
      </c>
    </row>
    <row r="153" spans="10:24" x14ac:dyDescent="0.25">
      <c r="U153">
        <v>22</v>
      </c>
      <c r="V153">
        <f t="shared" si="20"/>
        <v>32.323885344625175</v>
      </c>
      <c r="W153">
        <f t="shared" si="21"/>
        <v>50.628123756797365</v>
      </c>
      <c r="X153">
        <f t="shared" si="22"/>
        <v>43.306428391928492</v>
      </c>
    </row>
    <row r="154" spans="10:24" x14ac:dyDescent="0.25">
      <c r="U154">
        <v>23</v>
      </c>
      <c r="V154">
        <f t="shared" si="20"/>
        <v>33.793152860289958</v>
      </c>
      <c r="W154">
        <f t="shared" si="21"/>
        <v>52.929402109379062</v>
      </c>
      <c r="X154">
        <f t="shared" si="22"/>
        <v>45.274902409743426</v>
      </c>
    </row>
    <row r="157" spans="10:24" x14ac:dyDescent="0.25">
      <c r="J157" s="17"/>
      <c r="K157" s="16" t="s">
        <v>298</v>
      </c>
      <c r="L157" s="3" t="s">
        <v>56</v>
      </c>
      <c r="M157" s="3" t="s">
        <v>57</v>
      </c>
      <c r="N157" s="3" t="s">
        <v>66</v>
      </c>
      <c r="O157" s="3" t="s">
        <v>297</v>
      </c>
      <c r="P157" s="3" t="s">
        <v>73</v>
      </c>
      <c r="Q157" s="4" t="s">
        <v>88</v>
      </c>
    </row>
    <row r="158" spans="10:24" x14ac:dyDescent="0.25">
      <c r="J158" s="18"/>
      <c r="K158" s="15" t="s">
        <v>290</v>
      </c>
      <c r="L158" s="7" t="s">
        <v>12</v>
      </c>
      <c r="M158" s="7" t="s">
        <v>59</v>
      </c>
      <c r="N158" s="7" t="s">
        <v>63</v>
      </c>
      <c r="O158" s="7" t="s">
        <v>67</v>
      </c>
      <c r="P158" s="7" t="s">
        <v>67</v>
      </c>
      <c r="Q158" s="6" t="s">
        <v>89</v>
      </c>
    </row>
    <row r="159" spans="10:24" x14ac:dyDescent="0.25">
      <c r="J159" s="95">
        <v>44382</v>
      </c>
      <c r="K159" s="16" t="s">
        <v>282</v>
      </c>
      <c r="L159" s="3">
        <f>AVERAGE(L128:L129)</f>
        <v>0</v>
      </c>
      <c r="M159" s="3">
        <f>AVERAGE(M128:M129)</f>
        <v>0</v>
      </c>
      <c r="N159" s="3">
        <f>AVERAGE(N128:N129)</f>
        <v>0</v>
      </c>
      <c r="O159" s="3">
        <f>AVERAGE(O128:O129)</f>
        <v>0</v>
      </c>
      <c r="P159" s="3">
        <f>AVERAGE(P128:P129)</f>
        <v>0</v>
      </c>
      <c r="Q159" s="4"/>
    </row>
    <row r="160" spans="10:24" x14ac:dyDescent="0.25">
      <c r="J160" s="18"/>
      <c r="K160" s="15" t="s">
        <v>283</v>
      </c>
      <c r="L160" s="7">
        <f>AVERAGE(L130:L131)</f>
        <v>0</v>
      </c>
      <c r="M160" s="7">
        <f>AVERAGE(M130:M131)</f>
        <v>0</v>
      </c>
      <c r="N160" s="7">
        <f>AVERAGE(N130:N131)</f>
        <v>0</v>
      </c>
      <c r="O160" s="7">
        <f>AVERAGE(O130:O131)</f>
        <v>0</v>
      </c>
      <c r="P160" s="7">
        <f>AVERAGE(P130:P131)</f>
        <v>0</v>
      </c>
      <c r="Q160" s="6"/>
    </row>
    <row r="161" spans="10:17" x14ac:dyDescent="0.25">
      <c r="J161" s="18"/>
      <c r="K161" s="16" t="s">
        <v>284</v>
      </c>
      <c r="L161" s="3">
        <f t="shared" ref="L161:Q161" si="23">AVERAGE(L132:L133)</f>
        <v>194253.5</v>
      </c>
      <c r="M161" s="3">
        <f t="shared" si="23"/>
        <v>2.5</v>
      </c>
      <c r="N161" s="3">
        <f t="shared" si="23"/>
        <v>0.52232155021653703</v>
      </c>
      <c r="O161" s="3">
        <f t="shared" si="23"/>
        <v>0.52232155021653703</v>
      </c>
      <c r="P161" s="3">
        <f t="shared" si="23"/>
        <v>0.79107137991338528</v>
      </c>
      <c r="Q161" s="4">
        <f t="shared" si="23"/>
        <v>1.5212235303417154</v>
      </c>
    </row>
    <row r="162" spans="10:17" x14ac:dyDescent="0.25">
      <c r="J162" s="18"/>
      <c r="K162" s="15" t="s">
        <v>285</v>
      </c>
      <c r="L162" s="7">
        <f t="shared" ref="L162:Q162" si="24">AVERAGE(L134:L135)</f>
        <v>235332</v>
      </c>
      <c r="M162" s="7">
        <f t="shared" si="24"/>
        <v>2.5</v>
      </c>
      <c r="N162" s="7">
        <f t="shared" si="24"/>
        <v>0.61562218234663191</v>
      </c>
      <c r="O162" s="7">
        <f t="shared" si="24"/>
        <v>0.61562218234663191</v>
      </c>
      <c r="P162" s="7">
        <f t="shared" si="24"/>
        <v>0.75375112706134728</v>
      </c>
      <c r="Q162" s="6">
        <f t="shared" si="24"/>
        <v>1.2612881130326397</v>
      </c>
    </row>
    <row r="163" spans="10:17" x14ac:dyDescent="0.25">
      <c r="J163" s="18"/>
      <c r="K163" s="16" t="s">
        <v>286</v>
      </c>
      <c r="L163" s="3">
        <f t="shared" ref="L163:Q163" si="25">AVERAGE(L136:L137)</f>
        <v>704537.5</v>
      </c>
      <c r="M163" s="3">
        <f t="shared" si="25"/>
        <v>7.5</v>
      </c>
      <c r="N163" s="3">
        <f t="shared" si="25"/>
        <v>1.6813176130200307</v>
      </c>
      <c r="O163" s="3">
        <f t="shared" si="25"/>
        <v>1.6813176130200307</v>
      </c>
      <c r="P163" s="3">
        <f t="shared" si="25"/>
        <v>2.3274729547919879</v>
      </c>
      <c r="Q163" s="4">
        <f t="shared" si="25"/>
        <v>1.3890802592042966</v>
      </c>
    </row>
    <row r="164" spans="10:17" x14ac:dyDescent="0.25">
      <c r="J164" s="18"/>
      <c r="K164" s="15" t="s">
        <v>287</v>
      </c>
      <c r="L164" s="7">
        <f t="shared" ref="L164:Q164" si="26">AVERAGE(L138:L139)</f>
        <v>592532</v>
      </c>
      <c r="M164" s="7">
        <f t="shared" si="26"/>
        <v>7.5</v>
      </c>
      <c r="N164" s="7">
        <f t="shared" si="26"/>
        <v>1.4269221518408899</v>
      </c>
      <c r="O164" s="7">
        <f t="shared" si="26"/>
        <v>1.4269221518408899</v>
      </c>
      <c r="P164" s="7">
        <f t="shared" si="26"/>
        <v>2.4292311392636439</v>
      </c>
      <c r="Q164" s="6">
        <f t="shared" si="26"/>
        <v>1.7054781600804725</v>
      </c>
    </row>
    <row r="165" spans="10:17" x14ac:dyDescent="0.25">
      <c r="J165" s="95">
        <v>44384</v>
      </c>
      <c r="K165" s="16" t="s">
        <v>291</v>
      </c>
      <c r="L165" s="3">
        <f t="shared" ref="L165:Q165" si="27">AVERAGE(L140:L141)</f>
        <v>1764618.5</v>
      </c>
      <c r="M165" s="3">
        <f t="shared" si="27"/>
        <v>12.5</v>
      </c>
      <c r="N165" s="3">
        <f t="shared" si="27"/>
        <v>2.058752495953359</v>
      </c>
      <c r="O165" s="3">
        <f t="shared" si="27"/>
        <v>2.058752495953359</v>
      </c>
      <c r="P165" s="3">
        <f t="shared" si="27"/>
        <v>4.1764990016186569</v>
      </c>
      <c r="Q165" s="4">
        <f t="shared" si="27"/>
        <v>2.0690929359383894</v>
      </c>
    </row>
    <row r="166" spans="10:17" x14ac:dyDescent="0.25">
      <c r="J166" s="18"/>
      <c r="K166" s="15" t="s">
        <v>292</v>
      </c>
      <c r="L166" s="7">
        <f t="shared" ref="L166:Q166" si="28">AVERAGE(L142:L143)</f>
        <v>1253381</v>
      </c>
      <c r="M166" s="7">
        <f t="shared" si="28"/>
        <v>12.5</v>
      </c>
      <c r="N166" s="7">
        <f t="shared" si="28"/>
        <v>1.4662738534763973</v>
      </c>
      <c r="O166" s="7">
        <f t="shared" si="28"/>
        <v>1.4662738534763973</v>
      </c>
      <c r="P166" s="7">
        <f t="shared" si="28"/>
        <v>4.4134904586094414</v>
      </c>
      <c r="Q166" s="6">
        <f t="shared" si="28"/>
        <v>3.0127196344572678</v>
      </c>
    </row>
    <row r="167" spans="10:17" x14ac:dyDescent="0.25">
      <c r="J167" s="18"/>
      <c r="K167" s="16" t="s">
        <v>293</v>
      </c>
      <c r="L167" s="3">
        <f t="shared" ref="L167:Q167" si="29">AVERAGE(L144:L145)</f>
        <v>3242907.5</v>
      </c>
      <c r="M167" s="3">
        <f t="shared" si="29"/>
        <v>25</v>
      </c>
      <c r="N167" s="3">
        <f t="shared" si="29"/>
        <v>3.7719575325725927</v>
      </c>
      <c r="O167" s="3">
        <f t="shared" si="29"/>
        <v>3.7719575325725927</v>
      </c>
      <c r="P167" s="3">
        <f t="shared" si="29"/>
        <v>8.4912169869709633</v>
      </c>
      <c r="Q167" s="4">
        <f t="shared" si="29"/>
        <v>2.2923237838771224</v>
      </c>
    </row>
    <row r="168" spans="10:17" x14ac:dyDescent="0.25">
      <c r="J168" s="18"/>
      <c r="K168" s="15" t="s">
        <v>294</v>
      </c>
      <c r="L168" s="7">
        <f t="shared" ref="L168:Q168" si="30">AVERAGE(L146:L147)</f>
        <v>3693493</v>
      </c>
      <c r="M168" s="7">
        <f t="shared" si="30"/>
        <v>25</v>
      </c>
      <c r="N168" s="7">
        <f t="shared" si="30"/>
        <v>4.2941459193004894</v>
      </c>
      <c r="O168" s="7">
        <f t="shared" si="30"/>
        <v>4.2941459193004894</v>
      </c>
      <c r="P168" s="7">
        <f t="shared" si="30"/>
        <v>8.2823416322798042</v>
      </c>
      <c r="Q168" s="6">
        <f t="shared" si="30"/>
        <v>1.9289105309739694</v>
      </c>
    </row>
    <row r="169" spans="10:17" x14ac:dyDescent="0.25">
      <c r="J169" s="18"/>
      <c r="K169" s="16" t="s">
        <v>295</v>
      </c>
      <c r="L169" s="3">
        <f t="shared" ref="L169:Q169" si="31">AVERAGE(L148:L149)</f>
        <v>8895447</v>
      </c>
      <c r="M169" s="3">
        <f t="shared" si="31"/>
        <v>50</v>
      </c>
      <c r="N169" s="3">
        <f t="shared" si="31"/>
        <v>10.322746411532771</v>
      </c>
      <c r="O169" s="3">
        <f t="shared" si="31"/>
        <v>10.322746411532771</v>
      </c>
      <c r="P169" s="3">
        <f t="shared" si="31"/>
        <v>15.870901435386893</v>
      </c>
      <c r="Q169" s="4">
        <f t="shared" si="31"/>
        <v>1.5504317248173693</v>
      </c>
    </row>
    <row r="170" spans="10:17" x14ac:dyDescent="0.25">
      <c r="J170" s="5"/>
      <c r="K170" s="15" t="s">
        <v>296</v>
      </c>
      <c r="L170" s="7">
        <f t="shared" ref="L170:Q170" si="32">AVERAGE(L150:L151)</f>
        <v>5133391</v>
      </c>
      <c r="M170" s="7">
        <f t="shared" si="32"/>
        <v>50</v>
      </c>
      <c r="N170" s="7">
        <f t="shared" si="32"/>
        <v>5.9628592127214386</v>
      </c>
      <c r="O170" s="7">
        <f t="shared" si="32"/>
        <v>5.9628592127214386</v>
      </c>
      <c r="P170" s="7">
        <f t="shared" si="32"/>
        <v>17.614856314911421</v>
      </c>
      <c r="Q170" s="6">
        <f t="shared" si="32"/>
        <v>2.9541915054260723</v>
      </c>
    </row>
    <row r="171" spans="10:17" x14ac:dyDescent="0.25">
      <c r="P171" t="s">
        <v>46</v>
      </c>
      <c r="Q171">
        <f>AVERAGE(Q161:Q170)</f>
        <v>1.9684740178149311</v>
      </c>
    </row>
    <row r="172" spans="10:17" x14ac:dyDescent="0.25">
      <c r="Q172">
        <f>STDEV(Q161:Q170)</f>
        <v>0.61989463175588999</v>
      </c>
    </row>
  </sheetData>
  <pageMargins left="0.7" right="0.7" top="0.78740157499999996" bottom="0.78740157499999996" header="0.3" footer="0.3"/>
  <pageSetup paperSize="9" orientation="portrait" r:id="rId1"/>
  <ignoredErrors>
    <ignoredError sqref="L43:L48 M43:T48 L90:T95 S13:V16 L161:Q170 L159:P160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8188-64BF-4493-854E-14C41FC0CFC1}">
  <dimension ref="A1:AF95"/>
  <sheetViews>
    <sheetView zoomScale="40" zoomScaleNormal="40" workbookViewId="0">
      <selection activeCell="T4" sqref="T4"/>
    </sheetView>
  </sheetViews>
  <sheetFormatPr baseColWidth="10" defaultRowHeight="15" x14ac:dyDescent="0.25"/>
  <cols>
    <col min="2" max="2" width="28.28515625" bestFit="1" customWidth="1"/>
    <col min="3" max="3" width="14.5703125" customWidth="1"/>
    <col min="4" max="4" width="13.7109375" bestFit="1" customWidth="1"/>
    <col min="6" max="6" width="13.7109375" bestFit="1" customWidth="1"/>
    <col min="11" max="11" width="31.5703125" bestFit="1" customWidth="1"/>
    <col min="13" max="13" width="13.85546875" bestFit="1" customWidth="1"/>
    <col min="16" max="16" width="13.85546875" bestFit="1" customWidth="1"/>
    <col min="21" max="21" width="12.85546875" bestFit="1" customWidth="1"/>
    <col min="22" max="22" width="11.42578125" customWidth="1"/>
    <col min="25" max="25" width="10.28515625" bestFit="1" customWidth="1"/>
    <col min="26" max="26" width="15.7109375" bestFit="1" customWidth="1"/>
  </cols>
  <sheetData>
    <row r="1" spans="1:25" x14ac:dyDescent="0.25">
      <c r="A1" t="s">
        <v>5</v>
      </c>
      <c r="G1" t="s">
        <v>300</v>
      </c>
      <c r="I1" t="s">
        <v>302</v>
      </c>
      <c r="J1" t="s">
        <v>303</v>
      </c>
      <c r="K1" t="s">
        <v>304</v>
      </c>
      <c r="L1" t="s">
        <v>305</v>
      </c>
      <c r="T1" t="s">
        <v>319</v>
      </c>
      <c r="V1" s="93">
        <v>44382</v>
      </c>
      <c r="X1" s="93">
        <v>44384</v>
      </c>
    </row>
    <row r="2" spans="1:25" x14ac:dyDescent="0.25">
      <c r="A2" t="s">
        <v>6</v>
      </c>
      <c r="G2" t="s">
        <v>301</v>
      </c>
      <c r="S2" s="93">
        <v>44382</v>
      </c>
      <c r="T2">
        <v>0.05</v>
      </c>
      <c r="V2" t="s">
        <v>316</v>
      </c>
      <c r="W2" t="s">
        <v>317</v>
      </c>
      <c r="X2" t="s">
        <v>316</v>
      </c>
      <c r="Y2" t="s">
        <v>317</v>
      </c>
    </row>
    <row r="3" spans="1:25" x14ac:dyDescent="0.25">
      <c r="A3" t="s">
        <v>7</v>
      </c>
      <c r="C3" t="s">
        <v>307</v>
      </c>
      <c r="G3" t="s">
        <v>306</v>
      </c>
      <c r="S3" s="93">
        <v>44384</v>
      </c>
      <c r="T3">
        <v>0.05</v>
      </c>
      <c r="U3" t="s">
        <v>314</v>
      </c>
      <c r="V3">
        <v>6.8400000000000002E-2</v>
      </c>
      <c r="W3">
        <v>7.0699999999999999E-2</v>
      </c>
      <c r="X3">
        <v>9.1399999999999995E-2</v>
      </c>
      <c r="Y3">
        <v>6.4199999999999993E-2</v>
      </c>
    </row>
    <row r="4" spans="1:25" x14ac:dyDescent="0.25">
      <c r="A4" t="s">
        <v>8</v>
      </c>
      <c r="C4" t="s">
        <v>308</v>
      </c>
      <c r="D4">
        <v>0.05</v>
      </c>
      <c r="U4" t="s">
        <v>315</v>
      </c>
      <c r="V4">
        <v>0</v>
      </c>
      <c r="W4">
        <v>-0.28120000000000001</v>
      </c>
      <c r="X4">
        <v>0</v>
      </c>
      <c r="Y4">
        <v>10.906000000000001</v>
      </c>
    </row>
    <row r="5" spans="1:25" x14ac:dyDescent="0.25">
      <c r="A5" s="1"/>
      <c r="B5" s="2"/>
      <c r="C5" s="3" t="s">
        <v>9</v>
      </c>
      <c r="D5" s="4" t="s">
        <v>10</v>
      </c>
      <c r="E5" s="3" t="s">
        <v>11</v>
      </c>
      <c r="F5" s="3"/>
      <c r="K5" s="35" t="s">
        <v>53</v>
      </c>
    </row>
    <row r="6" spans="1:25" x14ac:dyDescent="0.25">
      <c r="A6" s="5" t="s">
        <v>2</v>
      </c>
      <c r="B6" s="6" t="s">
        <v>3</v>
      </c>
      <c r="C6" s="7" t="s">
        <v>17</v>
      </c>
      <c r="D6" s="6" t="s">
        <v>18</v>
      </c>
      <c r="E6" s="7" t="s">
        <v>12</v>
      </c>
      <c r="F6" s="7" t="s">
        <v>13</v>
      </c>
      <c r="K6" s="17" t="s">
        <v>54</v>
      </c>
      <c r="L6" s="17" t="s">
        <v>56</v>
      </c>
      <c r="M6" s="3" t="s">
        <v>57</v>
      </c>
      <c r="N6" s="4" t="s">
        <v>62</v>
      </c>
      <c r="O6" s="17" t="s">
        <v>56</v>
      </c>
      <c r="P6" s="4" t="s">
        <v>310</v>
      </c>
      <c r="Q6" s="10" t="s">
        <v>311</v>
      </c>
      <c r="R6" s="10" t="s">
        <v>313</v>
      </c>
    </row>
    <row r="7" spans="1:25" x14ac:dyDescent="0.25">
      <c r="A7">
        <v>1</v>
      </c>
      <c r="B7" s="4" t="s">
        <v>19</v>
      </c>
      <c r="C7" s="8">
        <v>236336</v>
      </c>
      <c r="D7" s="9">
        <v>236336</v>
      </c>
      <c r="E7">
        <v>0</v>
      </c>
      <c r="F7" s="8">
        <v>6254</v>
      </c>
      <c r="J7" s="93">
        <v>44382</v>
      </c>
      <c r="K7" s="5"/>
      <c r="L7" s="5" t="s">
        <v>12</v>
      </c>
      <c r="M7" s="7" t="s">
        <v>59</v>
      </c>
      <c r="N7" s="6" t="s">
        <v>59</v>
      </c>
      <c r="O7" s="5" t="s">
        <v>17</v>
      </c>
      <c r="P7" s="6" t="s">
        <v>309</v>
      </c>
      <c r="Q7" s="10" t="s">
        <v>312</v>
      </c>
      <c r="R7" s="10" t="s">
        <v>312</v>
      </c>
    </row>
    <row r="8" spans="1:25" x14ac:dyDescent="0.25">
      <c r="A8">
        <v>2</v>
      </c>
      <c r="B8" s="9" t="s">
        <v>20</v>
      </c>
      <c r="C8" s="8">
        <v>361174</v>
      </c>
      <c r="D8" s="9">
        <v>371280</v>
      </c>
      <c r="E8">
        <v>0</v>
      </c>
      <c r="F8" s="8">
        <v>0</v>
      </c>
      <c r="K8" s="101" t="s">
        <v>19</v>
      </c>
      <c r="L8" s="18">
        <v>0</v>
      </c>
      <c r="M8" s="8">
        <v>0</v>
      </c>
      <c r="N8" s="9">
        <f t="shared" ref="N8:N15" si="0">M8*5</f>
        <v>0</v>
      </c>
      <c r="O8" s="8">
        <v>236336</v>
      </c>
      <c r="P8" s="102">
        <v>0.05</v>
      </c>
      <c r="Q8">
        <f>L8/O8</f>
        <v>0</v>
      </c>
      <c r="R8">
        <f>N8/P8</f>
        <v>0</v>
      </c>
    </row>
    <row r="9" spans="1:25" x14ac:dyDescent="0.25">
      <c r="A9">
        <v>3</v>
      </c>
      <c r="B9" s="16" t="s">
        <v>21</v>
      </c>
      <c r="C9" s="8">
        <v>433796</v>
      </c>
      <c r="D9" s="9">
        <v>430719</v>
      </c>
      <c r="E9">
        <v>0</v>
      </c>
      <c r="F9" s="8">
        <v>36781</v>
      </c>
      <c r="K9" s="101" t="s">
        <v>20</v>
      </c>
      <c r="L9" s="18">
        <v>0</v>
      </c>
      <c r="M9" s="8">
        <v>0</v>
      </c>
      <c r="N9" s="9">
        <f t="shared" si="0"/>
        <v>0</v>
      </c>
      <c r="O9" s="8">
        <v>361174</v>
      </c>
      <c r="P9" s="102">
        <v>0.05</v>
      </c>
      <c r="Q9">
        <f t="shared" ref="Q9:Q15" si="1">L9/O9</f>
        <v>0</v>
      </c>
      <c r="R9">
        <f t="shared" ref="R9:R14" si="2">N9/P9</f>
        <v>0</v>
      </c>
    </row>
    <row r="10" spans="1:25" x14ac:dyDescent="0.25">
      <c r="A10">
        <v>4</v>
      </c>
      <c r="B10" s="14" t="s">
        <v>22</v>
      </c>
      <c r="C10" s="8">
        <v>378102</v>
      </c>
      <c r="D10" s="9">
        <v>378002</v>
      </c>
      <c r="E10" s="10">
        <v>0</v>
      </c>
      <c r="F10" s="8">
        <v>25142</v>
      </c>
      <c r="K10" s="101" t="s">
        <v>25</v>
      </c>
      <c r="L10" s="18">
        <v>109206</v>
      </c>
      <c r="M10" s="8">
        <v>0.05</v>
      </c>
      <c r="N10" s="9">
        <f t="shared" si="0"/>
        <v>0.25</v>
      </c>
      <c r="O10" s="8">
        <v>351518</v>
      </c>
      <c r="P10" s="102">
        <v>0.05</v>
      </c>
      <c r="Q10">
        <f t="shared" si="1"/>
        <v>0.31066972388327196</v>
      </c>
      <c r="R10">
        <f t="shared" si="2"/>
        <v>5</v>
      </c>
    </row>
    <row r="11" spans="1:25" x14ac:dyDescent="0.25">
      <c r="A11">
        <v>5</v>
      </c>
      <c r="B11" s="9" t="s">
        <v>23</v>
      </c>
      <c r="C11" s="8">
        <v>512563</v>
      </c>
      <c r="D11" s="9">
        <v>509270</v>
      </c>
      <c r="E11">
        <v>853878</v>
      </c>
      <c r="F11" s="8">
        <v>853878</v>
      </c>
      <c r="K11" s="101" t="s">
        <v>26</v>
      </c>
      <c r="L11" s="18">
        <v>117140</v>
      </c>
      <c r="M11" s="8">
        <v>0.05</v>
      </c>
      <c r="N11" s="9">
        <f t="shared" si="0"/>
        <v>0.25</v>
      </c>
      <c r="O11" s="8">
        <v>414390</v>
      </c>
      <c r="P11" s="102">
        <v>0.05</v>
      </c>
      <c r="Q11">
        <f t="shared" si="1"/>
        <v>0.28268056661598978</v>
      </c>
      <c r="R11">
        <f t="shared" si="2"/>
        <v>5</v>
      </c>
    </row>
    <row r="12" spans="1:25" x14ac:dyDescent="0.25">
      <c r="A12">
        <v>6</v>
      </c>
      <c r="B12" s="9" t="s">
        <v>24</v>
      </c>
      <c r="C12" s="8">
        <v>299955</v>
      </c>
      <c r="D12" s="9">
        <v>299955</v>
      </c>
      <c r="E12">
        <v>985732</v>
      </c>
      <c r="F12" s="8">
        <v>984415</v>
      </c>
      <c r="K12" s="101" t="s">
        <v>23</v>
      </c>
      <c r="L12" s="18">
        <v>853878</v>
      </c>
      <c r="M12" s="8">
        <v>0.5</v>
      </c>
      <c r="N12" s="9">
        <f t="shared" si="0"/>
        <v>2.5</v>
      </c>
      <c r="O12" s="8">
        <v>512563</v>
      </c>
      <c r="P12" s="102">
        <v>0.05</v>
      </c>
      <c r="Q12">
        <f t="shared" si="1"/>
        <v>1.6658986309975554</v>
      </c>
      <c r="R12">
        <f t="shared" si="2"/>
        <v>50</v>
      </c>
    </row>
    <row r="13" spans="1:25" x14ac:dyDescent="0.25">
      <c r="A13">
        <v>7</v>
      </c>
      <c r="B13" s="9" t="s">
        <v>25</v>
      </c>
      <c r="C13" s="8">
        <v>351518</v>
      </c>
      <c r="D13" s="9">
        <v>350977</v>
      </c>
      <c r="E13">
        <v>109206</v>
      </c>
      <c r="F13" s="8">
        <v>110241</v>
      </c>
      <c r="K13" s="101" t="s">
        <v>24</v>
      </c>
      <c r="L13" s="18">
        <v>985732</v>
      </c>
      <c r="M13" s="8">
        <v>0.5</v>
      </c>
      <c r="N13" s="9">
        <f t="shared" si="0"/>
        <v>2.5</v>
      </c>
      <c r="O13" s="8">
        <v>299955</v>
      </c>
      <c r="P13" s="102">
        <v>0.05</v>
      </c>
      <c r="Q13">
        <f t="shared" si="1"/>
        <v>3.2862662732743244</v>
      </c>
      <c r="R13">
        <f t="shared" si="2"/>
        <v>50</v>
      </c>
    </row>
    <row r="14" spans="1:25" x14ac:dyDescent="0.25">
      <c r="A14">
        <v>8</v>
      </c>
      <c r="B14" s="9" t="s">
        <v>26</v>
      </c>
      <c r="C14" s="8">
        <v>414390</v>
      </c>
      <c r="D14" s="9">
        <v>412871</v>
      </c>
      <c r="E14">
        <v>117140</v>
      </c>
      <c r="F14" s="8">
        <v>117133</v>
      </c>
      <c r="K14" s="101" t="s">
        <v>27</v>
      </c>
      <c r="L14" s="18">
        <v>2317099</v>
      </c>
      <c r="M14" s="8">
        <v>1</v>
      </c>
      <c r="N14" s="9">
        <f t="shared" si="0"/>
        <v>5</v>
      </c>
      <c r="O14" s="8">
        <v>289350</v>
      </c>
      <c r="P14" s="102">
        <v>0.05</v>
      </c>
      <c r="Q14">
        <f t="shared" si="1"/>
        <v>8.0079453948505268</v>
      </c>
      <c r="R14">
        <f t="shared" si="2"/>
        <v>100</v>
      </c>
    </row>
    <row r="15" spans="1:25" ht="15.75" thickBot="1" x14ac:dyDescent="0.3">
      <c r="A15">
        <v>9</v>
      </c>
      <c r="B15" s="9" t="s">
        <v>27</v>
      </c>
      <c r="C15" s="8">
        <v>289350</v>
      </c>
      <c r="D15" s="9">
        <v>289350</v>
      </c>
      <c r="E15">
        <v>2317099</v>
      </c>
      <c r="F15" s="8">
        <v>2313151</v>
      </c>
      <c r="K15" s="54" t="s">
        <v>40</v>
      </c>
      <c r="L15" s="68">
        <v>2155583</v>
      </c>
      <c r="M15" s="55">
        <v>1</v>
      </c>
      <c r="N15" s="69">
        <f t="shared" si="0"/>
        <v>5</v>
      </c>
      <c r="O15" s="55">
        <v>326195</v>
      </c>
      <c r="P15" s="103">
        <v>0.05</v>
      </c>
      <c r="Q15">
        <f t="shared" si="1"/>
        <v>6.6082649948650349</v>
      </c>
      <c r="R15">
        <f>N15/P15</f>
        <v>100</v>
      </c>
    </row>
    <row r="16" spans="1:25" x14ac:dyDescent="0.25">
      <c r="A16">
        <v>10</v>
      </c>
      <c r="B16" s="9" t="s">
        <v>40</v>
      </c>
      <c r="C16" s="8">
        <v>326195</v>
      </c>
      <c r="D16" s="9">
        <v>321995</v>
      </c>
      <c r="E16">
        <v>2155583</v>
      </c>
      <c r="F16" s="8">
        <v>2145706</v>
      </c>
    </row>
    <row r="17" spans="1:32" x14ac:dyDescent="0.25">
      <c r="A17">
        <v>11</v>
      </c>
      <c r="B17" s="14" t="s">
        <v>29</v>
      </c>
      <c r="C17" s="8">
        <v>440913</v>
      </c>
      <c r="D17" s="9">
        <v>440913</v>
      </c>
      <c r="E17">
        <v>0</v>
      </c>
      <c r="F17" s="8">
        <v>33430</v>
      </c>
    </row>
    <row r="18" spans="1:32" x14ac:dyDescent="0.25">
      <c r="A18">
        <v>12</v>
      </c>
      <c r="B18" s="15" t="s">
        <v>30</v>
      </c>
      <c r="C18" s="8">
        <v>499398</v>
      </c>
      <c r="D18" s="9">
        <v>497774</v>
      </c>
      <c r="E18" s="10">
        <v>0</v>
      </c>
      <c r="F18" s="8">
        <v>0</v>
      </c>
      <c r="K18" s="101" t="s">
        <v>244</v>
      </c>
      <c r="L18">
        <f>AVERAGE(L8:L9)</f>
        <v>0</v>
      </c>
      <c r="M18">
        <f>AVERAGE(M8:M9)</f>
        <v>0</v>
      </c>
      <c r="N18">
        <f>AVERAGE(N8:N9)</f>
        <v>0</v>
      </c>
      <c r="O18">
        <f>AVERAGE(O8:O9)</f>
        <v>298755</v>
      </c>
      <c r="P18">
        <f>AVERAGE(P8:P9)</f>
        <v>0.05</v>
      </c>
      <c r="Q18">
        <f>L18/O18</f>
        <v>0</v>
      </c>
      <c r="R18">
        <f>N18/P18</f>
        <v>0</v>
      </c>
    </row>
    <row r="19" spans="1:32" x14ac:dyDescent="0.25">
      <c r="A19">
        <v>13</v>
      </c>
      <c r="B19" s="9" t="s">
        <v>28</v>
      </c>
      <c r="C19" s="8">
        <v>364185</v>
      </c>
      <c r="D19" s="9">
        <v>363610</v>
      </c>
      <c r="E19" s="10">
        <v>0</v>
      </c>
      <c r="F19" s="8">
        <v>0</v>
      </c>
      <c r="K19" s="101" t="s">
        <v>241</v>
      </c>
      <c r="L19">
        <f>AVERAGE(L10:L11)</f>
        <v>113173</v>
      </c>
      <c r="M19">
        <f>AVERAGE(M10:M11)</f>
        <v>0.05</v>
      </c>
      <c r="N19">
        <f>AVERAGE(N10:N11)</f>
        <v>0.25</v>
      </c>
      <c r="O19">
        <f>AVERAGE(O10:O11)</f>
        <v>382954</v>
      </c>
      <c r="P19">
        <f>AVERAGE(P10:P11)</f>
        <v>0.05</v>
      </c>
      <c r="Q19">
        <f>L19/O19</f>
        <v>0.29552635564584778</v>
      </c>
      <c r="R19">
        <f>N19/P19</f>
        <v>5</v>
      </c>
    </row>
    <row r="20" spans="1:32" x14ac:dyDescent="0.25">
      <c r="A20">
        <v>14</v>
      </c>
      <c r="B20" s="12" t="s">
        <v>31</v>
      </c>
      <c r="C20">
        <v>343231</v>
      </c>
      <c r="D20" s="9">
        <v>343231</v>
      </c>
      <c r="E20">
        <v>180679</v>
      </c>
      <c r="F20" s="8">
        <v>181013</v>
      </c>
      <c r="K20" s="101" t="s">
        <v>242</v>
      </c>
      <c r="L20">
        <f>AVERAGE(L12:L13)</f>
        <v>919805</v>
      </c>
      <c r="M20">
        <f>AVERAGE(M12:M13)</f>
        <v>0.5</v>
      </c>
      <c r="N20">
        <f>AVERAGE(N12:N13)</f>
        <v>2.5</v>
      </c>
      <c r="O20">
        <f>AVERAGE(O12:O13)</f>
        <v>406259</v>
      </c>
      <c r="P20">
        <f>AVERAGE(P12:P13)</f>
        <v>0.05</v>
      </c>
      <c r="Q20">
        <f>L20/O20</f>
        <v>2.2640852264195992</v>
      </c>
      <c r="R20">
        <f>N20/P20</f>
        <v>50</v>
      </c>
    </row>
    <row r="21" spans="1:32" x14ac:dyDescent="0.25">
      <c r="A21">
        <v>15</v>
      </c>
      <c r="B21" s="13" t="s">
        <v>32</v>
      </c>
      <c r="C21" s="8">
        <v>343533</v>
      </c>
      <c r="D21" s="9">
        <v>342090</v>
      </c>
      <c r="E21">
        <v>207828</v>
      </c>
      <c r="F21" s="8">
        <v>208827</v>
      </c>
      <c r="K21" s="101" t="s">
        <v>243</v>
      </c>
      <c r="L21">
        <f>AVERAGE(L14:L15)</f>
        <v>2236341</v>
      </c>
      <c r="M21">
        <f>AVERAGE(M14:M15)</f>
        <v>1</v>
      </c>
      <c r="N21">
        <f>AVERAGE(N14:N15)</f>
        <v>5</v>
      </c>
      <c r="O21">
        <f>AVERAGE(O14:O15)</f>
        <v>307772.5</v>
      </c>
      <c r="P21">
        <f>AVERAGE(P14:P15)</f>
        <v>0.05</v>
      </c>
      <c r="Q21">
        <f>L21/O21</f>
        <v>7.2662144928478014</v>
      </c>
      <c r="R21">
        <f>N21/P21</f>
        <v>100</v>
      </c>
    </row>
    <row r="22" spans="1:32" x14ac:dyDescent="0.25">
      <c r="A22">
        <v>16</v>
      </c>
      <c r="B22" s="14" t="s">
        <v>34</v>
      </c>
      <c r="C22" s="8">
        <v>387266</v>
      </c>
      <c r="D22" s="9">
        <v>384859</v>
      </c>
      <c r="E22">
        <v>194928</v>
      </c>
      <c r="F22" s="8">
        <v>196476</v>
      </c>
    </row>
    <row r="23" spans="1:32" x14ac:dyDescent="0.25">
      <c r="A23">
        <v>17</v>
      </c>
      <c r="B23" s="15" t="s">
        <v>35</v>
      </c>
      <c r="C23" s="8">
        <v>346011</v>
      </c>
      <c r="D23" s="9">
        <v>346011</v>
      </c>
      <c r="E23">
        <v>275736</v>
      </c>
      <c r="F23" s="8">
        <v>275814</v>
      </c>
    </row>
    <row r="24" spans="1:32" x14ac:dyDescent="0.25">
      <c r="A24">
        <v>18</v>
      </c>
      <c r="B24" s="16" t="s">
        <v>36</v>
      </c>
      <c r="C24" s="8">
        <v>449807</v>
      </c>
      <c r="D24" s="9">
        <v>448666</v>
      </c>
      <c r="E24">
        <v>742742</v>
      </c>
      <c r="F24" s="8">
        <v>742742</v>
      </c>
    </row>
    <row r="25" spans="1:32" x14ac:dyDescent="0.25">
      <c r="A25">
        <v>19</v>
      </c>
      <c r="B25" s="14" t="s">
        <v>37</v>
      </c>
      <c r="C25" s="8">
        <v>352642</v>
      </c>
      <c r="D25" s="9">
        <v>352091</v>
      </c>
      <c r="E25">
        <v>666333</v>
      </c>
      <c r="F25" s="8">
        <v>664531</v>
      </c>
    </row>
    <row r="26" spans="1:32" x14ac:dyDescent="0.25">
      <c r="A26">
        <v>20</v>
      </c>
      <c r="B26" s="14" t="s">
        <v>38</v>
      </c>
      <c r="C26" s="8">
        <v>433420</v>
      </c>
      <c r="D26" s="9">
        <v>430546</v>
      </c>
      <c r="E26">
        <v>568617</v>
      </c>
      <c r="F26" s="8">
        <v>568617</v>
      </c>
      <c r="Q26" s="48" t="s">
        <v>322</v>
      </c>
      <c r="Z26" s="104" t="s">
        <v>336</v>
      </c>
    </row>
    <row r="27" spans="1:32" x14ac:dyDescent="0.25">
      <c r="A27">
        <v>21</v>
      </c>
      <c r="B27" s="15" t="s">
        <v>39</v>
      </c>
      <c r="C27" s="8">
        <v>383199</v>
      </c>
      <c r="D27" s="9">
        <v>381088</v>
      </c>
      <c r="E27">
        <v>616447</v>
      </c>
      <c r="F27" s="8">
        <v>616356</v>
      </c>
      <c r="Q27" s="48" t="s">
        <v>323</v>
      </c>
      <c r="Z27" s="104" t="s">
        <v>323</v>
      </c>
    </row>
    <row r="28" spans="1:32" x14ac:dyDescent="0.25">
      <c r="A28">
        <v>22</v>
      </c>
      <c r="B28" s="9" t="s">
        <v>33</v>
      </c>
      <c r="C28" s="8">
        <v>354679</v>
      </c>
      <c r="D28" s="9">
        <v>354679</v>
      </c>
      <c r="E28">
        <v>0</v>
      </c>
      <c r="F28" s="8">
        <v>42100</v>
      </c>
      <c r="Q28" t="s">
        <v>338</v>
      </c>
      <c r="T28" t="s">
        <v>333</v>
      </c>
      <c r="W28" t="s">
        <v>275</v>
      </c>
      <c r="Z28" t="s">
        <v>337</v>
      </c>
    </row>
    <row r="29" spans="1:32" x14ac:dyDescent="0.25">
      <c r="K29" s="35" t="s">
        <v>55</v>
      </c>
      <c r="L29" t="s">
        <v>56</v>
      </c>
      <c r="M29" t="s">
        <v>56</v>
      </c>
      <c r="N29" t="s">
        <v>311</v>
      </c>
      <c r="P29" s="17" t="s">
        <v>320</v>
      </c>
      <c r="Q29" s="3" t="s">
        <v>325</v>
      </c>
      <c r="R29" s="17" t="s">
        <v>326</v>
      </c>
      <c r="S29" s="4" t="s">
        <v>328</v>
      </c>
      <c r="T29" s="94" t="s">
        <v>329</v>
      </c>
      <c r="U29" s="77" t="s">
        <v>87</v>
      </c>
      <c r="V29" s="36" t="s">
        <v>332</v>
      </c>
      <c r="W29" s="36" t="s">
        <v>334</v>
      </c>
      <c r="Y29" s="17" t="s">
        <v>320</v>
      </c>
      <c r="Z29" s="3" t="s">
        <v>325</v>
      </c>
      <c r="AA29" s="17" t="s">
        <v>326</v>
      </c>
      <c r="AB29" s="4" t="s">
        <v>328</v>
      </c>
      <c r="AC29" s="94" t="s">
        <v>329</v>
      </c>
      <c r="AD29" s="77" t="s">
        <v>87</v>
      </c>
      <c r="AE29" s="36" t="s">
        <v>332</v>
      </c>
      <c r="AF29" s="36" t="s">
        <v>334</v>
      </c>
    </row>
    <row r="30" spans="1:32" x14ac:dyDescent="0.25">
      <c r="K30" t="s">
        <v>54</v>
      </c>
      <c r="L30" t="s">
        <v>12</v>
      </c>
      <c r="M30" t="s">
        <v>17</v>
      </c>
      <c r="N30" t="s">
        <v>318</v>
      </c>
      <c r="P30" s="18" t="s">
        <v>321</v>
      </c>
      <c r="Q30" s="8" t="s">
        <v>324</v>
      </c>
      <c r="R30" s="18" t="s">
        <v>327</v>
      </c>
      <c r="S30" s="9" t="s">
        <v>60</v>
      </c>
      <c r="T30" s="42" t="s">
        <v>330</v>
      </c>
      <c r="U30" s="60" t="s">
        <v>331</v>
      </c>
      <c r="V30" s="37" t="s">
        <v>324</v>
      </c>
      <c r="W30" s="37" t="s">
        <v>335</v>
      </c>
      <c r="Y30" s="18" t="s">
        <v>321</v>
      </c>
      <c r="Z30" s="8" t="s">
        <v>324</v>
      </c>
      <c r="AA30" s="18" t="s">
        <v>327</v>
      </c>
      <c r="AB30" s="9" t="s">
        <v>60</v>
      </c>
      <c r="AC30" s="42" t="s">
        <v>330</v>
      </c>
      <c r="AD30" s="60" t="s">
        <v>331</v>
      </c>
      <c r="AE30" s="37" t="s">
        <v>324</v>
      </c>
      <c r="AF30" s="37" t="s">
        <v>335</v>
      </c>
    </row>
    <row r="31" spans="1:32" x14ac:dyDescent="0.25">
      <c r="A31" t="s">
        <v>342</v>
      </c>
      <c r="J31" s="93">
        <v>44382</v>
      </c>
      <c r="K31" s="16" t="s">
        <v>21</v>
      </c>
      <c r="L31" s="17">
        <v>0</v>
      </c>
      <c r="M31" s="8">
        <v>433796</v>
      </c>
      <c r="N31">
        <f>L31/M31</f>
        <v>0</v>
      </c>
      <c r="P31" s="18">
        <f t="shared" ref="P31:P42" si="3">(((N31)-$V$4)/$V$3)*$T$2</f>
        <v>0</v>
      </c>
      <c r="Q31" s="8">
        <f>P31*2-$P$31*2</f>
        <v>0</v>
      </c>
      <c r="R31" s="18">
        <f>0</f>
        <v>0</v>
      </c>
      <c r="S31" s="9">
        <f>R31*8</f>
        <v>0</v>
      </c>
      <c r="T31" s="18">
        <f>Q31*8</f>
        <v>0</v>
      </c>
      <c r="U31" s="9">
        <f>S31-T31</f>
        <v>0</v>
      </c>
      <c r="V31" s="14">
        <f>U31/20</f>
        <v>0</v>
      </c>
      <c r="W31" s="14"/>
      <c r="Y31">
        <f t="shared" ref="Y31:Y42" si="4">(((N31)-$V$4)/$V$3)*$T$2</f>
        <v>0</v>
      </c>
      <c r="Z31">
        <f>Y31</f>
        <v>0</v>
      </c>
      <c r="AA31" s="18">
        <f>0</f>
        <v>0</v>
      </c>
      <c r="AB31" s="9">
        <f>AA31*8</f>
        <v>0</v>
      </c>
      <c r="AC31" s="18">
        <f>Z31*8</f>
        <v>0</v>
      </c>
      <c r="AD31" s="9">
        <f>AB31-AC31</f>
        <v>0</v>
      </c>
      <c r="AE31" s="14">
        <f>AD31/20</f>
        <v>0</v>
      </c>
      <c r="AF31" s="14"/>
    </row>
    <row r="32" spans="1:32" x14ac:dyDescent="0.25">
      <c r="A32" s="108" t="s">
        <v>90</v>
      </c>
      <c r="B32" s="108"/>
      <c r="C32" s="108"/>
      <c r="D32" s="108"/>
      <c r="E32" s="108"/>
      <c r="F32" s="108"/>
      <c r="K32" s="14" t="s">
        <v>22</v>
      </c>
      <c r="L32" s="42">
        <v>0</v>
      </c>
      <c r="M32" s="8">
        <v>378102</v>
      </c>
      <c r="N32">
        <f t="shared" ref="N32:N42" si="5">L32/M32</f>
        <v>0</v>
      </c>
      <c r="P32" s="18">
        <f t="shared" si="3"/>
        <v>0</v>
      </c>
      <c r="Q32" s="8">
        <f>P32*2-$P$31*2</f>
        <v>0</v>
      </c>
      <c r="R32" s="18">
        <f>0</f>
        <v>0</v>
      </c>
      <c r="S32" s="9">
        <f t="shared" ref="S32:S42" si="6">R32*8</f>
        <v>0</v>
      </c>
      <c r="T32" s="18">
        <f t="shared" ref="T32:T42" si="7">Q32*8</f>
        <v>0</v>
      </c>
      <c r="U32" s="9">
        <f t="shared" ref="U32:U42" si="8">S32-T32</f>
        <v>0</v>
      </c>
      <c r="V32" s="14">
        <f t="shared" ref="V32:V42" si="9">U32/20</f>
        <v>0</v>
      </c>
      <c r="W32" s="14"/>
      <c r="Y32">
        <f t="shared" si="4"/>
        <v>0</v>
      </c>
      <c r="Z32">
        <f>Y32</f>
        <v>0</v>
      </c>
      <c r="AA32" s="18">
        <f>0</f>
        <v>0</v>
      </c>
      <c r="AB32" s="9">
        <f t="shared" ref="AB32:AB42" si="10">AA32*8</f>
        <v>0</v>
      </c>
      <c r="AC32" s="18">
        <f>Z32*8</f>
        <v>0</v>
      </c>
      <c r="AD32" s="9">
        <f t="shared" ref="AD32:AD42" si="11">AB32-AC32</f>
        <v>0</v>
      </c>
      <c r="AE32" s="14">
        <f t="shared" ref="AE32:AE42" si="12">AD32/20</f>
        <v>0</v>
      </c>
      <c r="AF32" s="14"/>
    </row>
    <row r="33" spans="1:32" x14ac:dyDescent="0.25">
      <c r="A33" s="108" t="s">
        <v>91</v>
      </c>
      <c r="B33" s="108"/>
      <c r="C33" s="108"/>
      <c r="D33" s="108"/>
      <c r="E33" s="108"/>
      <c r="F33" s="108"/>
      <c r="K33" s="14" t="s">
        <v>29</v>
      </c>
      <c r="L33" s="18">
        <v>0</v>
      </c>
      <c r="M33" s="8">
        <v>440913</v>
      </c>
      <c r="N33">
        <f t="shared" si="5"/>
        <v>0</v>
      </c>
      <c r="P33" s="18">
        <f t="shared" si="3"/>
        <v>0</v>
      </c>
      <c r="Q33" s="8">
        <f>P33*2-$P$31*2</f>
        <v>0</v>
      </c>
      <c r="R33" s="18">
        <f>0</f>
        <v>0</v>
      </c>
      <c r="S33" s="9">
        <f t="shared" si="6"/>
        <v>0</v>
      </c>
      <c r="T33" s="18">
        <f t="shared" si="7"/>
        <v>0</v>
      </c>
      <c r="U33" s="9">
        <f t="shared" si="8"/>
        <v>0</v>
      </c>
      <c r="V33" s="14">
        <f t="shared" si="9"/>
        <v>0</v>
      </c>
      <c r="W33" s="14"/>
      <c r="Y33">
        <f t="shared" si="4"/>
        <v>0</v>
      </c>
      <c r="Z33">
        <f>Y33</f>
        <v>0</v>
      </c>
      <c r="AA33" s="18">
        <f>0</f>
        <v>0</v>
      </c>
      <c r="AB33" s="9">
        <f t="shared" si="10"/>
        <v>0</v>
      </c>
      <c r="AC33" s="18">
        <f t="shared" ref="AC33:AC42" si="13">Z33*8</f>
        <v>0</v>
      </c>
      <c r="AD33" s="9">
        <f t="shared" si="11"/>
        <v>0</v>
      </c>
      <c r="AE33" s="14">
        <f t="shared" si="12"/>
        <v>0</v>
      </c>
      <c r="AF33" s="14"/>
    </row>
    <row r="34" spans="1:32" x14ac:dyDescent="0.25">
      <c r="A34" s="108" t="s">
        <v>7</v>
      </c>
      <c r="B34" s="108"/>
      <c r="C34" s="108"/>
      <c r="D34" s="108"/>
      <c r="E34" s="108"/>
      <c r="F34" s="108"/>
      <c r="K34" s="15" t="s">
        <v>30</v>
      </c>
      <c r="L34" s="43">
        <v>0</v>
      </c>
      <c r="M34" s="8">
        <v>499398</v>
      </c>
      <c r="N34">
        <f t="shared" si="5"/>
        <v>0</v>
      </c>
      <c r="P34" s="18">
        <f t="shared" si="3"/>
        <v>0</v>
      </c>
      <c r="Q34" s="8">
        <f>P34*2-$P$31*2</f>
        <v>0</v>
      </c>
      <c r="R34" s="18">
        <f>0</f>
        <v>0</v>
      </c>
      <c r="S34" s="9">
        <f t="shared" si="6"/>
        <v>0</v>
      </c>
      <c r="T34" s="18">
        <f t="shared" si="7"/>
        <v>0</v>
      </c>
      <c r="U34" s="9">
        <f t="shared" si="8"/>
        <v>0</v>
      </c>
      <c r="V34" s="14">
        <f t="shared" si="9"/>
        <v>0</v>
      </c>
      <c r="W34" s="14"/>
      <c r="Y34">
        <f t="shared" si="4"/>
        <v>0</v>
      </c>
      <c r="Z34">
        <f>Y34</f>
        <v>0</v>
      </c>
      <c r="AA34" s="18">
        <f>0</f>
        <v>0</v>
      </c>
      <c r="AB34" s="9">
        <f t="shared" si="10"/>
        <v>0</v>
      </c>
      <c r="AC34" s="18">
        <f t="shared" si="13"/>
        <v>0</v>
      </c>
      <c r="AD34" s="9">
        <f t="shared" si="11"/>
        <v>0</v>
      </c>
      <c r="AE34" s="14">
        <f t="shared" si="12"/>
        <v>0</v>
      </c>
      <c r="AF34" s="14"/>
    </row>
    <row r="35" spans="1:32" x14ac:dyDescent="0.25">
      <c r="A35" s="108" t="s">
        <v>8</v>
      </c>
      <c r="B35" s="108"/>
      <c r="C35" s="108"/>
      <c r="D35" s="108"/>
      <c r="E35" s="108"/>
      <c r="F35" s="108"/>
      <c r="K35" s="36" t="s">
        <v>31</v>
      </c>
      <c r="L35" s="17">
        <v>180679</v>
      </c>
      <c r="M35">
        <v>343231</v>
      </c>
      <c r="N35">
        <f t="shared" si="5"/>
        <v>0.52640641433903113</v>
      </c>
      <c r="P35" s="18">
        <f t="shared" si="3"/>
        <v>0.38480001048174794</v>
      </c>
      <c r="Q35" s="8">
        <f>P35*2</f>
        <v>0.76960002096349589</v>
      </c>
      <c r="R35" s="18">
        <v>2.5</v>
      </c>
      <c r="S35" s="9">
        <f t="shared" si="6"/>
        <v>20</v>
      </c>
      <c r="T35" s="18">
        <f t="shared" si="7"/>
        <v>6.1568001677079671</v>
      </c>
      <c r="U35" s="9">
        <f t="shared" si="8"/>
        <v>13.843199832292033</v>
      </c>
      <c r="V35" s="14">
        <f t="shared" si="9"/>
        <v>0.69215999161460162</v>
      </c>
      <c r="W35" s="14">
        <f t="shared" ref="W35:W42" si="14">V35/Q35</f>
        <v>0.89937626398197901</v>
      </c>
      <c r="Y35">
        <f t="shared" si="4"/>
        <v>0.38480001048174794</v>
      </c>
      <c r="Z35">
        <f>Y35</f>
        <v>0.38480001048174794</v>
      </c>
      <c r="AA35" s="18">
        <v>2.5</v>
      </c>
      <c r="AB35" s="9">
        <f t="shared" si="10"/>
        <v>20</v>
      </c>
      <c r="AC35" s="18">
        <f t="shared" si="13"/>
        <v>3.0784000838539836</v>
      </c>
      <c r="AD35" s="9">
        <f>AB35-AC35</f>
        <v>16.921599916146015</v>
      </c>
      <c r="AE35" s="14">
        <f>AD35/20</f>
        <v>0.84607999580730076</v>
      </c>
      <c r="AF35" s="14">
        <f t="shared" ref="AF35:AF42" si="15">AE35/Z35</f>
        <v>2.1987525279639577</v>
      </c>
    </row>
    <row r="36" spans="1:32" x14ac:dyDescent="0.25">
      <c r="A36" s="109"/>
      <c r="B36" s="110"/>
      <c r="C36" s="111" t="s">
        <v>9</v>
      </c>
      <c r="D36" s="112" t="s">
        <v>10</v>
      </c>
      <c r="E36" s="111" t="s">
        <v>11</v>
      </c>
      <c r="F36" s="111"/>
      <c r="K36" s="37" t="s">
        <v>32</v>
      </c>
      <c r="L36" s="18">
        <v>207828</v>
      </c>
      <c r="M36" s="8">
        <v>343533</v>
      </c>
      <c r="N36">
        <f t="shared" si="5"/>
        <v>0.60497244806175821</v>
      </c>
      <c r="P36" s="18">
        <f t="shared" si="3"/>
        <v>0.44223132168257173</v>
      </c>
      <c r="Q36" s="8">
        <f t="shared" ref="Q36:Q42" si="16">P36*2</f>
        <v>0.88446264336514346</v>
      </c>
      <c r="R36" s="18">
        <v>2.5</v>
      </c>
      <c r="S36" s="9">
        <f t="shared" si="6"/>
        <v>20</v>
      </c>
      <c r="T36" s="18">
        <f t="shared" si="7"/>
        <v>7.0757011469211477</v>
      </c>
      <c r="U36" s="9">
        <f t="shared" si="8"/>
        <v>12.924298853078852</v>
      </c>
      <c r="V36" s="14">
        <f t="shared" si="9"/>
        <v>0.64621494265394264</v>
      </c>
      <c r="W36" s="14">
        <f t="shared" si="14"/>
        <v>0.73063000173220194</v>
      </c>
      <c r="Y36">
        <f t="shared" si="4"/>
        <v>0.44223132168257173</v>
      </c>
      <c r="Z36">
        <f t="shared" ref="Z36:Z42" si="17">Y36</f>
        <v>0.44223132168257173</v>
      </c>
      <c r="AA36" s="18">
        <v>2.5</v>
      </c>
      <c r="AB36" s="9">
        <f t="shared" si="10"/>
        <v>20</v>
      </c>
      <c r="AC36" s="18">
        <f>Z36*8</f>
        <v>3.5378505734605739</v>
      </c>
      <c r="AD36" s="9">
        <f>AB36-AC36</f>
        <v>16.462149426539426</v>
      </c>
      <c r="AE36" s="14">
        <f t="shared" si="12"/>
        <v>0.82310747132697126</v>
      </c>
      <c r="AF36" s="14">
        <f>AE36/Z36</f>
        <v>1.8612600034644036</v>
      </c>
    </row>
    <row r="37" spans="1:32" x14ac:dyDescent="0.25">
      <c r="A37" s="113" t="s">
        <v>2</v>
      </c>
      <c r="B37" s="114" t="s">
        <v>3</v>
      </c>
      <c r="C37" s="115" t="s">
        <v>17</v>
      </c>
      <c r="D37" s="114" t="s">
        <v>18</v>
      </c>
      <c r="E37" s="115" t="s">
        <v>12</v>
      </c>
      <c r="F37" s="115" t="s">
        <v>13</v>
      </c>
      <c r="K37" s="37" t="s">
        <v>34</v>
      </c>
      <c r="L37" s="18">
        <v>194928</v>
      </c>
      <c r="M37" s="8">
        <v>387266</v>
      </c>
      <c r="N37">
        <f t="shared" si="5"/>
        <v>0.50334395480109284</v>
      </c>
      <c r="P37" s="18">
        <f t="shared" si="3"/>
        <v>0.36794148742769944</v>
      </c>
      <c r="Q37" s="8">
        <f t="shared" si="16"/>
        <v>0.73588297485539889</v>
      </c>
      <c r="R37" s="18">
        <v>2.5</v>
      </c>
      <c r="S37" s="9">
        <f t="shared" si="6"/>
        <v>20</v>
      </c>
      <c r="T37" s="18">
        <f t="shared" si="7"/>
        <v>5.8870637988431911</v>
      </c>
      <c r="U37" s="9">
        <f t="shared" si="8"/>
        <v>14.11293620115681</v>
      </c>
      <c r="V37" s="14">
        <f t="shared" si="9"/>
        <v>0.70564681005784047</v>
      </c>
      <c r="W37" s="14">
        <f t="shared" si="14"/>
        <v>0.95891172125092328</v>
      </c>
      <c r="Y37">
        <f t="shared" si="4"/>
        <v>0.36794148742769944</v>
      </c>
      <c r="Z37">
        <f t="shared" si="17"/>
        <v>0.36794148742769944</v>
      </c>
      <c r="AA37" s="18">
        <v>2.5</v>
      </c>
      <c r="AB37" s="9">
        <f t="shared" si="10"/>
        <v>20</v>
      </c>
      <c r="AC37" s="18">
        <f t="shared" si="13"/>
        <v>2.9435318994215955</v>
      </c>
      <c r="AD37" s="9">
        <f t="shared" si="11"/>
        <v>17.056468100578403</v>
      </c>
      <c r="AE37" s="14">
        <f t="shared" si="12"/>
        <v>0.85282340502892018</v>
      </c>
      <c r="AF37" s="14">
        <f t="shared" si="15"/>
        <v>2.3178234425018465</v>
      </c>
    </row>
    <row r="38" spans="1:32" x14ac:dyDescent="0.25">
      <c r="A38" s="108">
        <v>1</v>
      </c>
      <c r="B38" s="112" t="s">
        <v>92</v>
      </c>
      <c r="C38" s="108"/>
      <c r="D38" s="112"/>
      <c r="E38" s="108"/>
      <c r="F38" s="112"/>
      <c r="K38" s="15" t="s">
        <v>35</v>
      </c>
      <c r="L38" s="5">
        <v>275736</v>
      </c>
      <c r="M38" s="8">
        <v>346011</v>
      </c>
      <c r="N38">
        <f t="shared" si="5"/>
        <v>0.7968995205354743</v>
      </c>
      <c r="P38" s="18">
        <f t="shared" si="3"/>
        <v>0.58252888928031754</v>
      </c>
      <c r="Q38" s="8">
        <f t="shared" si="16"/>
        <v>1.1650577785606351</v>
      </c>
      <c r="R38" s="18">
        <v>2.5</v>
      </c>
      <c r="S38" s="9">
        <f t="shared" si="6"/>
        <v>20</v>
      </c>
      <c r="T38" s="18">
        <f t="shared" si="7"/>
        <v>9.3204622284850807</v>
      </c>
      <c r="U38" s="9">
        <f>S38-T38</f>
        <v>10.679537771514919</v>
      </c>
      <c r="V38" s="14">
        <f t="shared" si="9"/>
        <v>0.53397688857574599</v>
      </c>
      <c r="W38" s="14">
        <f t="shared" si="14"/>
        <v>0.45832652972408383</v>
      </c>
      <c r="Y38">
        <f t="shared" si="4"/>
        <v>0.58252888928031754</v>
      </c>
      <c r="Z38">
        <f t="shared" si="17"/>
        <v>0.58252888928031754</v>
      </c>
      <c r="AA38" s="18">
        <v>2.5</v>
      </c>
      <c r="AB38" s="9">
        <f t="shared" si="10"/>
        <v>20</v>
      </c>
      <c r="AC38" s="18">
        <f>Z38*8</f>
        <v>4.6602311142425403</v>
      </c>
      <c r="AD38" s="9">
        <f t="shared" si="11"/>
        <v>15.33976888575746</v>
      </c>
      <c r="AE38" s="14">
        <f t="shared" si="12"/>
        <v>0.76698844428787294</v>
      </c>
      <c r="AF38" s="14">
        <f t="shared" si="15"/>
        <v>1.3166530594481676</v>
      </c>
    </row>
    <row r="39" spans="1:32" x14ac:dyDescent="0.25">
      <c r="A39" s="108">
        <v>2</v>
      </c>
      <c r="B39" s="116" t="s">
        <v>94</v>
      </c>
      <c r="C39" s="108">
        <v>341416</v>
      </c>
      <c r="D39" s="116">
        <v>341416</v>
      </c>
      <c r="E39" s="108">
        <v>0</v>
      </c>
      <c r="F39" s="116">
        <v>45132</v>
      </c>
      <c r="K39" s="16" t="s">
        <v>36</v>
      </c>
      <c r="L39" s="17">
        <v>742742</v>
      </c>
      <c r="M39" s="8">
        <v>449807</v>
      </c>
      <c r="N39">
        <f t="shared" si="5"/>
        <v>1.6512459788309208</v>
      </c>
      <c r="P39" s="18">
        <f t="shared" si="3"/>
        <v>1.2070511541161704</v>
      </c>
      <c r="Q39" s="8">
        <f t="shared" si="16"/>
        <v>2.4141023082323407</v>
      </c>
      <c r="R39" s="18">
        <v>7.5</v>
      </c>
      <c r="S39" s="9">
        <f t="shared" si="6"/>
        <v>60</v>
      </c>
      <c r="T39" s="18">
        <f t="shared" si="7"/>
        <v>19.312818465858726</v>
      </c>
      <c r="U39" s="9">
        <f t="shared" si="8"/>
        <v>40.687181534141274</v>
      </c>
      <c r="V39" s="14">
        <f t="shared" si="9"/>
        <v>2.0343590767070636</v>
      </c>
      <c r="W39" s="14">
        <f t="shared" si="14"/>
        <v>0.84269795433676808</v>
      </c>
      <c r="Y39">
        <f t="shared" si="4"/>
        <v>1.2070511541161704</v>
      </c>
      <c r="Z39">
        <f t="shared" si="17"/>
        <v>1.2070511541161704</v>
      </c>
      <c r="AA39" s="18">
        <v>7.5</v>
      </c>
      <c r="AB39" s="9">
        <f t="shared" si="10"/>
        <v>60</v>
      </c>
      <c r="AC39" s="18">
        <f t="shared" si="13"/>
        <v>9.6564092329293629</v>
      </c>
      <c r="AD39" s="9">
        <f t="shared" si="11"/>
        <v>50.343590767070637</v>
      </c>
      <c r="AE39" s="14">
        <f>AD39/20</f>
        <v>2.517179538353532</v>
      </c>
      <c r="AF39" s="14">
        <f t="shared" si="15"/>
        <v>2.0853959086735365</v>
      </c>
    </row>
    <row r="40" spans="1:32" x14ac:dyDescent="0.25">
      <c r="A40" s="108">
        <v>3</v>
      </c>
      <c r="B40" s="116" t="s">
        <v>95</v>
      </c>
      <c r="C40" s="108">
        <v>607250</v>
      </c>
      <c r="D40" s="116">
        <v>607250</v>
      </c>
      <c r="E40" s="108">
        <v>0</v>
      </c>
      <c r="F40" s="116">
        <v>50110</v>
      </c>
      <c r="K40" s="14" t="s">
        <v>37</v>
      </c>
      <c r="L40" s="18">
        <v>666333</v>
      </c>
      <c r="M40" s="8">
        <v>352642</v>
      </c>
      <c r="N40">
        <f t="shared" si="5"/>
        <v>1.8895452044850019</v>
      </c>
      <c r="P40" s="18">
        <f t="shared" si="3"/>
        <v>1.3812464945065803</v>
      </c>
      <c r="Q40" s="8">
        <f t="shared" si="16"/>
        <v>2.7624929890131606</v>
      </c>
      <c r="R40" s="18">
        <v>7.5</v>
      </c>
      <c r="S40" s="9">
        <f t="shared" si="6"/>
        <v>60</v>
      </c>
      <c r="T40" s="18">
        <f t="shared" si="7"/>
        <v>22.099943912105285</v>
      </c>
      <c r="U40" s="9">
        <f t="shared" si="8"/>
        <v>37.900056087894711</v>
      </c>
      <c r="V40" s="14">
        <f t="shared" si="9"/>
        <v>1.8950028043947356</v>
      </c>
      <c r="W40" s="14">
        <f t="shared" si="14"/>
        <v>0.68597560679119884</v>
      </c>
      <c r="Y40">
        <f t="shared" si="4"/>
        <v>1.3812464945065803</v>
      </c>
      <c r="Z40">
        <f t="shared" si="17"/>
        <v>1.3812464945065803</v>
      </c>
      <c r="AA40" s="18">
        <v>7.5</v>
      </c>
      <c r="AB40" s="9">
        <f t="shared" si="10"/>
        <v>60</v>
      </c>
      <c r="AC40" s="18">
        <f t="shared" si="13"/>
        <v>11.049971956052643</v>
      </c>
      <c r="AD40" s="9">
        <f t="shared" si="11"/>
        <v>48.950028043947356</v>
      </c>
      <c r="AE40" s="14">
        <f t="shared" si="12"/>
        <v>2.4475014021973678</v>
      </c>
      <c r="AF40" s="14">
        <f t="shared" si="15"/>
        <v>1.7719512135823978</v>
      </c>
    </row>
    <row r="41" spans="1:32" x14ac:dyDescent="0.25">
      <c r="A41" s="108">
        <v>4</v>
      </c>
      <c r="B41" s="116" t="s">
        <v>93</v>
      </c>
      <c r="C41" s="108">
        <v>130937</v>
      </c>
      <c r="D41" s="116">
        <v>136149</v>
      </c>
      <c r="E41" s="108">
        <v>844407</v>
      </c>
      <c r="F41" s="116">
        <v>844407</v>
      </c>
      <c r="K41" s="14" t="s">
        <v>38</v>
      </c>
      <c r="L41" s="18">
        <v>568617</v>
      </c>
      <c r="M41" s="8">
        <v>433420</v>
      </c>
      <c r="N41">
        <f t="shared" si="5"/>
        <v>1.31193069078492</v>
      </c>
      <c r="P41" s="18">
        <f t="shared" si="3"/>
        <v>0.95901366285447365</v>
      </c>
      <c r="Q41" s="8">
        <f t="shared" si="16"/>
        <v>1.9180273257089473</v>
      </c>
      <c r="R41" s="18">
        <v>7.5</v>
      </c>
      <c r="S41" s="9">
        <f t="shared" si="6"/>
        <v>60</v>
      </c>
      <c r="T41" s="18">
        <f t="shared" si="7"/>
        <v>15.344218605671578</v>
      </c>
      <c r="U41" s="9">
        <f t="shared" si="8"/>
        <v>44.655781394328422</v>
      </c>
      <c r="V41" s="14">
        <f t="shared" si="9"/>
        <v>2.232789069716421</v>
      </c>
      <c r="W41" s="14">
        <f t="shared" si="14"/>
        <v>1.1641070175531156</v>
      </c>
      <c r="Y41">
        <f t="shared" si="4"/>
        <v>0.95901366285447365</v>
      </c>
      <c r="Z41">
        <f t="shared" si="17"/>
        <v>0.95901366285447365</v>
      </c>
      <c r="AA41" s="18">
        <v>7.5</v>
      </c>
      <c r="AB41" s="9">
        <f t="shared" si="10"/>
        <v>60</v>
      </c>
      <c r="AC41" s="18">
        <f t="shared" si="13"/>
        <v>7.6721093028357892</v>
      </c>
      <c r="AD41" s="9">
        <f t="shared" si="11"/>
        <v>52.327890697164207</v>
      </c>
      <c r="AE41" s="14">
        <f t="shared" si="12"/>
        <v>2.6163945348582103</v>
      </c>
      <c r="AF41" s="14">
        <f t="shared" si="15"/>
        <v>2.7282140351062312</v>
      </c>
    </row>
    <row r="42" spans="1:32" x14ac:dyDescent="0.25">
      <c r="A42" s="108">
        <v>5</v>
      </c>
      <c r="B42" s="116" t="s">
        <v>96</v>
      </c>
      <c r="C42" s="108">
        <v>97902</v>
      </c>
      <c r="D42" s="116">
        <v>98704</v>
      </c>
      <c r="E42" s="108">
        <v>803690</v>
      </c>
      <c r="F42" s="116">
        <v>803690</v>
      </c>
      <c r="K42" s="15" t="s">
        <v>39</v>
      </c>
      <c r="L42" s="5">
        <v>616447</v>
      </c>
      <c r="M42" s="8">
        <v>383199</v>
      </c>
      <c r="N42">
        <f t="shared" si="5"/>
        <v>1.6086863483464204</v>
      </c>
      <c r="P42" s="5">
        <f t="shared" si="3"/>
        <v>1.1759403131187285</v>
      </c>
      <c r="Q42" s="8">
        <f t="shared" si="16"/>
        <v>2.351880626237457</v>
      </c>
      <c r="R42" s="5">
        <v>7.5</v>
      </c>
      <c r="S42" s="6">
        <f t="shared" si="6"/>
        <v>60</v>
      </c>
      <c r="T42" s="5">
        <f t="shared" si="7"/>
        <v>18.815045009899656</v>
      </c>
      <c r="U42" s="6">
        <f t="shared" si="8"/>
        <v>41.184954990100344</v>
      </c>
      <c r="V42" s="15">
        <f t="shared" si="9"/>
        <v>2.0592477495050172</v>
      </c>
      <c r="W42" s="15">
        <f t="shared" si="14"/>
        <v>0.8755749448046628</v>
      </c>
      <c r="Y42">
        <f t="shared" si="4"/>
        <v>1.1759403131187285</v>
      </c>
      <c r="Z42">
        <f t="shared" si="17"/>
        <v>1.1759403131187285</v>
      </c>
      <c r="AA42" s="5">
        <v>7.5</v>
      </c>
      <c r="AB42" s="6">
        <f t="shared" si="10"/>
        <v>60</v>
      </c>
      <c r="AC42" s="5">
        <f t="shared" si="13"/>
        <v>9.4075225049498279</v>
      </c>
      <c r="AD42" s="6">
        <f t="shared" si="11"/>
        <v>50.592477495050176</v>
      </c>
      <c r="AE42" s="15">
        <f t="shared" si="12"/>
        <v>2.5296238747525086</v>
      </c>
      <c r="AF42" s="15">
        <f t="shared" si="15"/>
        <v>2.1511498896093255</v>
      </c>
    </row>
    <row r="43" spans="1:32" x14ac:dyDescent="0.25">
      <c r="A43" s="108">
        <v>6</v>
      </c>
      <c r="B43" s="116" t="s">
        <v>97</v>
      </c>
      <c r="C43" s="108">
        <v>279894</v>
      </c>
      <c r="D43" s="116">
        <v>279894</v>
      </c>
      <c r="E43" s="108">
        <v>8946010</v>
      </c>
      <c r="F43" s="116">
        <v>8918872</v>
      </c>
      <c r="Q43" t="s">
        <v>339</v>
      </c>
      <c r="R43" s="8"/>
      <c r="W43" s="37">
        <f>AVERAGE(W35:W42)</f>
        <v>0.82695000502186677</v>
      </c>
      <c r="AF43" s="37">
        <f>AVERAGE(AF35:AF42)</f>
        <v>2.053900010043733</v>
      </c>
    </row>
    <row r="44" spans="1:32" x14ac:dyDescent="0.25">
      <c r="A44" s="108">
        <v>7</v>
      </c>
      <c r="B44" s="116" t="s">
        <v>98</v>
      </c>
      <c r="C44" s="108">
        <v>282159</v>
      </c>
      <c r="D44" s="116">
        <v>282159</v>
      </c>
      <c r="E44" s="108">
        <v>9017042</v>
      </c>
      <c r="F44" s="116">
        <v>8990727</v>
      </c>
    </row>
    <row r="45" spans="1:32" x14ac:dyDescent="0.25">
      <c r="A45" s="108">
        <v>8</v>
      </c>
      <c r="B45" s="116" t="s">
        <v>99</v>
      </c>
      <c r="C45" s="108">
        <v>487153</v>
      </c>
      <c r="D45" s="116">
        <v>487153</v>
      </c>
      <c r="E45" s="108">
        <v>21292759</v>
      </c>
      <c r="F45" s="116">
        <v>21232349</v>
      </c>
    </row>
    <row r="46" spans="1:32" x14ac:dyDescent="0.25">
      <c r="A46" s="108">
        <v>9</v>
      </c>
      <c r="B46" s="116" t="s">
        <v>100</v>
      </c>
      <c r="C46" s="108">
        <v>588156</v>
      </c>
      <c r="D46" s="116">
        <v>588156</v>
      </c>
      <c r="E46" s="108">
        <v>21344369</v>
      </c>
      <c r="F46" s="116">
        <v>21268193</v>
      </c>
    </row>
    <row r="47" spans="1:32" x14ac:dyDescent="0.25">
      <c r="A47" s="108">
        <v>10</v>
      </c>
      <c r="B47" s="116" t="s">
        <v>113</v>
      </c>
      <c r="C47" s="108">
        <v>509719</v>
      </c>
      <c r="D47" s="116">
        <v>505768</v>
      </c>
      <c r="E47" s="108">
        <v>485398</v>
      </c>
      <c r="F47" s="116">
        <v>486020</v>
      </c>
      <c r="J47" s="108" t="s">
        <v>340</v>
      </c>
    </row>
    <row r="48" spans="1:32" x14ac:dyDescent="0.25">
      <c r="A48" s="108">
        <v>11</v>
      </c>
      <c r="B48" s="116" t="s">
        <v>101</v>
      </c>
      <c r="C48" s="108">
        <v>270128</v>
      </c>
      <c r="D48" s="116">
        <v>268122</v>
      </c>
      <c r="E48" s="108">
        <v>1537277</v>
      </c>
      <c r="F48" s="116">
        <v>1535444</v>
      </c>
      <c r="J48" s="108" t="s">
        <v>341</v>
      </c>
    </row>
    <row r="49" spans="1:18" x14ac:dyDescent="0.25">
      <c r="A49" s="108">
        <v>12</v>
      </c>
      <c r="B49" s="116" t="s">
        <v>102</v>
      </c>
      <c r="C49" s="108">
        <v>237239</v>
      </c>
      <c r="D49" s="116">
        <v>237239</v>
      </c>
      <c r="E49" s="108">
        <v>1991960</v>
      </c>
      <c r="F49" s="116">
        <v>1991960</v>
      </c>
      <c r="K49" s="35" t="s">
        <v>53</v>
      </c>
    </row>
    <row r="50" spans="1:18" x14ac:dyDescent="0.25">
      <c r="A50" s="108">
        <v>13</v>
      </c>
      <c r="B50" s="116" t="s">
        <v>103</v>
      </c>
      <c r="C50" s="108">
        <v>435691</v>
      </c>
      <c r="D50" s="116">
        <v>435691</v>
      </c>
      <c r="E50" s="108">
        <v>1217692</v>
      </c>
      <c r="F50" s="116">
        <v>1216284</v>
      </c>
      <c r="K50" s="17" t="s">
        <v>54</v>
      </c>
      <c r="L50" s="17" t="s">
        <v>56</v>
      </c>
      <c r="M50" s="3" t="s">
        <v>57</v>
      </c>
      <c r="N50" s="4" t="s">
        <v>62</v>
      </c>
      <c r="O50" s="17" t="s">
        <v>56</v>
      </c>
      <c r="P50" s="4" t="s">
        <v>310</v>
      </c>
      <c r="Q50" s="10" t="s">
        <v>311</v>
      </c>
      <c r="R50" s="10" t="s">
        <v>313</v>
      </c>
    </row>
    <row r="51" spans="1:18" x14ac:dyDescent="0.25">
      <c r="A51" s="108">
        <v>14</v>
      </c>
      <c r="B51" s="116" t="s">
        <v>104</v>
      </c>
      <c r="C51" s="108">
        <v>409520</v>
      </c>
      <c r="D51" s="116">
        <v>406602</v>
      </c>
      <c r="E51" s="108">
        <v>1289070</v>
      </c>
      <c r="F51" s="116">
        <v>1286556</v>
      </c>
      <c r="J51" s="93">
        <v>44384</v>
      </c>
      <c r="K51" s="5"/>
      <c r="L51" s="5" t="s">
        <v>12</v>
      </c>
      <c r="M51" s="7" t="s">
        <v>59</v>
      </c>
      <c r="N51" s="6" t="s">
        <v>59</v>
      </c>
      <c r="O51" s="5" t="s">
        <v>17</v>
      </c>
      <c r="P51" s="6" t="s">
        <v>309</v>
      </c>
      <c r="Q51" s="10" t="s">
        <v>312</v>
      </c>
      <c r="R51" s="10" t="s">
        <v>312</v>
      </c>
    </row>
    <row r="52" spans="1:18" x14ac:dyDescent="0.25">
      <c r="A52" s="108">
        <v>15</v>
      </c>
      <c r="B52" s="116" t="s">
        <v>105</v>
      </c>
      <c r="C52" s="108">
        <v>374085</v>
      </c>
      <c r="D52" s="116">
        <v>373631</v>
      </c>
      <c r="E52" s="108">
        <v>2840377</v>
      </c>
      <c r="F52" s="116">
        <v>2826529</v>
      </c>
      <c r="K52" s="105" t="s">
        <v>94</v>
      </c>
      <c r="L52" s="8">
        <v>0</v>
      </c>
      <c r="M52" s="10">
        <v>0</v>
      </c>
      <c r="N52" s="8">
        <v>0</v>
      </c>
      <c r="O52" s="8">
        <v>341416</v>
      </c>
      <c r="P52" s="102">
        <v>0.05</v>
      </c>
      <c r="Q52">
        <f>L52/O52</f>
        <v>0</v>
      </c>
      <c r="R52">
        <f>N52/P52</f>
        <v>0</v>
      </c>
    </row>
    <row r="53" spans="1:18" x14ac:dyDescent="0.25">
      <c r="A53" s="108">
        <v>16</v>
      </c>
      <c r="B53" s="116" t="s">
        <v>106</v>
      </c>
      <c r="C53" s="108">
        <v>493403</v>
      </c>
      <c r="D53" s="116">
        <v>491254</v>
      </c>
      <c r="E53" s="108">
        <v>3645438</v>
      </c>
      <c r="F53" s="116">
        <v>3631848</v>
      </c>
      <c r="K53" s="105" t="s">
        <v>95</v>
      </c>
      <c r="L53" s="8">
        <v>0</v>
      </c>
      <c r="M53" s="8">
        <v>0</v>
      </c>
      <c r="N53" s="8">
        <v>0</v>
      </c>
      <c r="O53" s="8">
        <v>607250</v>
      </c>
      <c r="P53" s="102">
        <v>0.05</v>
      </c>
      <c r="Q53">
        <f t="shared" ref="Q53:Q61" si="18">L53/O53</f>
        <v>0</v>
      </c>
      <c r="R53">
        <f t="shared" ref="R53:R61" si="19">N53/P53</f>
        <v>0</v>
      </c>
    </row>
    <row r="54" spans="1:18" x14ac:dyDescent="0.25">
      <c r="A54" s="108">
        <v>17</v>
      </c>
      <c r="B54" s="116" t="s">
        <v>107</v>
      </c>
      <c r="C54" s="108">
        <v>173044</v>
      </c>
      <c r="D54" s="116">
        <v>173044</v>
      </c>
      <c r="E54" s="108">
        <v>3724084</v>
      </c>
      <c r="F54" s="116">
        <v>3718770</v>
      </c>
      <c r="K54" s="105" t="s">
        <v>113</v>
      </c>
      <c r="L54" s="106">
        <v>485398</v>
      </c>
      <c r="M54" s="8">
        <v>0</v>
      </c>
      <c r="N54" s="8">
        <v>0</v>
      </c>
      <c r="O54" s="8">
        <v>509719</v>
      </c>
      <c r="P54" s="102">
        <v>0.05</v>
      </c>
      <c r="Q54">
        <f t="shared" si="18"/>
        <v>0.95228547493815219</v>
      </c>
      <c r="R54">
        <f t="shared" si="19"/>
        <v>0</v>
      </c>
    </row>
    <row r="55" spans="1:18" x14ac:dyDescent="0.25">
      <c r="A55" s="108">
        <v>18</v>
      </c>
      <c r="B55" s="116" t="s">
        <v>108</v>
      </c>
      <c r="C55" s="108">
        <v>195773</v>
      </c>
      <c r="D55" s="116">
        <v>195773</v>
      </c>
      <c r="E55" s="108">
        <v>3662902</v>
      </c>
      <c r="F55" s="116">
        <v>3658071</v>
      </c>
      <c r="K55" s="105" t="s">
        <v>114</v>
      </c>
      <c r="L55" s="8">
        <v>0</v>
      </c>
      <c r="M55" s="8">
        <v>0</v>
      </c>
      <c r="N55" s="8">
        <v>0</v>
      </c>
      <c r="O55" s="8">
        <v>241496</v>
      </c>
      <c r="P55" s="102">
        <v>0.05</v>
      </c>
      <c r="Q55">
        <f t="shared" si="18"/>
        <v>0</v>
      </c>
      <c r="R55">
        <f t="shared" si="19"/>
        <v>0</v>
      </c>
    </row>
    <row r="56" spans="1:18" x14ac:dyDescent="0.25">
      <c r="A56" s="108">
        <v>19</v>
      </c>
      <c r="B56" s="116" t="s">
        <v>109</v>
      </c>
      <c r="C56" s="108">
        <v>136648</v>
      </c>
      <c r="D56" s="116">
        <v>137318</v>
      </c>
      <c r="E56" s="108">
        <v>8169291</v>
      </c>
      <c r="F56" s="116">
        <v>8134064</v>
      </c>
      <c r="K56" s="105" t="s">
        <v>93</v>
      </c>
      <c r="L56" s="8">
        <v>844407</v>
      </c>
      <c r="M56" s="8">
        <v>0.25</v>
      </c>
      <c r="N56" s="8">
        <v>1.25</v>
      </c>
      <c r="O56" s="8">
        <v>130937</v>
      </c>
      <c r="P56" s="102">
        <v>0.05</v>
      </c>
      <c r="Q56">
        <f t="shared" si="18"/>
        <v>6.4489563683298075</v>
      </c>
      <c r="R56">
        <f t="shared" si="19"/>
        <v>25</v>
      </c>
    </row>
    <row r="57" spans="1:18" x14ac:dyDescent="0.25">
      <c r="A57" s="108">
        <v>20</v>
      </c>
      <c r="B57" s="116" t="s">
        <v>110</v>
      </c>
      <c r="C57" s="108">
        <v>226320</v>
      </c>
      <c r="D57" s="116">
        <v>227867</v>
      </c>
      <c r="E57" s="108">
        <v>9621603</v>
      </c>
      <c r="F57" s="116">
        <v>9565766</v>
      </c>
      <c r="K57" s="105" t="s">
        <v>96</v>
      </c>
      <c r="L57" s="8">
        <v>803690</v>
      </c>
      <c r="M57" s="8">
        <v>0.25</v>
      </c>
      <c r="N57" s="8">
        <v>1.25</v>
      </c>
      <c r="O57" s="8">
        <v>97902</v>
      </c>
      <c r="P57" s="102">
        <v>0.05</v>
      </c>
      <c r="Q57">
        <f t="shared" si="18"/>
        <v>8.2091274948417805</v>
      </c>
      <c r="R57">
        <f t="shared" si="19"/>
        <v>25</v>
      </c>
    </row>
    <row r="58" spans="1:18" x14ac:dyDescent="0.25">
      <c r="A58" s="108">
        <v>21</v>
      </c>
      <c r="B58" s="116" t="s">
        <v>111</v>
      </c>
      <c r="C58" s="108">
        <v>261092</v>
      </c>
      <c r="D58" s="116">
        <v>262544</v>
      </c>
      <c r="E58" s="108">
        <v>5105882</v>
      </c>
      <c r="F58" s="116">
        <v>5071788</v>
      </c>
      <c r="K58" s="105" t="s">
        <v>97</v>
      </c>
      <c r="L58" s="8">
        <v>8946010</v>
      </c>
      <c r="M58" s="8">
        <v>2</v>
      </c>
      <c r="N58" s="8">
        <v>10</v>
      </c>
      <c r="O58" s="8">
        <v>279894</v>
      </c>
      <c r="P58" s="102">
        <v>0.05</v>
      </c>
      <c r="Q58">
        <f t="shared" si="18"/>
        <v>31.962135665644851</v>
      </c>
      <c r="R58">
        <f t="shared" si="19"/>
        <v>200</v>
      </c>
    </row>
    <row r="59" spans="1:18" x14ac:dyDescent="0.25">
      <c r="A59" s="108">
        <v>22</v>
      </c>
      <c r="B59" s="116" t="s">
        <v>112</v>
      </c>
      <c r="C59" s="108">
        <v>229732</v>
      </c>
      <c r="D59" s="116">
        <v>229732</v>
      </c>
      <c r="E59" s="108">
        <v>5160900</v>
      </c>
      <c r="F59" s="116">
        <v>5139561</v>
      </c>
      <c r="K59" s="105" t="s">
        <v>98</v>
      </c>
      <c r="L59" s="8">
        <v>9017042</v>
      </c>
      <c r="M59" s="8">
        <v>2</v>
      </c>
      <c r="N59" s="8">
        <v>10</v>
      </c>
      <c r="O59" s="8">
        <v>282159</v>
      </c>
      <c r="P59" s="102">
        <v>0.05</v>
      </c>
      <c r="Q59">
        <f t="shared" si="18"/>
        <v>31.957307759100367</v>
      </c>
      <c r="R59">
        <f t="shared" si="19"/>
        <v>200</v>
      </c>
    </row>
    <row r="60" spans="1:18" x14ac:dyDescent="0.25">
      <c r="A60" s="108">
        <v>23</v>
      </c>
      <c r="B60" s="116" t="s">
        <v>114</v>
      </c>
      <c r="C60" s="108">
        <v>241496</v>
      </c>
      <c r="D60" s="116">
        <v>241496</v>
      </c>
      <c r="E60" s="108">
        <v>0</v>
      </c>
      <c r="F60" s="116">
        <v>133944</v>
      </c>
      <c r="K60" s="105" t="s">
        <v>99</v>
      </c>
      <c r="L60" s="8">
        <v>21292759</v>
      </c>
      <c r="M60" s="8">
        <v>5</v>
      </c>
      <c r="N60" s="8">
        <v>25</v>
      </c>
      <c r="O60" s="8">
        <v>487153</v>
      </c>
      <c r="P60" s="102">
        <v>0.05</v>
      </c>
      <c r="Q60">
        <f t="shared" si="18"/>
        <v>43.708565892029817</v>
      </c>
      <c r="R60">
        <f t="shared" si="19"/>
        <v>500</v>
      </c>
    </row>
    <row r="61" spans="1:18" ht="15.75" thickBot="1" x14ac:dyDescent="0.3">
      <c r="K61" s="107" t="s">
        <v>100</v>
      </c>
      <c r="L61" s="55">
        <v>21344369</v>
      </c>
      <c r="M61" s="55">
        <v>5</v>
      </c>
      <c r="N61" s="55">
        <v>25</v>
      </c>
      <c r="O61" s="55">
        <v>588156</v>
      </c>
      <c r="P61" s="103">
        <v>0.05</v>
      </c>
      <c r="Q61">
        <f t="shared" si="18"/>
        <v>36.290319235032882</v>
      </c>
      <c r="R61">
        <f t="shared" si="19"/>
        <v>500</v>
      </c>
    </row>
    <row r="64" spans="1:18" x14ac:dyDescent="0.25">
      <c r="K64" s="105" t="s">
        <v>245</v>
      </c>
      <c r="L64">
        <f>AVERAGE(L52:L55)</f>
        <v>121349.5</v>
      </c>
      <c r="M64">
        <f t="shared" ref="M64:R64" si="20">AVERAGE(M52:M55)</f>
        <v>0</v>
      </c>
      <c r="N64">
        <f t="shared" si="20"/>
        <v>0</v>
      </c>
      <c r="O64">
        <f t="shared" si="20"/>
        <v>424970.25</v>
      </c>
      <c r="P64">
        <f t="shared" si="20"/>
        <v>0.05</v>
      </c>
      <c r="Q64">
        <f t="shared" si="20"/>
        <v>0.23807136873453805</v>
      </c>
      <c r="R64">
        <f t="shared" si="20"/>
        <v>0</v>
      </c>
    </row>
    <row r="65" spans="10:32" x14ac:dyDescent="0.25">
      <c r="K65" s="105" t="s">
        <v>246</v>
      </c>
      <c r="L65">
        <f>AVERAGE(L56:L57)</f>
        <v>824048.5</v>
      </c>
      <c r="M65">
        <f t="shared" ref="M65:R65" si="21">AVERAGE(M56:M57)</f>
        <v>0.25</v>
      </c>
      <c r="N65">
        <f t="shared" si="21"/>
        <v>1.25</v>
      </c>
      <c r="O65">
        <f t="shared" si="21"/>
        <v>114419.5</v>
      </c>
      <c r="P65">
        <f t="shared" si="21"/>
        <v>0.05</v>
      </c>
      <c r="Q65">
        <f t="shared" si="21"/>
        <v>7.3290419315857935</v>
      </c>
      <c r="R65">
        <f t="shared" si="21"/>
        <v>25</v>
      </c>
    </row>
    <row r="66" spans="10:32" x14ac:dyDescent="0.25">
      <c r="K66" s="105" t="s">
        <v>247</v>
      </c>
      <c r="L66">
        <f>AVERAGE(L58:L59)</f>
        <v>8981526</v>
      </c>
      <c r="M66">
        <f t="shared" ref="M66:R66" si="22">AVERAGE(M58:M59)</f>
        <v>2</v>
      </c>
      <c r="N66">
        <f t="shared" si="22"/>
        <v>10</v>
      </c>
      <c r="O66">
        <f t="shared" si="22"/>
        <v>281026.5</v>
      </c>
      <c r="P66">
        <f t="shared" si="22"/>
        <v>0.05</v>
      </c>
      <c r="Q66">
        <f t="shared" si="22"/>
        <v>31.959721712372609</v>
      </c>
      <c r="R66">
        <f t="shared" si="22"/>
        <v>200</v>
      </c>
    </row>
    <row r="67" spans="10:32" x14ac:dyDescent="0.25">
      <c r="K67" s="105" t="s">
        <v>248</v>
      </c>
      <c r="L67">
        <f>AVERAGE(L60:L61)</f>
        <v>21318564</v>
      </c>
      <c r="M67">
        <f t="shared" ref="M67:R67" si="23">AVERAGE(M60:M61)</f>
        <v>5</v>
      </c>
      <c r="N67">
        <f t="shared" si="23"/>
        <v>25</v>
      </c>
      <c r="O67">
        <f t="shared" si="23"/>
        <v>537654.5</v>
      </c>
      <c r="P67">
        <f t="shared" si="23"/>
        <v>0.05</v>
      </c>
      <c r="Q67">
        <f t="shared" si="23"/>
        <v>39.999442563531346</v>
      </c>
      <c r="R67">
        <f t="shared" si="23"/>
        <v>500</v>
      </c>
    </row>
    <row r="69" spans="10:32" x14ac:dyDescent="0.25">
      <c r="Q69" s="48" t="s">
        <v>322</v>
      </c>
      <c r="Z69" s="104" t="s">
        <v>336</v>
      </c>
    </row>
    <row r="70" spans="10:32" x14ac:dyDescent="0.25">
      <c r="Q70" s="48" t="s">
        <v>323</v>
      </c>
      <c r="Z70" s="104" t="s">
        <v>323</v>
      </c>
    </row>
    <row r="71" spans="10:32" x14ac:dyDescent="0.25">
      <c r="Q71" t="s">
        <v>338</v>
      </c>
      <c r="T71" t="s">
        <v>333</v>
      </c>
      <c r="W71" t="s">
        <v>275</v>
      </c>
      <c r="Z71" t="s">
        <v>337</v>
      </c>
    </row>
    <row r="72" spans="10:32" x14ac:dyDescent="0.25">
      <c r="K72" s="35" t="s">
        <v>55</v>
      </c>
      <c r="L72" t="s">
        <v>56</v>
      </c>
      <c r="M72" t="s">
        <v>56</v>
      </c>
      <c r="N72" t="s">
        <v>311</v>
      </c>
      <c r="P72" s="17" t="s">
        <v>320</v>
      </c>
      <c r="Q72" s="3" t="s">
        <v>325</v>
      </c>
      <c r="R72" s="17" t="s">
        <v>326</v>
      </c>
      <c r="S72" s="4" t="s">
        <v>328</v>
      </c>
      <c r="T72" s="94" t="s">
        <v>329</v>
      </c>
      <c r="U72" s="77" t="s">
        <v>87</v>
      </c>
      <c r="V72" s="36" t="s">
        <v>332</v>
      </c>
      <c r="W72" s="36" t="s">
        <v>334</v>
      </c>
      <c r="Y72" s="17" t="s">
        <v>320</v>
      </c>
      <c r="Z72" s="3" t="s">
        <v>325</v>
      </c>
      <c r="AA72" s="17" t="s">
        <v>326</v>
      </c>
      <c r="AB72" s="4" t="s">
        <v>328</v>
      </c>
      <c r="AC72" s="94" t="s">
        <v>329</v>
      </c>
      <c r="AD72" s="77" t="s">
        <v>87</v>
      </c>
      <c r="AE72" s="36" t="s">
        <v>332</v>
      </c>
      <c r="AF72" s="36" t="s">
        <v>334</v>
      </c>
    </row>
    <row r="73" spans="10:32" ht="15.75" thickBot="1" x14ac:dyDescent="0.3">
      <c r="K73" t="s">
        <v>54</v>
      </c>
      <c r="L73" t="s">
        <v>12</v>
      </c>
      <c r="M73" t="s">
        <v>17</v>
      </c>
      <c r="N73" t="s">
        <v>318</v>
      </c>
      <c r="P73" s="18" t="s">
        <v>321</v>
      </c>
      <c r="Q73" s="8" t="s">
        <v>324</v>
      </c>
      <c r="R73" s="18" t="s">
        <v>327</v>
      </c>
      <c r="S73" s="9" t="s">
        <v>60</v>
      </c>
      <c r="T73" s="42" t="s">
        <v>330</v>
      </c>
      <c r="U73" s="60" t="s">
        <v>331</v>
      </c>
      <c r="V73" s="37" t="s">
        <v>324</v>
      </c>
      <c r="W73" s="37" t="s">
        <v>335</v>
      </c>
      <c r="Y73" s="18" t="s">
        <v>321</v>
      </c>
      <c r="Z73" s="8" t="s">
        <v>324</v>
      </c>
      <c r="AA73" s="18" t="s">
        <v>327</v>
      </c>
      <c r="AB73" s="9" t="s">
        <v>60</v>
      </c>
      <c r="AC73" s="42" t="s">
        <v>330</v>
      </c>
      <c r="AD73" s="60" t="s">
        <v>331</v>
      </c>
      <c r="AE73" s="37" t="s">
        <v>324</v>
      </c>
      <c r="AF73" s="37" t="s">
        <v>335</v>
      </c>
    </row>
    <row r="74" spans="10:32" x14ac:dyDescent="0.25">
      <c r="J74" s="93">
        <v>44384</v>
      </c>
      <c r="K74" s="62" t="s">
        <v>101</v>
      </c>
      <c r="L74">
        <v>1537277</v>
      </c>
      <c r="M74">
        <v>270128</v>
      </c>
      <c r="N74">
        <f>L74/M74</f>
        <v>5.6909206006041577</v>
      </c>
      <c r="P74">
        <f>(((N74)-$X$4)/$X$3)*$T$3</f>
        <v>3.1131950769169356</v>
      </c>
      <c r="Q74">
        <f>2*P74</f>
        <v>6.2263901538338713</v>
      </c>
      <c r="R74" s="8">
        <v>12.5</v>
      </c>
      <c r="S74" s="9">
        <f t="shared" ref="S74:S85" si="24">R74*8</f>
        <v>100</v>
      </c>
      <c r="T74" s="18">
        <f>Q74*8</f>
        <v>49.81112123067097</v>
      </c>
      <c r="U74" s="9">
        <f>S74-T74</f>
        <v>50.18887876932903</v>
      </c>
      <c r="V74" s="14">
        <f>U74/20</f>
        <v>2.5094439384664513</v>
      </c>
      <c r="W74" s="14">
        <f t="shared" ref="W74:W85" si="25">V74/Q74</f>
        <v>0.40303351965846096</v>
      </c>
      <c r="Y74">
        <f>(((N74)-$X$4)/$X$3)*$T$3</f>
        <v>3.1131950769169356</v>
      </c>
      <c r="Z74">
        <f>Y74</f>
        <v>3.1131950769169356</v>
      </c>
      <c r="AA74" s="8">
        <v>12.5</v>
      </c>
      <c r="AB74" s="9">
        <f t="shared" ref="AB74:AB85" si="26">AA74*8</f>
        <v>100</v>
      </c>
      <c r="AC74" s="18">
        <f>Z74*8</f>
        <v>24.905560615335485</v>
      </c>
      <c r="AD74" s="9">
        <f>AB74-AC74</f>
        <v>75.094439384664511</v>
      </c>
      <c r="AE74" s="14">
        <f>AD74/20</f>
        <v>3.7547219692332257</v>
      </c>
      <c r="AF74" s="14">
        <f t="shared" ref="AF74:AF79" si="27">AE74/Z74</f>
        <v>1.2060670393169219</v>
      </c>
    </row>
    <row r="75" spans="10:32" x14ac:dyDescent="0.25">
      <c r="K75" s="65" t="s">
        <v>102</v>
      </c>
      <c r="L75">
        <v>1991960</v>
      </c>
      <c r="M75">
        <v>237239</v>
      </c>
      <c r="N75">
        <f t="shared" ref="N75:N85" si="28">L75/M75</f>
        <v>8.3964272316103177</v>
      </c>
      <c r="P75">
        <f t="shared" ref="P75:P85" si="29">(((N75)-$X$4)/$X$3)*$T$3</f>
        <v>4.5932315271391237</v>
      </c>
      <c r="Q75">
        <f t="shared" ref="Q75:Q85" si="30">2*P75</f>
        <v>9.1864630542782475</v>
      </c>
      <c r="R75" s="8">
        <v>12.5</v>
      </c>
      <c r="S75" s="9">
        <f t="shared" si="24"/>
        <v>100</v>
      </c>
      <c r="T75" s="18">
        <f t="shared" ref="T75:T85" si="31">Q75*8</f>
        <v>73.49170443422598</v>
      </c>
      <c r="U75" s="9">
        <f t="shared" ref="U75:U85" si="32">S75-T75</f>
        <v>26.50829556577402</v>
      </c>
      <c r="V75" s="14">
        <f t="shared" ref="V75:V85" si="33">U75/20</f>
        <v>1.3254147782887009</v>
      </c>
      <c r="W75" s="14">
        <f t="shared" si="25"/>
        <v>0.14427911705054311</v>
      </c>
      <c r="Y75">
        <f t="shared" ref="Y75:Y85" si="34">(((N75)-$X$4)/$X$3)*$T$3</f>
        <v>4.5932315271391237</v>
      </c>
      <c r="Z75">
        <f t="shared" ref="Z75:Z85" si="35">Y75</f>
        <v>4.5932315271391237</v>
      </c>
      <c r="AA75" s="8">
        <v>12.5</v>
      </c>
      <c r="AB75" s="9">
        <f t="shared" si="26"/>
        <v>100</v>
      </c>
      <c r="AC75" s="18">
        <f t="shared" ref="AC75:AC85" si="36">Z75*8</f>
        <v>36.74585221711299</v>
      </c>
      <c r="AD75" s="9">
        <f t="shared" ref="AD75:AD80" si="37">AB75-AC75</f>
        <v>63.25414778288701</v>
      </c>
      <c r="AE75" s="14">
        <f t="shared" ref="AE75:AE85" si="38">AD75/20</f>
        <v>3.1627073891443507</v>
      </c>
      <c r="AF75" s="14">
        <f t="shared" si="27"/>
        <v>0.6885582341010863</v>
      </c>
    </row>
    <row r="76" spans="10:32" x14ac:dyDescent="0.25">
      <c r="K76" s="65" t="s">
        <v>103</v>
      </c>
      <c r="L76">
        <v>1217692</v>
      </c>
      <c r="M76">
        <v>435691</v>
      </c>
      <c r="N76">
        <f>L76/M76</f>
        <v>2.794852315058149</v>
      </c>
      <c r="P76">
        <f t="shared" si="29"/>
        <v>1.5289126449989876</v>
      </c>
      <c r="Q76">
        <f t="shared" si="30"/>
        <v>3.0578252899979752</v>
      </c>
      <c r="R76" s="8">
        <v>12.5</v>
      </c>
      <c r="S76" s="9">
        <f t="shared" si="24"/>
        <v>100</v>
      </c>
      <c r="T76" s="18">
        <f t="shared" si="31"/>
        <v>24.462602319983802</v>
      </c>
      <c r="U76" s="9">
        <f t="shared" si="32"/>
        <v>75.537397680016198</v>
      </c>
      <c r="V76" s="14">
        <f t="shared" si="33"/>
        <v>3.7768698840008099</v>
      </c>
      <c r="W76" s="14">
        <f t="shared" si="25"/>
        <v>1.2351490114084676</v>
      </c>
      <c r="Y76">
        <f t="shared" si="34"/>
        <v>1.5289126449989876</v>
      </c>
      <c r="Z76">
        <f t="shared" si="35"/>
        <v>1.5289126449989876</v>
      </c>
      <c r="AA76" s="8">
        <v>12.5</v>
      </c>
      <c r="AB76" s="9">
        <f t="shared" si="26"/>
        <v>100</v>
      </c>
      <c r="AC76" s="18">
        <f t="shared" si="36"/>
        <v>12.231301159991901</v>
      </c>
      <c r="AD76" s="9">
        <f t="shared" si="37"/>
        <v>87.768698840008099</v>
      </c>
      <c r="AE76" s="14">
        <f t="shared" si="38"/>
        <v>4.388434942000405</v>
      </c>
      <c r="AF76" s="14">
        <f t="shared" si="27"/>
        <v>2.8702980228169355</v>
      </c>
    </row>
    <row r="77" spans="10:32" ht="15.75" thickBot="1" x14ac:dyDescent="0.3">
      <c r="K77" s="67" t="s">
        <v>104</v>
      </c>
      <c r="L77">
        <v>1289070</v>
      </c>
      <c r="M77">
        <v>409520</v>
      </c>
      <c r="N77">
        <f t="shared" si="28"/>
        <v>3.1477583512404768</v>
      </c>
      <c r="P77">
        <f t="shared" si="29"/>
        <v>1.7219684634794732</v>
      </c>
      <c r="Q77">
        <f t="shared" si="30"/>
        <v>3.4439369269589464</v>
      </c>
      <c r="R77" s="8">
        <v>12.5</v>
      </c>
      <c r="S77" s="9">
        <f t="shared" si="24"/>
        <v>100</v>
      </c>
      <c r="T77" s="18">
        <f t="shared" si="31"/>
        <v>27.551495415671571</v>
      </c>
      <c r="U77" s="9">
        <f t="shared" si="32"/>
        <v>72.448504584328433</v>
      </c>
      <c r="V77" s="14">
        <f t="shared" si="33"/>
        <v>3.6224252292164216</v>
      </c>
      <c r="W77" s="14">
        <f t="shared" si="25"/>
        <v>1.0518268208863752</v>
      </c>
      <c r="Y77">
        <f t="shared" si="34"/>
        <v>1.7219684634794732</v>
      </c>
      <c r="Z77">
        <f t="shared" si="35"/>
        <v>1.7219684634794732</v>
      </c>
      <c r="AA77" s="8">
        <v>12.5</v>
      </c>
      <c r="AB77" s="9">
        <f t="shared" si="26"/>
        <v>100</v>
      </c>
      <c r="AC77" s="18">
        <f t="shared" si="36"/>
        <v>13.775747707835786</v>
      </c>
      <c r="AD77" s="9">
        <f t="shared" si="37"/>
        <v>86.224252292164209</v>
      </c>
      <c r="AE77" s="14">
        <f t="shared" si="38"/>
        <v>4.3112126146082108</v>
      </c>
      <c r="AF77" s="14">
        <f t="shared" si="27"/>
        <v>2.5036536417727508</v>
      </c>
    </row>
    <row r="78" spans="10:32" x14ac:dyDescent="0.25">
      <c r="K78" s="37" t="s">
        <v>105</v>
      </c>
      <c r="L78">
        <v>2840377</v>
      </c>
      <c r="M78">
        <v>374085</v>
      </c>
      <c r="N78">
        <f>L78/M78</f>
        <v>7.5928652578959328</v>
      </c>
      <c r="P78">
        <f t="shared" si="29"/>
        <v>4.1536462023500738</v>
      </c>
      <c r="Q78">
        <f t="shared" si="30"/>
        <v>8.3072924047001475</v>
      </c>
      <c r="R78" s="8">
        <v>25</v>
      </c>
      <c r="S78" s="9">
        <f t="shared" si="24"/>
        <v>200</v>
      </c>
      <c r="T78" s="18">
        <f t="shared" si="31"/>
        <v>66.45833923760118</v>
      </c>
      <c r="U78" s="9">
        <f t="shared" si="32"/>
        <v>133.54166076239881</v>
      </c>
      <c r="V78" s="14">
        <f t="shared" si="33"/>
        <v>6.6770830381199406</v>
      </c>
      <c r="W78" s="14">
        <f t="shared" si="25"/>
        <v>0.80376164854172494</v>
      </c>
      <c r="Y78">
        <f t="shared" si="34"/>
        <v>4.1536462023500738</v>
      </c>
      <c r="Z78">
        <f t="shared" si="35"/>
        <v>4.1536462023500738</v>
      </c>
      <c r="AA78" s="8">
        <v>25</v>
      </c>
      <c r="AB78" s="9">
        <f t="shared" si="26"/>
        <v>200</v>
      </c>
      <c r="AC78" s="18">
        <f t="shared" si="36"/>
        <v>33.22916961880059</v>
      </c>
      <c r="AD78" s="9">
        <f t="shared" si="37"/>
        <v>166.7708303811994</v>
      </c>
      <c r="AE78" s="14">
        <f t="shared" si="38"/>
        <v>8.3385415190599694</v>
      </c>
      <c r="AF78" s="14">
        <f t="shared" si="27"/>
        <v>2.0075232970834498</v>
      </c>
    </row>
    <row r="79" spans="10:32" x14ac:dyDescent="0.25">
      <c r="K79" s="14" t="s">
        <v>106</v>
      </c>
      <c r="L79">
        <v>3645438</v>
      </c>
      <c r="M79">
        <v>493403</v>
      </c>
      <c r="N79">
        <f t="shared" si="28"/>
        <v>7.3883579953911918</v>
      </c>
      <c r="P79">
        <f t="shared" si="29"/>
        <v>4.0417713322708932</v>
      </c>
      <c r="Q79">
        <f t="shared" si="30"/>
        <v>8.0835426645417865</v>
      </c>
      <c r="R79" s="8">
        <v>25</v>
      </c>
      <c r="S79" s="9">
        <f t="shared" si="24"/>
        <v>200</v>
      </c>
      <c r="T79" s="18">
        <f t="shared" si="31"/>
        <v>64.668341316334292</v>
      </c>
      <c r="U79" s="9">
        <f t="shared" si="32"/>
        <v>135.33165868366569</v>
      </c>
      <c r="V79" s="14">
        <f t="shared" si="33"/>
        <v>6.766582934183285</v>
      </c>
      <c r="W79" s="14">
        <f>V79/Q79</f>
        <v>0.83708136580569992</v>
      </c>
      <c r="Y79">
        <f t="shared" si="34"/>
        <v>4.0417713322708932</v>
      </c>
      <c r="Z79">
        <f t="shared" si="35"/>
        <v>4.0417713322708932</v>
      </c>
      <c r="AA79" s="8">
        <v>25</v>
      </c>
      <c r="AB79" s="9">
        <f t="shared" si="26"/>
        <v>200</v>
      </c>
      <c r="AC79" s="18">
        <f t="shared" si="36"/>
        <v>32.334170658167146</v>
      </c>
      <c r="AD79" s="9">
        <f t="shared" si="37"/>
        <v>167.66582934183285</v>
      </c>
      <c r="AE79" s="14">
        <f t="shared" si="38"/>
        <v>8.3832914670916416</v>
      </c>
      <c r="AF79" s="14">
        <f t="shared" si="27"/>
        <v>2.0741627316113997</v>
      </c>
    </row>
    <row r="80" spans="10:32" x14ac:dyDescent="0.25">
      <c r="K80" s="14" t="s">
        <v>107</v>
      </c>
      <c r="L80">
        <v>3724084</v>
      </c>
      <c r="M80">
        <v>173044</v>
      </c>
      <c r="N80">
        <f t="shared" si="28"/>
        <v>21.52102355470285</v>
      </c>
      <c r="P80">
        <f t="shared" si="29"/>
        <v>11.772988815482961</v>
      </c>
      <c r="Q80">
        <f t="shared" si="30"/>
        <v>23.545977630965922</v>
      </c>
      <c r="R80" s="8">
        <v>25</v>
      </c>
      <c r="S80" s="9">
        <f t="shared" si="24"/>
        <v>200</v>
      </c>
      <c r="T80" s="18">
        <f t="shared" si="31"/>
        <v>188.36782104772738</v>
      </c>
      <c r="U80" s="9">
        <f t="shared" si="32"/>
        <v>11.632178952272625</v>
      </c>
      <c r="V80" s="14">
        <f t="shared" si="33"/>
        <v>0.58160894761363124</v>
      </c>
      <c r="W80" s="14">
        <f t="shared" si="25"/>
        <v>2.4700989558774672E-2</v>
      </c>
      <c r="Y80">
        <f t="shared" si="34"/>
        <v>11.772988815482961</v>
      </c>
      <c r="Z80">
        <f t="shared" si="35"/>
        <v>11.772988815482961</v>
      </c>
      <c r="AA80" s="8">
        <v>25</v>
      </c>
      <c r="AB80" s="9">
        <f t="shared" si="26"/>
        <v>200</v>
      </c>
      <c r="AC80" s="18">
        <f t="shared" si="36"/>
        <v>94.183910523863688</v>
      </c>
      <c r="AD80" s="9">
        <f t="shared" si="37"/>
        <v>105.81608947613631</v>
      </c>
      <c r="AE80" s="14">
        <f t="shared" si="38"/>
        <v>5.2908044738068156</v>
      </c>
      <c r="AF80" s="14">
        <f t="shared" ref="AF80:AF85" si="39">AE80/Z80</f>
        <v>0.44940197911754937</v>
      </c>
    </row>
    <row r="81" spans="11:32" x14ac:dyDescent="0.25">
      <c r="K81" s="15" t="s">
        <v>108</v>
      </c>
      <c r="L81">
        <v>3662902</v>
      </c>
      <c r="M81">
        <v>195773</v>
      </c>
      <c r="N81">
        <f t="shared" si="28"/>
        <v>18.709944680829327</v>
      </c>
      <c r="P81">
        <f t="shared" si="29"/>
        <v>10.235199497171406</v>
      </c>
      <c r="Q81">
        <f t="shared" si="30"/>
        <v>20.470398994342812</v>
      </c>
      <c r="R81" s="8">
        <v>25</v>
      </c>
      <c r="S81" s="9">
        <f t="shared" si="24"/>
        <v>200</v>
      </c>
      <c r="T81" s="18">
        <f t="shared" si="31"/>
        <v>163.7631919547425</v>
      </c>
      <c r="U81" s="9">
        <f>S81-T81</f>
        <v>36.236808045257504</v>
      </c>
      <c r="V81" s="14">
        <f t="shared" si="33"/>
        <v>1.8118404022628751</v>
      </c>
      <c r="W81" s="15">
        <f t="shared" si="25"/>
        <v>8.8510263173844056E-2</v>
      </c>
      <c r="Y81">
        <f t="shared" si="34"/>
        <v>10.235199497171406</v>
      </c>
      <c r="Z81">
        <f t="shared" si="35"/>
        <v>10.235199497171406</v>
      </c>
      <c r="AA81" s="8">
        <v>25</v>
      </c>
      <c r="AB81" s="9">
        <f t="shared" si="26"/>
        <v>200</v>
      </c>
      <c r="AC81" s="18">
        <f t="shared" si="36"/>
        <v>81.881595977371248</v>
      </c>
      <c r="AD81" s="9">
        <f>AB81-AC81</f>
        <v>118.11840402262875</v>
      </c>
      <c r="AE81" s="14">
        <f t="shared" si="38"/>
        <v>5.9059202011314378</v>
      </c>
      <c r="AF81" s="15">
        <f t="shared" si="39"/>
        <v>0.57702052634768819</v>
      </c>
    </row>
    <row r="82" spans="11:32" x14ac:dyDescent="0.25">
      <c r="K82" s="16" t="s">
        <v>109</v>
      </c>
      <c r="L82">
        <v>8169291</v>
      </c>
      <c r="M82">
        <v>136648</v>
      </c>
      <c r="N82">
        <f t="shared" si="28"/>
        <v>59.783465546513668</v>
      </c>
      <c r="P82">
        <f t="shared" si="29"/>
        <v>32.704302815379471</v>
      </c>
      <c r="Q82">
        <f t="shared" si="30"/>
        <v>65.408605630758942</v>
      </c>
      <c r="R82" s="8">
        <v>50</v>
      </c>
      <c r="S82" s="9">
        <f t="shared" si="24"/>
        <v>400</v>
      </c>
      <c r="T82" s="18">
        <f t="shared" si="31"/>
        <v>523.26884504607153</v>
      </c>
      <c r="U82" s="9">
        <f t="shared" si="32"/>
        <v>-123.26884504607153</v>
      </c>
      <c r="V82" s="14">
        <f t="shared" si="33"/>
        <v>-6.163442252303577</v>
      </c>
      <c r="W82" s="14">
        <f>V82/Q82</f>
        <v>-9.422983708133302E-2</v>
      </c>
      <c r="Y82">
        <f t="shared" si="34"/>
        <v>32.704302815379471</v>
      </c>
      <c r="Z82">
        <f t="shared" si="35"/>
        <v>32.704302815379471</v>
      </c>
      <c r="AA82" s="8">
        <v>50</v>
      </c>
      <c r="AB82" s="9">
        <f t="shared" si="26"/>
        <v>400</v>
      </c>
      <c r="AC82" s="18">
        <f t="shared" si="36"/>
        <v>261.63442252303577</v>
      </c>
      <c r="AD82" s="9">
        <f>AB82-AC82</f>
        <v>138.36557747696423</v>
      </c>
      <c r="AE82" s="14">
        <f t="shared" si="38"/>
        <v>6.9182788738482115</v>
      </c>
      <c r="AF82" s="14">
        <f t="shared" si="39"/>
        <v>0.21154032583733395</v>
      </c>
    </row>
    <row r="83" spans="11:32" x14ac:dyDescent="0.25">
      <c r="K83" s="14" t="s">
        <v>110</v>
      </c>
      <c r="L83">
        <v>9621603</v>
      </c>
      <c r="M83">
        <v>226320</v>
      </c>
      <c r="N83">
        <f t="shared" si="28"/>
        <v>42.513268822905623</v>
      </c>
      <c r="P83">
        <f t="shared" si="29"/>
        <v>23.25671160990461</v>
      </c>
      <c r="Q83">
        <f t="shared" si="30"/>
        <v>46.513423219809219</v>
      </c>
      <c r="R83" s="8">
        <v>50</v>
      </c>
      <c r="S83" s="9">
        <f t="shared" si="24"/>
        <v>400</v>
      </c>
      <c r="T83" s="18">
        <f t="shared" si="31"/>
        <v>372.10738575847375</v>
      </c>
      <c r="U83" s="9">
        <f t="shared" si="32"/>
        <v>27.892614241526246</v>
      </c>
      <c r="V83" s="14">
        <f t="shared" si="33"/>
        <v>1.3946307120763124</v>
      </c>
      <c r="W83" s="14">
        <f t="shared" si="25"/>
        <v>2.9983402973496144E-2</v>
      </c>
      <c r="Y83">
        <f t="shared" si="34"/>
        <v>23.25671160990461</v>
      </c>
      <c r="Z83">
        <f t="shared" si="35"/>
        <v>23.25671160990461</v>
      </c>
      <c r="AA83" s="8">
        <v>50</v>
      </c>
      <c r="AB83" s="9">
        <f t="shared" si="26"/>
        <v>400</v>
      </c>
      <c r="AC83" s="18">
        <f t="shared" si="36"/>
        <v>186.05369287923688</v>
      </c>
      <c r="AD83" s="9">
        <f>AB83-AC83</f>
        <v>213.94630712076312</v>
      </c>
      <c r="AE83" s="14">
        <f t="shared" si="38"/>
        <v>10.697315356038157</v>
      </c>
      <c r="AF83" s="14">
        <f t="shared" si="39"/>
        <v>0.4599668059469923</v>
      </c>
    </row>
    <row r="84" spans="11:32" x14ac:dyDescent="0.25">
      <c r="K84" s="14" t="s">
        <v>111</v>
      </c>
      <c r="L84">
        <v>5105882</v>
      </c>
      <c r="M84">
        <v>261092</v>
      </c>
      <c r="N84">
        <f t="shared" si="28"/>
        <v>19.555873025600171</v>
      </c>
      <c r="P84">
        <f t="shared" si="29"/>
        <v>10.697961173741888</v>
      </c>
      <c r="Q84">
        <f t="shared" si="30"/>
        <v>21.395922347483776</v>
      </c>
      <c r="R84" s="8">
        <v>50</v>
      </c>
      <c r="S84" s="9">
        <f t="shared" si="24"/>
        <v>400</v>
      </c>
      <c r="T84" s="18">
        <f t="shared" si="31"/>
        <v>171.16737877987021</v>
      </c>
      <c r="U84" s="9">
        <f t="shared" si="32"/>
        <v>228.83262122012979</v>
      </c>
      <c r="V84" s="14">
        <f t="shared" si="33"/>
        <v>11.44163106100649</v>
      </c>
      <c r="W84" s="14">
        <f t="shared" si="25"/>
        <v>0.53475755217218102</v>
      </c>
      <c r="Y84">
        <f t="shared" si="34"/>
        <v>10.697961173741888</v>
      </c>
      <c r="Z84">
        <f t="shared" si="35"/>
        <v>10.697961173741888</v>
      </c>
      <c r="AA84" s="8">
        <v>50</v>
      </c>
      <c r="AB84" s="9">
        <f t="shared" si="26"/>
        <v>400</v>
      </c>
      <c r="AC84" s="18">
        <f t="shared" si="36"/>
        <v>85.583689389935103</v>
      </c>
      <c r="AD84" s="9">
        <f>AB84-AC84</f>
        <v>314.4163106100649</v>
      </c>
      <c r="AE84" s="14">
        <f t="shared" si="38"/>
        <v>15.720815530503245</v>
      </c>
      <c r="AF84" s="14">
        <f t="shared" si="39"/>
        <v>1.4695151043443622</v>
      </c>
    </row>
    <row r="85" spans="11:32" x14ac:dyDescent="0.25">
      <c r="K85" s="15" t="s">
        <v>112</v>
      </c>
      <c r="L85">
        <v>5160900</v>
      </c>
      <c r="M85">
        <v>229732</v>
      </c>
      <c r="N85">
        <f t="shared" si="28"/>
        <v>22.46487211185207</v>
      </c>
      <c r="P85">
        <f t="shared" si="29"/>
        <v>12.289317347840303</v>
      </c>
      <c r="Q85">
        <f t="shared" si="30"/>
        <v>24.578634695680606</v>
      </c>
      <c r="R85" s="8">
        <v>50</v>
      </c>
      <c r="S85" s="9">
        <f t="shared" si="24"/>
        <v>400</v>
      </c>
      <c r="T85" s="5">
        <f t="shared" si="31"/>
        <v>196.62907756544485</v>
      </c>
      <c r="U85" s="6">
        <f t="shared" si="32"/>
        <v>203.37092243455515</v>
      </c>
      <c r="V85" s="15">
        <f t="shared" si="33"/>
        <v>10.168546121727758</v>
      </c>
      <c r="W85" s="14">
        <f t="shared" si="25"/>
        <v>0.41371484818539395</v>
      </c>
      <c r="Y85">
        <f t="shared" si="34"/>
        <v>12.289317347840303</v>
      </c>
      <c r="Z85">
        <f t="shared" si="35"/>
        <v>12.289317347840303</v>
      </c>
      <c r="AA85" s="8">
        <v>50</v>
      </c>
      <c r="AB85" s="9">
        <f t="shared" si="26"/>
        <v>400</v>
      </c>
      <c r="AC85" s="5">
        <f t="shared" si="36"/>
        <v>98.314538782722423</v>
      </c>
      <c r="AD85" s="6">
        <f>AB85-AC85</f>
        <v>301.68546121727758</v>
      </c>
      <c r="AE85" s="15">
        <f t="shared" si="38"/>
        <v>15.084273060863879</v>
      </c>
      <c r="AF85" s="14">
        <f t="shared" si="39"/>
        <v>1.2274296963707878</v>
      </c>
    </row>
    <row r="86" spans="11:32" x14ac:dyDescent="0.25">
      <c r="W86" s="37">
        <f>AVERAGE(W74:W85)</f>
        <v>0.45604739186113569</v>
      </c>
      <c r="AF86" s="37">
        <f>AVERAGE(AF74:AF85)</f>
        <v>1.3120947837222714</v>
      </c>
    </row>
    <row r="89" spans="11:32" ht="15.75" thickBot="1" x14ac:dyDescent="0.3"/>
    <row r="90" spans="11:32" x14ac:dyDescent="0.25">
      <c r="K90" s="62" t="s">
        <v>101</v>
      </c>
      <c r="L90">
        <f>AVERAGE(L74:L75)</f>
        <v>1764618.5</v>
      </c>
      <c r="M90">
        <f t="shared" ref="M90:AF90" si="40">AVERAGE(M74:M75)</f>
        <v>253683.5</v>
      </c>
      <c r="N90">
        <f t="shared" si="40"/>
        <v>7.0436739161072381</v>
      </c>
      <c r="P90">
        <f t="shared" si="40"/>
        <v>3.8532133020280295</v>
      </c>
      <c r="Q90">
        <f t="shared" si="40"/>
        <v>7.7064266040560589</v>
      </c>
      <c r="R90">
        <f t="shared" si="40"/>
        <v>12.5</v>
      </c>
      <c r="S90">
        <f t="shared" si="40"/>
        <v>100</v>
      </c>
      <c r="T90">
        <f t="shared" si="40"/>
        <v>61.651412832448472</v>
      </c>
      <c r="U90">
        <f t="shared" si="40"/>
        <v>38.348587167551528</v>
      </c>
      <c r="V90">
        <f t="shared" si="40"/>
        <v>1.9174293583775761</v>
      </c>
      <c r="W90">
        <f t="shared" si="40"/>
        <v>0.27365631835450205</v>
      </c>
      <c r="Y90">
        <f t="shared" si="40"/>
        <v>3.8532133020280295</v>
      </c>
      <c r="Z90">
        <f t="shared" si="40"/>
        <v>3.8532133020280295</v>
      </c>
      <c r="AA90">
        <f t="shared" si="40"/>
        <v>12.5</v>
      </c>
      <c r="AB90">
        <f t="shared" si="40"/>
        <v>100</v>
      </c>
      <c r="AC90">
        <f t="shared" si="40"/>
        <v>30.825706416224236</v>
      </c>
      <c r="AD90">
        <f t="shared" si="40"/>
        <v>69.174293583775764</v>
      </c>
      <c r="AE90">
        <f t="shared" si="40"/>
        <v>3.4587146791887884</v>
      </c>
      <c r="AF90">
        <f t="shared" si="40"/>
        <v>0.94731263670900412</v>
      </c>
    </row>
    <row r="91" spans="11:32" x14ac:dyDescent="0.25">
      <c r="K91" s="65" t="s">
        <v>103</v>
      </c>
      <c r="L91">
        <f>AVERAGE(L76:L77)</f>
        <v>1253381</v>
      </c>
      <c r="M91">
        <f t="shared" ref="M91:AF91" si="41">AVERAGE(M76:M77)</f>
        <v>422605.5</v>
      </c>
      <c r="N91">
        <f t="shared" si="41"/>
        <v>2.9713053331493127</v>
      </c>
      <c r="P91">
        <f t="shared" si="41"/>
        <v>1.6254405542392303</v>
      </c>
      <c r="Q91">
        <f t="shared" si="41"/>
        <v>3.2508811084784606</v>
      </c>
      <c r="R91">
        <f t="shared" si="41"/>
        <v>12.5</v>
      </c>
      <c r="S91">
        <f t="shared" si="41"/>
        <v>100</v>
      </c>
      <c r="T91">
        <f t="shared" si="41"/>
        <v>26.007048867827685</v>
      </c>
      <c r="U91">
        <f t="shared" si="41"/>
        <v>73.992951132172323</v>
      </c>
      <c r="V91">
        <f t="shared" si="41"/>
        <v>3.6996475566086158</v>
      </c>
      <c r="W91">
        <f t="shared" si="41"/>
        <v>1.1434879161474214</v>
      </c>
      <c r="Y91">
        <f t="shared" si="41"/>
        <v>1.6254405542392303</v>
      </c>
      <c r="Z91">
        <f t="shared" si="41"/>
        <v>1.6254405542392303</v>
      </c>
      <c r="AA91">
        <f>AVERAGE(AA76:AA77)</f>
        <v>12.5</v>
      </c>
      <c r="AB91">
        <f t="shared" si="41"/>
        <v>100</v>
      </c>
      <c r="AC91">
        <f t="shared" si="41"/>
        <v>13.003524433913842</v>
      </c>
      <c r="AD91">
        <f t="shared" si="41"/>
        <v>86.996475566086161</v>
      </c>
      <c r="AE91">
        <f t="shared" si="41"/>
        <v>4.3498237783043079</v>
      </c>
      <c r="AF91">
        <f t="shared" si="41"/>
        <v>2.6869758322948432</v>
      </c>
    </row>
    <row r="92" spans="11:32" x14ac:dyDescent="0.25">
      <c r="K92" s="37" t="s">
        <v>105</v>
      </c>
      <c r="L92">
        <f>AVERAGE(L78:L79)</f>
        <v>3242907.5</v>
      </c>
      <c r="M92">
        <f t="shared" ref="M92:AF92" si="42">AVERAGE(M78:M79)</f>
        <v>433744</v>
      </c>
      <c r="N92">
        <f t="shared" si="42"/>
        <v>7.4906116266435623</v>
      </c>
      <c r="P92">
        <f t="shared" si="42"/>
        <v>4.0977087673104835</v>
      </c>
      <c r="Q92">
        <f t="shared" si="42"/>
        <v>8.195417534620967</v>
      </c>
      <c r="R92">
        <f t="shared" si="42"/>
        <v>25</v>
      </c>
      <c r="S92">
        <f t="shared" si="42"/>
        <v>200</v>
      </c>
      <c r="T92">
        <f t="shared" si="42"/>
        <v>65.563340276967736</v>
      </c>
      <c r="U92">
        <f t="shared" si="42"/>
        <v>134.43665972303225</v>
      </c>
      <c r="V92">
        <f t="shared" si="42"/>
        <v>6.7218329861516128</v>
      </c>
      <c r="W92">
        <f t="shared" si="42"/>
        <v>0.82042150717371243</v>
      </c>
      <c r="Y92">
        <f t="shared" si="42"/>
        <v>4.0977087673104835</v>
      </c>
      <c r="Z92">
        <f t="shared" si="42"/>
        <v>4.0977087673104835</v>
      </c>
      <c r="AA92">
        <f t="shared" si="42"/>
        <v>25</v>
      </c>
      <c r="AB92">
        <f t="shared" si="42"/>
        <v>200</v>
      </c>
      <c r="AC92">
        <f t="shared" si="42"/>
        <v>32.781670138483868</v>
      </c>
      <c r="AD92">
        <f t="shared" si="42"/>
        <v>167.21832986151611</v>
      </c>
      <c r="AE92">
        <f t="shared" si="42"/>
        <v>8.3609164930758055</v>
      </c>
      <c r="AF92">
        <f t="shared" si="42"/>
        <v>2.0408430143474248</v>
      </c>
    </row>
    <row r="93" spans="11:32" x14ac:dyDescent="0.25">
      <c r="K93" s="14" t="s">
        <v>107</v>
      </c>
      <c r="L93">
        <f>AVERAGE(L80:L81)</f>
        <v>3693493</v>
      </c>
      <c r="M93">
        <f t="shared" ref="M93:AF93" si="43">AVERAGE(M80:M81)</f>
        <v>184408.5</v>
      </c>
      <c r="N93">
        <f t="shared" si="43"/>
        <v>20.115484117766087</v>
      </c>
      <c r="P93">
        <f t="shared" si="43"/>
        <v>11.004094156327184</v>
      </c>
      <c r="Q93">
        <f t="shared" si="43"/>
        <v>22.008188312654369</v>
      </c>
      <c r="R93">
        <f t="shared" si="43"/>
        <v>25</v>
      </c>
      <c r="S93">
        <f t="shared" si="43"/>
        <v>200</v>
      </c>
      <c r="T93">
        <f t="shared" si="43"/>
        <v>176.06550650123495</v>
      </c>
      <c r="U93">
        <f t="shared" si="43"/>
        <v>23.934493498765065</v>
      </c>
      <c r="V93">
        <f t="shared" si="43"/>
        <v>1.1967246749382532</v>
      </c>
      <c r="W93">
        <f t="shared" si="43"/>
        <v>5.6605626366309364E-2</v>
      </c>
      <c r="Y93">
        <f t="shared" si="43"/>
        <v>11.004094156327184</v>
      </c>
      <c r="Z93">
        <f t="shared" si="43"/>
        <v>11.004094156327184</v>
      </c>
      <c r="AA93">
        <f t="shared" si="43"/>
        <v>25</v>
      </c>
      <c r="AB93">
        <f t="shared" si="43"/>
        <v>200</v>
      </c>
      <c r="AC93">
        <f t="shared" si="43"/>
        <v>88.032753250617475</v>
      </c>
      <c r="AD93">
        <f t="shared" si="43"/>
        <v>111.96724674938253</v>
      </c>
      <c r="AE93">
        <f t="shared" si="43"/>
        <v>5.5983623374691263</v>
      </c>
      <c r="AF93">
        <f t="shared" si="43"/>
        <v>0.51321125273261881</v>
      </c>
    </row>
    <row r="94" spans="11:32" x14ac:dyDescent="0.25">
      <c r="K94" s="16" t="s">
        <v>109</v>
      </c>
      <c r="L94">
        <f>AVERAGE(L82:L83)</f>
        <v>8895447</v>
      </c>
      <c r="M94">
        <f t="shared" ref="M94:AF94" si="44">AVERAGE(M82:M83)</f>
        <v>181484</v>
      </c>
      <c r="N94">
        <f t="shared" si="44"/>
        <v>51.148367184709642</v>
      </c>
      <c r="P94">
        <f t="shared" si="44"/>
        <v>27.980507212642038</v>
      </c>
      <c r="Q94">
        <f t="shared" si="44"/>
        <v>55.961014425284077</v>
      </c>
      <c r="R94">
        <f t="shared" si="44"/>
        <v>50</v>
      </c>
      <c r="S94">
        <f t="shared" si="44"/>
        <v>400</v>
      </c>
      <c r="T94">
        <f t="shared" si="44"/>
        <v>447.68811540227262</v>
      </c>
      <c r="U94">
        <f t="shared" si="44"/>
        <v>-47.688115402272643</v>
      </c>
      <c r="V94">
        <f t="shared" si="44"/>
        <v>-2.3844057701136325</v>
      </c>
      <c r="W94">
        <f t="shared" si="44"/>
        <v>-3.2123217053918435E-2</v>
      </c>
      <c r="Y94">
        <f t="shared" si="44"/>
        <v>27.980507212642038</v>
      </c>
      <c r="Z94">
        <f t="shared" si="44"/>
        <v>27.980507212642038</v>
      </c>
      <c r="AA94">
        <f t="shared" si="44"/>
        <v>50</v>
      </c>
      <c r="AB94">
        <f t="shared" si="44"/>
        <v>400</v>
      </c>
      <c r="AC94">
        <f t="shared" si="44"/>
        <v>223.84405770113631</v>
      </c>
      <c r="AD94">
        <f t="shared" si="44"/>
        <v>176.15594229886369</v>
      </c>
      <c r="AE94">
        <f t="shared" si="44"/>
        <v>8.8077971149431846</v>
      </c>
      <c r="AF94">
        <f t="shared" si="44"/>
        <v>0.3357535658921631</v>
      </c>
    </row>
    <row r="95" spans="11:32" x14ac:dyDescent="0.25">
      <c r="K95" s="14" t="s">
        <v>111</v>
      </c>
      <c r="L95">
        <f>AVERAGE(L84:L85)</f>
        <v>5133391</v>
      </c>
      <c r="M95">
        <f t="shared" ref="M95:AF95" si="45">AVERAGE(M84:M85)</f>
        <v>245412</v>
      </c>
      <c r="N95">
        <f t="shared" si="45"/>
        <v>21.010372568726119</v>
      </c>
      <c r="P95">
        <f t="shared" si="45"/>
        <v>11.493639260791095</v>
      </c>
      <c r="Q95">
        <f t="shared" si="45"/>
        <v>22.987278521582191</v>
      </c>
      <c r="R95">
        <f t="shared" si="45"/>
        <v>50</v>
      </c>
      <c r="S95">
        <f t="shared" si="45"/>
        <v>400</v>
      </c>
      <c r="T95">
        <f t="shared" si="45"/>
        <v>183.89822817265753</v>
      </c>
      <c r="U95">
        <f t="shared" si="45"/>
        <v>216.10177182734247</v>
      </c>
      <c r="V95">
        <f t="shared" si="45"/>
        <v>10.805088591367124</v>
      </c>
      <c r="W95">
        <f t="shared" si="45"/>
        <v>0.47423620017878748</v>
      </c>
      <c r="Y95">
        <f t="shared" si="45"/>
        <v>11.493639260791095</v>
      </c>
      <c r="Z95">
        <f t="shared" si="45"/>
        <v>11.493639260791095</v>
      </c>
      <c r="AA95">
        <f t="shared" si="45"/>
        <v>50</v>
      </c>
      <c r="AB95">
        <f t="shared" si="45"/>
        <v>400</v>
      </c>
      <c r="AC95">
        <f t="shared" si="45"/>
        <v>91.949114086328763</v>
      </c>
      <c r="AD95">
        <f t="shared" si="45"/>
        <v>308.05088591367121</v>
      </c>
      <c r="AE95">
        <f t="shared" si="45"/>
        <v>15.402544295683562</v>
      </c>
      <c r="AF95">
        <f t="shared" si="45"/>
        <v>1.348472400357575</v>
      </c>
    </row>
  </sheetData>
  <pageMargins left="0.7" right="0.7" top="0.78740157499999996" bottom="0.78740157499999996" header="0.3" footer="0.3"/>
  <ignoredErrors>
    <ignoredError sqref="L18:P2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Raw_data</vt:lpstr>
      <vt:lpstr>Processing_final</vt:lpstr>
      <vt:lpstr>Lin.Corr.Cs-Caq</vt:lpstr>
      <vt:lpstr>1st processing</vt:lpstr>
      <vt:lpstr>2nd processing</vt:lpstr>
      <vt:lpstr>Tabelle2</vt:lpstr>
      <vt:lpstr>Sorption Competition PCE-PFOA</vt:lpstr>
      <vt:lpstr>Printable</vt:lpstr>
      <vt:lpstr>Calc w. Int. Std.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2021-07-05T07:43:12Z</dcterms:created>
  <dcterms:modified xsi:type="dcterms:W3CDTF">2021-09-15T02:22:55Z</dcterms:modified>
</cp:coreProperties>
</file>