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 Geo\M.Sc\OSLO\MA_PFC\GC-MS\Incub_Exp_A\"/>
    </mc:Choice>
  </mc:AlternateContent>
  <xr:revisionPtr revIDLastSave="0" documentId="13_ncr:1_{ACAB7994-568E-4019-8773-89A1B5A6415B}" xr6:coauthVersionLast="46" xr6:coauthVersionMax="46" xr10:uidLastSave="{00000000-0000-0000-0000-000000000000}"/>
  <bookViews>
    <workbookView xWindow="20370" yWindow="-120" windowWidth="29040" windowHeight="15840" activeTab="1" xr2:uid="{F816F8C5-1ABC-4167-89E3-62B2C792F82A}"/>
  </bookViews>
  <sheets>
    <sheet name="Raw" sheetId="1" r:id="rId1"/>
    <sheet name="Processing_final" sheetId="3" r:id="rId2"/>
    <sheet name="Processing1" sheetId="2" r:id="rId3"/>
    <sheet name="Proces_final_wo_drif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89" i="3" l="1"/>
  <c r="AN5" i="3" l="1"/>
  <c r="AP5" i="3"/>
  <c r="AO5" i="3"/>
  <c r="AG22" i="5"/>
  <c r="AJ24" i="5"/>
  <c r="AL24" i="5" s="1"/>
  <c r="AN24" i="5" s="1"/>
  <c r="AX98" i="5" l="1"/>
  <c r="AX97" i="5"/>
  <c r="AX96" i="5"/>
  <c r="AX95" i="5"/>
  <c r="AY95" i="5" s="1"/>
  <c r="BE95" i="5" s="1"/>
  <c r="AX94" i="5"/>
  <c r="AX93" i="5"/>
  <c r="AX92" i="5"/>
  <c r="AX91" i="5"/>
  <c r="AY91" i="5" s="1"/>
  <c r="BE91" i="5" s="1"/>
  <c r="AX90" i="5"/>
  <c r="AX89" i="5"/>
  <c r="AX88" i="5"/>
  <c r="AX87" i="5"/>
  <c r="AY87" i="5" s="1"/>
  <c r="BE87" i="5" s="1"/>
  <c r="AX86" i="5"/>
  <c r="AX85" i="5"/>
  <c r="AX84" i="5"/>
  <c r="AX83" i="5"/>
  <c r="AY83" i="5" s="1"/>
  <c r="BE83" i="5" s="1"/>
  <c r="AX82" i="5"/>
  <c r="AX75" i="5"/>
  <c r="AX74" i="5"/>
  <c r="AX73" i="5"/>
  <c r="AY73" i="5" s="1"/>
  <c r="BE73" i="5" s="1"/>
  <c r="AX72" i="5"/>
  <c r="AX71" i="5"/>
  <c r="AX70" i="5"/>
  <c r="AX69" i="5"/>
  <c r="AY69" i="5" s="1"/>
  <c r="AX68" i="5"/>
  <c r="AX67" i="5"/>
  <c r="AX66" i="5"/>
  <c r="AX65" i="5"/>
  <c r="AY65" i="5" s="1"/>
  <c r="BE65" i="5" s="1"/>
  <c r="AX64" i="5"/>
  <c r="AX63" i="5"/>
  <c r="AX62" i="5"/>
  <c r="AX61" i="5"/>
  <c r="AY61" i="5" s="1"/>
  <c r="BE61" i="5" s="1"/>
  <c r="AX60" i="5"/>
  <c r="AX59" i="5"/>
  <c r="AX52" i="5"/>
  <c r="AX51" i="5"/>
  <c r="AY51" i="5" s="1"/>
  <c r="BE51" i="5" s="1"/>
  <c r="AX50" i="5"/>
  <c r="AX49" i="5"/>
  <c r="AX48" i="5"/>
  <c r="AX47" i="5"/>
  <c r="AY47" i="5" s="1"/>
  <c r="BE47" i="5" s="1"/>
  <c r="AX46" i="5"/>
  <c r="AX45" i="5"/>
  <c r="AX44" i="5"/>
  <c r="AX43" i="5"/>
  <c r="AY43" i="5" s="1"/>
  <c r="BE43" i="5" s="1"/>
  <c r="AX42" i="5"/>
  <c r="AX41" i="5"/>
  <c r="AX40" i="5"/>
  <c r="AX39" i="5"/>
  <c r="AY39" i="5" s="1"/>
  <c r="BE39" i="5" s="1"/>
  <c r="AX38" i="5"/>
  <c r="AX37" i="5"/>
  <c r="AX36" i="5"/>
  <c r="AX29" i="5"/>
  <c r="AY29" i="5" s="1"/>
  <c r="BE29" i="5" s="1"/>
  <c r="AX28" i="5"/>
  <c r="AX27" i="5"/>
  <c r="AX26" i="5"/>
  <c r="AX25" i="5"/>
  <c r="AY25" i="5" s="1"/>
  <c r="BE25" i="5" s="1"/>
  <c r="AX24" i="5"/>
  <c r="AX23" i="5"/>
  <c r="AX21" i="5"/>
  <c r="AY21" i="5" s="1"/>
  <c r="BE21" i="5" s="1"/>
  <c r="AX20" i="5"/>
  <c r="AX19" i="5"/>
  <c r="AX18" i="5"/>
  <c r="AX17" i="5"/>
  <c r="AY17" i="5" s="1"/>
  <c r="BE17" i="5" s="1"/>
  <c r="AX16" i="5"/>
  <c r="AX15" i="5"/>
  <c r="AX14" i="5"/>
  <c r="AX13" i="5"/>
  <c r="AY13" i="5" s="1"/>
  <c r="BE13" i="5" s="1"/>
  <c r="AT98" i="5"/>
  <c r="AT97" i="5"/>
  <c r="AT96" i="5"/>
  <c r="AU96" i="5" s="1"/>
  <c r="BC96" i="5" s="1"/>
  <c r="AT95" i="5"/>
  <c r="AU95" i="5" s="1"/>
  <c r="BC95" i="5" s="1"/>
  <c r="AT94" i="5"/>
  <c r="AT93" i="5"/>
  <c r="AT92" i="5"/>
  <c r="AU92" i="5" s="1"/>
  <c r="AT91" i="5"/>
  <c r="AU91" i="5" s="1"/>
  <c r="BC91" i="5" s="1"/>
  <c r="AT90" i="5"/>
  <c r="AT89" i="5"/>
  <c r="AT88" i="5"/>
  <c r="AT87" i="5"/>
  <c r="AU87" i="5" s="1"/>
  <c r="BC87" i="5" s="1"/>
  <c r="AT86" i="5"/>
  <c r="AT85" i="5"/>
  <c r="AT84" i="5"/>
  <c r="AT83" i="5"/>
  <c r="AU83" i="5" s="1"/>
  <c r="BC83" i="5" s="1"/>
  <c r="AT82" i="5"/>
  <c r="AT75" i="5"/>
  <c r="AT74" i="5"/>
  <c r="AU74" i="5" s="1"/>
  <c r="BC74" i="5" s="1"/>
  <c r="AT73" i="5"/>
  <c r="AU73" i="5" s="1"/>
  <c r="BC73" i="5" s="1"/>
  <c r="AT72" i="5"/>
  <c r="AT71" i="5"/>
  <c r="AT70" i="5"/>
  <c r="AU70" i="5" s="1"/>
  <c r="BC70" i="5" s="1"/>
  <c r="AT69" i="5"/>
  <c r="AU69" i="5" s="1"/>
  <c r="AT68" i="5"/>
  <c r="AT67" i="5"/>
  <c r="AT66" i="5"/>
  <c r="AT65" i="5"/>
  <c r="AU65" i="5" s="1"/>
  <c r="BC65" i="5" s="1"/>
  <c r="AT64" i="5"/>
  <c r="AT63" i="5"/>
  <c r="AT62" i="5"/>
  <c r="AU62" i="5" s="1"/>
  <c r="BC62" i="5" s="1"/>
  <c r="AT61" i="5"/>
  <c r="AU61" i="5" s="1"/>
  <c r="BC61" i="5" s="1"/>
  <c r="AT60" i="5"/>
  <c r="AT59" i="5"/>
  <c r="AT52" i="5"/>
  <c r="AU52" i="5" s="1"/>
  <c r="BC52" i="5" s="1"/>
  <c r="AT51" i="5"/>
  <c r="AU51" i="5" s="1"/>
  <c r="BC51" i="5" s="1"/>
  <c r="AT50" i="5"/>
  <c r="AT49" i="5"/>
  <c r="AT48" i="5"/>
  <c r="AU48" i="5" s="1"/>
  <c r="BC48" i="5" s="1"/>
  <c r="AT47" i="5"/>
  <c r="AU47" i="5" s="1"/>
  <c r="BC47" i="5" s="1"/>
  <c r="AT46" i="5"/>
  <c r="AT45" i="5"/>
  <c r="AT44" i="5"/>
  <c r="AU44" i="5" s="1"/>
  <c r="BC44" i="5" s="1"/>
  <c r="AT43" i="5"/>
  <c r="AU43" i="5" s="1"/>
  <c r="BC43" i="5" s="1"/>
  <c r="AT42" i="5"/>
  <c r="AT41" i="5"/>
  <c r="AT40" i="5"/>
  <c r="AU40" i="5" s="1"/>
  <c r="BC40" i="5" s="1"/>
  <c r="AT39" i="5"/>
  <c r="AU39" i="5" s="1"/>
  <c r="BC39" i="5" s="1"/>
  <c r="AT38" i="5"/>
  <c r="AT37" i="5"/>
  <c r="AT36" i="5"/>
  <c r="AU36" i="5" s="1"/>
  <c r="AT35" i="5"/>
  <c r="AU35" i="5" s="1"/>
  <c r="AT34" i="5"/>
  <c r="AT33" i="5"/>
  <c r="AT29" i="5"/>
  <c r="AU29" i="5" s="1"/>
  <c r="BC29" i="5" s="1"/>
  <c r="AT28" i="5"/>
  <c r="AU28" i="5" s="1"/>
  <c r="BC28" i="5" s="1"/>
  <c r="AT27" i="5"/>
  <c r="AT26" i="5"/>
  <c r="AT25" i="5"/>
  <c r="AT24" i="5"/>
  <c r="AU24" i="5" s="1"/>
  <c r="AT23" i="5"/>
  <c r="AT21" i="5"/>
  <c r="AU21" i="5" s="1"/>
  <c r="BC21" i="5" s="1"/>
  <c r="AT20" i="5"/>
  <c r="AU20" i="5" s="1"/>
  <c r="BC20" i="5" s="1"/>
  <c r="AT19" i="5"/>
  <c r="AT18" i="5"/>
  <c r="AT17" i="5"/>
  <c r="AU17" i="5" s="1"/>
  <c r="BC17" i="5" s="1"/>
  <c r="AT16" i="5"/>
  <c r="AU16" i="5" s="1"/>
  <c r="BC16" i="5" s="1"/>
  <c r="AT15" i="5"/>
  <c r="AT14" i="5"/>
  <c r="AT13" i="5"/>
  <c r="AU13" i="5" s="1"/>
  <c r="BC13" i="5" s="1"/>
  <c r="AU26" i="5"/>
  <c r="BC26" i="5" s="1"/>
  <c r="BF98" i="5"/>
  <c r="BD98" i="5"/>
  <c r="BF97" i="5"/>
  <c r="BD97" i="5"/>
  <c r="BF96" i="5"/>
  <c r="BD96" i="5"/>
  <c r="BF95" i="5"/>
  <c r="BD95" i="5"/>
  <c r="BF94" i="5"/>
  <c r="BD94" i="5"/>
  <c r="BF93" i="5"/>
  <c r="BD93" i="5"/>
  <c r="BF91" i="5"/>
  <c r="BD91" i="5"/>
  <c r="BF90" i="5"/>
  <c r="BD90" i="5"/>
  <c r="BF89" i="5"/>
  <c r="BD89" i="5"/>
  <c r="BF88" i="5"/>
  <c r="BD88" i="5"/>
  <c r="BF87" i="5"/>
  <c r="BD87" i="5"/>
  <c r="BF86" i="5"/>
  <c r="BD86" i="5"/>
  <c r="BF85" i="5"/>
  <c r="BD85" i="5"/>
  <c r="BF84" i="5"/>
  <c r="BD84" i="5"/>
  <c r="BF83" i="5"/>
  <c r="BN49" i="5" s="1"/>
  <c r="BD83" i="5"/>
  <c r="BF82" i="5"/>
  <c r="BD82" i="5"/>
  <c r="BF81" i="5"/>
  <c r="BD81" i="5"/>
  <c r="BC81" i="5"/>
  <c r="BF80" i="5"/>
  <c r="BD80" i="5"/>
  <c r="BC80" i="5"/>
  <c r="BF79" i="5"/>
  <c r="BD79" i="5"/>
  <c r="BC79" i="5"/>
  <c r="BF75" i="5"/>
  <c r="BD75" i="5"/>
  <c r="BF74" i="5"/>
  <c r="BD74" i="5"/>
  <c r="BF73" i="5"/>
  <c r="BD73" i="5"/>
  <c r="BF72" i="5"/>
  <c r="BD72" i="5"/>
  <c r="BF71" i="5"/>
  <c r="BD71" i="5"/>
  <c r="BF70" i="5"/>
  <c r="BD70" i="5"/>
  <c r="BF68" i="5"/>
  <c r="BD68" i="5"/>
  <c r="BF67" i="5"/>
  <c r="BD67" i="5"/>
  <c r="BF66" i="5"/>
  <c r="BD66" i="5"/>
  <c r="BF65" i="5"/>
  <c r="BD65" i="5"/>
  <c r="BF64" i="5"/>
  <c r="BD64" i="5"/>
  <c r="BF63" i="5"/>
  <c r="BD63" i="5"/>
  <c r="BF62" i="5"/>
  <c r="BD62" i="5"/>
  <c r="BF61" i="5"/>
  <c r="BD61" i="5"/>
  <c r="BF60" i="5"/>
  <c r="BD60" i="5"/>
  <c r="BF59" i="5"/>
  <c r="BD59" i="5"/>
  <c r="BL47" i="5" s="1"/>
  <c r="BF52" i="5"/>
  <c r="BD52" i="5"/>
  <c r="BF51" i="5"/>
  <c r="BD51" i="5"/>
  <c r="BF50" i="5"/>
  <c r="BD50" i="5"/>
  <c r="BF49" i="5"/>
  <c r="BD49" i="5"/>
  <c r="BF48" i="5"/>
  <c r="BD48" i="5"/>
  <c r="BF47" i="5"/>
  <c r="BN53" i="5" s="1"/>
  <c r="BD47" i="5"/>
  <c r="BF45" i="5"/>
  <c r="BD45" i="5"/>
  <c r="BF44" i="5"/>
  <c r="BD44" i="5"/>
  <c r="BF43" i="5"/>
  <c r="BD43" i="5"/>
  <c r="BF42" i="5"/>
  <c r="BD42" i="5"/>
  <c r="BF41" i="5"/>
  <c r="BD41" i="5"/>
  <c r="BL51" i="5" s="1"/>
  <c r="BF40" i="5"/>
  <c r="BN51" i="5" s="1"/>
  <c r="BD40" i="5"/>
  <c r="BF39" i="5"/>
  <c r="BD39" i="5"/>
  <c r="BF29" i="5"/>
  <c r="BD29" i="5"/>
  <c r="BF28" i="5"/>
  <c r="BD28" i="5"/>
  <c r="BF27" i="5"/>
  <c r="BD27" i="5"/>
  <c r="BF26" i="5"/>
  <c r="BD26" i="5"/>
  <c r="BF25" i="5"/>
  <c r="BD25" i="5"/>
  <c r="BF24" i="5"/>
  <c r="BF23" i="5"/>
  <c r="BD23" i="5"/>
  <c r="BF21" i="5"/>
  <c r="BD21" i="5"/>
  <c r="BF20" i="5"/>
  <c r="BD20" i="5"/>
  <c r="BF19" i="5"/>
  <c r="BD19" i="5"/>
  <c r="BF18" i="5"/>
  <c r="BD18" i="5"/>
  <c r="BF17" i="5"/>
  <c r="BD17" i="5"/>
  <c r="BF16" i="5"/>
  <c r="BD16" i="5"/>
  <c r="BF15" i="5"/>
  <c r="BD15" i="5"/>
  <c r="BF14" i="5"/>
  <c r="BD14" i="5"/>
  <c r="BF13" i="5"/>
  <c r="BD13" i="5"/>
  <c r="BL53" i="5"/>
  <c r="BL49" i="5"/>
  <c r="BN47" i="5"/>
  <c r="BN84" i="5"/>
  <c r="BM84" i="5"/>
  <c r="BL84" i="5"/>
  <c r="BK84" i="5"/>
  <c r="BN82" i="5"/>
  <c r="BM82" i="5"/>
  <c r="BL82" i="5"/>
  <c r="BK82" i="5"/>
  <c r="BN79" i="5"/>
  <c r="BM79" i="5"/>
  <c r="BL79" i="5"/>
  <c r="BK79" i="5"/>
  <c r="BN77" i="5"/>
  <c r="BM77" i="5"/>
  <c r="BL77" i="5"/>
  <c r="BK77" i="5"/>
  <c r="BN74" i="5"/>
  <c r="BM74" i="5"/>
  <c r="BL74" i="5"/>
  <c r="BK74" i="5"/>
  <c r="BN72" i="5"/>
  <c r="BM72" i="5"/>
  <c r="BL72" i="5"/>
  <c r="BK72" i="5"/>
  <c r="BN70" i="5"/>
  <c r="BM70" i="5"/>
  <c r="BL70" i="5"/>
  <c r="BK70" i="5"/>
  <c r="BN68" i="5"/>
  <c r="BM68" i="5"/>
  <c r="BL68" i="5"/>
  <c r="BK68" i="5"/>
  <c r="BA72" i="3"/>
  <c r="AX69" i="3"/>
  <c r="AY69" i="3" s="1"/>
  <c r="AX46" i="3"/>
  <c r="AY46" i="3" s="1"/>
  <c r="AX23" i="3"/>
  <c r="AY23" i="3" s="1"/>
  <c r="AX92" i="3"/>
  <c r="AY92" i="3" s="1"/>
  <c r="AT92" i="3"/>
  <c r="AU92" i="3" s="1"/>
  <c r="AT69" i="3"/>
  <c r="AU69" i="3" s="1"/>
  <c r="AT23" i="3"/>
  <c r="AU23" i="3" s="1"/>
  <c r="AT33" i="3"/>
  <c r="AU33" i="3" s="1"/>
  <c r="AT34" i="3"/>
  <c r="AU34" i="3" s="1"/>
  <c r="AT35" i="3"/>
  <c r="AU35" i="3" s="1"/>
  <c r="AT46" i="3"/>
  <c r="AU46" i="3" s="1"/>
  <c r="AO50" i="5"/>
  <c r="AN50" i="5"/>
  <c r="AN40" i="5"/>
  <c r="AL40" i="5"/>
  <c r="AK14" i="5"/>
  <c r="AJ14" i="5"/>
  <c r="AH80" i="5"/>
  <c r="AI80" i="5"/>
  <c r="AH81" i="5"/>
  <c r="AI81" i="5"/>
  <c r="AH82" i="5"/>
  <c r="AI82" i="5"/>
  <c r="AH83" i="5"/>
  <c r="AI83" i="5"/>
  <c r="AH84" i="5"/>
  <c r="AI84" i="5"/>
  <c r="AH85" i="5"/>
  <c r="AI85" i="5"/>
  <c r="AH86" i="5"/>
  <c r="AI86" i="5"/>
  <c r="AH87" i="5"/>
  <c r="AI87" i="5"/>
  <c r="AH88" i="5"/>
  <c r="AI88" i="5"/>
  <c r="AH89" i="5"/>
  <c r="AI89" i="5"/>
  <c r="AH90" i="5"/>
  <c r="AI90" i="5"/>
  <c r="AH91" i="5"/>
  <c r="AI91" i="5"/>
  <c r="AH92" i="5"/>
  <c r="AI92" i="5"/>
  <c r="AH93" i="5"/>
  <c r="AI93" i="5"/>
  <c r="AH94" i="5"/>
  <c r="AI94" i="5"/>
  <c r="AH95" i="5"/>
  <c r="AI95" i="5"/>
  <c r="AH96" i="5"/>
  <c r="AI96" i="5"/>
  <c r="AH97" i="5"/>
  <c r="AI97" i="5"/>
  <c r="AH98" i="5"/>
  <c r="AI98" i="5"/>
  <c r="AI79" i="5"/>
  <c r="AH79" i="5"/>
  <c r="AH57" i="5"/>
  <c r="AI57" i="5"/>
  <c r="AH58" i="5"/>
  <c r="AI58" i="5"/>
  <c r="AH59" i="5"/>
  <c r="AI59" i="5"/>
  <c r="AH60" i="5"/>
  <c r="AI60" i="5"/>
  <c r="AH61" i="5"/>
  <c r="AI61" i="5"/>
  <c r="AH62" i="5"/>
  <c r="AI62" i="5"/>
  <c r="AH63" i="5"/>
  <c r="AI63" i="5"/>
  <c r="AH64" i="5"/>
  <c r="AI64" i="5"/>
  <c r="AH65" i="5"/>
  <c r="AI65" i="5"/>
  <c r="AH66" i="5"/>
  <c r="AI66" i="5"/>
  <c r="AH67" i="5"/>
  <c r="AI67" i="5"/>
  <c r="AH68" i="5"/>
  <c r="AI68" i="5"/>
  <c r="AH69" i="5"/>
  <c r="AI69" i="5"/>
  <c r="AH70" i="5"/>
  <c r="AI70" i="5"/>
  <c r="AH71" i="5"/>
  <c r="AI71" i="5"/>
  <c r="AH72" i="5"/>
  <c r="AI72" i="5"/>
  <c r="AH73" i="5"/>
  <c r="AI73" i="5"/>
  <c r="AH74" i="5"/>
  <c r="AI74" i="5"/>
  <c r="AH75" i="5"/>
  <c r="AI75" i="5"/>
  <c r="AI56" i="5"/>
  <c r="AH56" i="5"/>
  <c r="AH34" i="5"/>
  <c r="AI34" i="5"/>
  <c r="AH35" i="5"/>
  <c r="AI35" i="5"/>
  <c r="AH36" i="5"/>
  <c r="AI36" i="5"/>
  <c r="AH37" i="5"/>
  <c r="AI37" i="5"/>
  <c r="AH38" i="5"/>
  <c r="AI38" i="5"/>
  <c r="AH39" i="5"/>
  <c r="AI39" i="5"/>
  <c r="AH40" i="5"/>
  <c r="AI40" i="5"/>
  <c r="AH41" i="5"/>
  <c r="AI41" i="5"/>
  <c r="AH42" i="5"/>
  <c r="AI42" i="5"/>
  <c r="AH43" i="5"/>
  <c r="AI43" i="5"/>
  <c r="AH44" i="5"/>
  <c r="AI44" i="5"/>
  <c r="AH45" i="5"/>
  <c r="AI45" i="5"/>
  <c r="AH46" i="5"/>
  <c r="AI46" i="5"/>
  <c r="AH47" i="5"/>
  <c r="AI47" i="5"/>
  <c r="AH48" i="5"/>
  <c r="AI48" i="5"/>
  <c r="AH49" i="5"/>
  <c r="AI49" i="5"/>
  <c r="AH50" i="5"/>
  <c r="AI50" i="5"/>
  <c r="AH51" i="5"/>
  <c r="AI51" i="5"/>
  <c r="AH52" i="5"/>
  <c r="AI52" i="5"/>
  <c r="AI33" i="5"/>
  <c r="AH33" i="5"/>
  <c r="AH11" i="5"/>
  <c r="AI11" i="5"/>
  <c r="AH12" i="5"/>
  <c r="AI12" i="5"/>
  <c r="AH13" i="5"/>
  <c r="AI13" i="5"/>
  <c r="AH14" i="5"/>
  <c r="AI14" i="5"/>
  <c r="AH15" i="5"/>
  <c r="AI15" i="5"/>
  <c r="AH16" i="5"/>
  <c r="AI16" i="5"/>
  <c r="AH17" i="5"/>
  <c r="AI17" i="5"/>
  <c r="AH18" i="5"/>
  <c r="AI18" i="5"/>
  <c r="AH19" i="5"/>
  <c r="AI19" i="5"/>
  <c r="AH20" i="5"/>
  <c r="AI20" i="5"/>
  <c r="AH21" i="5"/>
  <c r="AI21" i="5"/>
  <c r="AH22" i="5"/>
  <c r="AI22" i="5"/>
  <c r="AH23" i="5"/>
  <c r="AI23" i="5"/>
  <c r="AH24" i="5"/>
  <c r="AI24" i="5"/>
  <c r="AH25" i="5"/>
  <c r="AI25" i="5"/>
  <c r="AH26" i="5"/>
  <c r="AI26" i="5"/>
  <c r="AH27" i="5"/>
  <c r="AI27" i="5"/>
  <c r="AH28" i="5"/>
  <c r="AI28" i="5"/>
  <c r="AH29" i="5"/>
  <c r="AI29" i="5"/>
  <c r="AI10" i="5"/>
  <c r="AH10" i="5"/>
  <c r="AG10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79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56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33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10" i="5"/>
  <c r="P10" i="5"/>
  <c r="P8" i="5"/>
  <c r="P53" i="5"/>
  <c r="O52" i="5"/>
  <c r="O53" i="5"/>
  <c r="O54" i="5"/>
  <c r="O55" i="5"/>
  <c r="O56" i="5"/>
  <c r="O57" i="5"/>
  <c r="O58" i="5"/>
  <c r="O59" i="5"/>
  <c r="P55" i="5" s="1"/>
  <c r="O60" i="5"/>
  <c r="O51" i="5"/>
  <c r="O38" i="5"/>
  <c r="O39" i="5"/>
  <c r="O40" i="5"/>
  <c r="O41" i="5"/>
  <c r="O42" i="5"/>
  <c r="O43" i="5"/>
  <c r="O44" i="5"/>
  <c r="O45" i="5"/>
  <c r="P38" i="5" s="1"/>
  <c r="O46" i="5"/>
  <c r="O37" i="5"/>
  <c r="O23" i="5"/>
  <c r="O24" i="5"/>
  <c r="O25" i="5"/>
  <c r="O26" i="5"/>
  <c r="O27" i="5"/>
  <c r="O28" i="5"/>
  <c r="O29" i="5"/>
  <c r="O30" i="5"/>
  <c r="P25" i="5" s="1"/>
  <c r="O31" i="5"/>
  <c r="O32" i="5"/>
  <c r="O22" i="5"/>
  <c r="O9" i="5"/>
  <c r="O10" i="5"/>
  <c r="O11" i="5"/>
  <c r="O12" i="5"/>
  <c r="O13" i="5"/>
  <c r="O14" i="5"/>
  <c r="O15" i="5"/>
  <c r="O16" i="5"/>
  <c r="O17" i="5"/>
  <c r="O8" i="5"/>
  <c r="I139" i="5"/>
  <c r="I138" i="5"/>
  <c r="I137" i="5"/>
  <c r="I136" i="5"/>
  <c r="I134" i="5"/>
  <c r="I132" i="5"/>
  <c r="I131" i="5"/>
  <c r="I130" i="5"/>
  <c r="I129" i="5"/>
  <c r="I127" i="5"/>
  <c r="I126" i="5"/>
  <c r="I125" i="5"/>
  <c r="I124" i="5"/>
  <c r="I123" i="5"/>
  <c r="I121" i="5"/>
  <c r="I120" i="5"/>
  <c r="I119" i="5"/>
  <c r="I118" i="5"/>
  <c r="I117" i="5"/>
  <c r="I116" i="5"/>
  <c r="I104" i="5"/>
  <c r="I103" i="5"/>
  <c r="I102" i="5"/>
  <c r="I101" i="5"/>
  <c r="I99" i="5"/>
  <c r="BA98" i="5"/>
  <c r="AY98" i="5"/>
  <c r="BE98" i="5" s="1"/>
  <c r="AW98" i="5"/>
  <c r="AU98" i="5"/>
  <c r="BC98" i="5" s="1"/>
  <c r="AS98" i="5"/>
  <c r="BA97" i="5"/>
  <c r="AY97" i="5"/>
  <c r="BE97" i="5" s="1"/>
  <c r="AW97" i="5"/>
  <c r="AU97" i="5"/>
  <c r="BC97" i="5" s="1"/>
  <c r="AS97" i="5"/>
  <c r="I97" i="5"/>
  <c r="BA96" i="5"/>
  <c r="AY96" i="5"/>
  <c r="BE96" i="5" s="1"/>
  <c r="AW96" i="5"/>
  <c r="AS96" i="5"/>
  <c r="AG96" i="5"/>
  <c r="I96" i="5"/>
  <c r="BA95" i="5"/>
  <c r="AW95" i="5"/>
  <c r="AS95" i="5"/>
  <c r="I95" i="5"/>
  <c r="BA94" i="5"/>
  <c r="AY94" i="5"/>
  <c r="BE94" i="5" s="1"/>
  <c r="AW94" i="5"/>
  <c r="AU94" i="5"/>
  <c r="BC94" i="5" s="1"/>
  <c r="AS94" i="5"/>
  <c r="I94" i="5"/>
  <c r="BA93" i="5"/>
  <c r="AY93" i="5"/>
  <c r="BE93" i="5" s="1"/>
  <c r="AW93" i="5"/>
  <c r="AU93" i="5"/>
  <c r="BC93" i="5" s="1"/>
  <c r="AS93" i="5"/>
  <c r="BA92" i="5"/>
  <c r="AY92" i="5"/>
  <c r="AW92" i="5"/>
  <c r="AS92" i="5"/>
  <c r="AM92" i="5"/>
  <c r="AL92" i="5"/>
  <c r="BA91" i="5"/>
  <c r="AW91" i="5"/>
  <c r="AS91" i="5"/>
  <c r="I91" i="5"/>
  <c r="BA90" i="5"/>
  <c r="AY90" i="5"/>
  <c r="BE90" i="5" s="1"/>
  <c r="AW90" i="5"/>
  <c r="AU90" i="5"/>
  <c r="BC90" i="5" s="1"/>
  <c r="AS90" i="5"/>
  <c r="I90" i="5"/>
  <c r="BA89" i="5"/>
  <c r="AY89" i="5"/>
  <c r="BE89" i="5" s="1"/>
  <c r="AW89" i="5"/>
  <c r="AU89" i="5"/>
  <c r="BC89" i="5" s="1"/>
  <c r="AS89" i="5"/>
  <c r="AG89" i="5"/>
  <c r="I89" i="5"/>
  <c r="BA88" i="5"/>
  <c r="AY88" i="5"/>
  <c r="BE88" i="5" s="1"/>
  <c r="AW88" i="5"/>
  <c r="AU88" i="5"/>
  <c r="BC88" i="5" s="1"/>
  <c r="AS88" i="5"/>
  <c r="I88" i="5"/>
  <c r="BA87" i="5"/>
  <c r="AW87" i="5"/>
  <c r="AS87" i="5"/>
  <c r="I87" i="5"/>
  <c r="BA86" i="5"/>
  <c r="AY86" i="5"/>
  <c r="BE86" i="5" s="1"/>
  <c r="AW86" i="5"/>
  <c r="AU86" i="5"/>
  <c r="BC86" i="5" s="1"/>
  <c r="AS86" i="5"/>
  <c r="I86" i="5"/>
  <c r="AY85" i="5"/>
  <c r="BE85" i="5" s="1"/>
  <c r="AU85" i="5"/>
  <c r="BC85" i="5" s="1"/>
  <c r="AS85" i="5"/>
  <c r="I85" i="5"/>
  <c r="AY84" i="5"/>
  <c r="BE84" i="5" s="1"/>
  <c r="AU84" i="5"/>
  <c r="BC84" i="5" s="1"/>
  <c r="AS84" i="5"/>
  <c r="I84" i="5"/>
  <c r="AS83" i="5"/>
  <c r="I83" i="5"/>
  <c r="AY82" i="5"/>
  <c r="BE82" i="5" s="1"/>
  <c r="AU82" i="5"/>
  <c r="BC82" i="5" s="1"/>
  <c r="AS82" i="5"/>
  <c r="I82" i="5"/>
  <c r="BA81" i="5"/>
  <c r="AY81" i="5"/>
  <c r="BE81" i="5" s="1"/>
  <c r="AW81" i="5"/>
  <c r="AU81" i="5"/>
  <c r="AS81" i="5"/>
  <c r="AM81" i="5"/>
  <c r="AL81" i="5"/>
  <c r="AG81" i="5"/>
  <c r="I81" i="5"/>
  <c r="BA80" i="5"/>
  <c r="AY80" i="5"/>
  <c r="BE80" i="5" s="1"/>
  <c r="AW80" i="5"/>
  <c r="AU80" i="5"/>
  <c r="AS80" i="5"/>
  <c r="AM80" i="5"/>
  <c r="AL80" i="5"/>
  <c r="AG80" i="5"/>
  <c r="BA79" i="5"/>
  <c r="AY79" i="5"/>
  <c r="BE79" i="5" s="1"/>
  <c r="AW79" i="5"/>
  <c r="AU79" i="5"/>
  <c r="AS79" i="5"/>
  <c r="AM79" i="5"/>
  <c r="AL79" i="5"/>
  <c r="BA75" i="5"/>
  <c r="AY75" i="5"/>
  <c r="BE75" i="5" s="1"/>
  <c r="AW75" i="5"/>
  <c r="AU75" i="5"/>
  <c r="BC75" i="5" s="1"/>
  <c r="AS75" i="5"/>
  <c r="BA74" i="5"/>
  <c r="AY74" i="5"/>
  <c r="BE74" i="5" s="1"/>
  <c r="AW74" i="5"/>
  <c r="AS74" i="5"/>
  <c r="BA73" i="5"/>
  <c r="AW73" i="5"/>
  <c r="AS73" i="5"/>
  <c r="BA72" i="5"/>
  <c r="AY72" i="5"/>
  <c r="BE72" i="5" s="1"/>
  <c r="AW72" i="5"/>
  <c r="AU72" i="5"/>
  <c r="BC72" i="5" s="1"/>
  <c r="AS72" i="5"/>
  <c r="BA71" i="5"/>
  <c r="AY71" i="5"/>
  <c r="BE71" i="5" s="1"/>
  <c r="AW71" i="5"/>
  <c r="AU71" i="5"/>
  <c r="BC71" i="5" s="1"/>
  <c r="AS71" i="5"/>
  <c r="BA70" i="5"/>
  <c r="AY70" i="5"/>
  <c r="BE70" i="5" s="1"/>
  <c r="AW70" i="5"/>
  <c r="AS70" i="5"/>
  <c r="BA69" i="5"/>
  <c r="AW69" i="5"/>
  <c r="AS69" i="5"/>
  <c r="AM69" i="5"/>
  <c r="AL69" i="5"/>
  <c r="I69" i="5"/>
  <c r="BA68" i="5"/>
  <c r="AY68" i="5"/>
  <c r="BE68" i="5" s="1"/>
  <c r="AW68" i="5"/>
  <c r="AU68" i="5"/>
  <c r="BC68" i="5" s="1"/>
  <c r="AS68" i="5"/>
  <c r="AG68" i="5"/>
  <c r="I68" i="5"/>
  <c r="BA67" i="5"/>
  <c r="AY67" i="5"/>
  <c r="BE67" i="5" s="1"/>
  <c r="AW67" i="5"/>
  <c r="AU67" i="5"/>
  <c r="BC67" i="5" s="1"/>
  <c r="AS67" i="5"/>
  <c r="I67" i="5"/>
  <c r="BA66" i="5"/>
  <c r="AY66" i="5"/>
  <c r="BE66" i="5" s="1"/>
  <c r="AW66" i="5"/>
  <c r="AU66" i="5"/>
  <c r="BC66" i="5" s="1"/>
  <c r="AS66" i="5"/>
  <c r="I66" i="5"/>
  <c r="BA65" i="5"/>
  <c r="AW65" i="5"/>
  <c r="AS65" i="5"/>
  <c r="I65" i="5"/>
  <c r="BA64" i="5"/>
  <c r="AY64" i="5"/>
  <c r="BE64" i="5" s="1"/>
  <c r="AW64" i="5"/>
  <c r="AU64" i="5"/>
  <c r="BC64" i="5" s="1"/>
  <c r="AS64" i="5"/>
  <c r="I64" i="5"/>
  <c r="BA63" i="5"/>
  <c r="AY63" i="5"/>
  <c r="BE63" i="5" s="1"/>
  <c r="AW63" i="5"/>
  <c r="AU63" i="5"/>
  <c r="BC63" i="5" s="1"/>
  <c r="AS63" i="5"/>
  <c r="AY62" i="5"/>
  <c r="BE62" i="5" s="1"/>
  <c r="AS62" i="5"/>
  <c r="I62" i="5"/>
  <c r="AS61" i="5"/>
  <c r="AG61" i="5"/>
  <c r="I61" i="5"/>
  <c r="AY60" i="5"/>
  <c r="BE60" i="5" s="1"/>
  <c r="AU60" i="5"/>
  <c r="BC60" i="5" s="1"/>
  <c r="AS60" i="5"/>
  <c r="S60" i="5"/>
  <c r="R60" i="5"/>
  <c r="I60" i="5"/>
  <c r="AY59" i="5"/>
  <c r="BE59" i="5" s="1"/>
  <c r="AU59" i="5"/>
  <c r="BC59" i="5" s="1"/>
  <c r="AS59" i="5"/>
  <c r="S59" i="5"/>
  <c r="R59" i="5"/>
  <c r="I59" i="5"/>
  <c r="BA58" i="5"/>
  <c r="AY58" i="5"/>
  <c r="AW58" i="5"/>
  <c r="AU58" i="5"/>
  <c r="AS58" i="5"/>
  <c r="AM58" i="5"/>
  <c r="AL58" i="5"/>
  <c r="S58" i="5"/>
  <c r="R58" i="5"/>
  <c r="I58" i="5"/>
  <c r="BA57" i="5"/>
  <c r="AY57" i="5"/>
  <c r="AW57" i="5"/>
  <c r="AU57" i="5"/>
  <c r="AS57" i="5"/>
  <c r="AM57" i="5"/>
  <c r="AL57" i="5"/>
  <c r="S57" i="5"/>
  <c r="R57" i="5"/>
  <c r="I57" i="5"/>
  <c r="BA56" i="5"/>
  <c r="AY56" i="5"/>
  <c r="AW56" i="5"/>
  <c r="AU56" i="5"/>
  <c r="AS56" i="5"/>
  <c r="AM56" i="5"/>
  <c r="AL56" i="5"/>
  <c r="S56" i="5"/>
  <c r="R56" i="5"/>
  <c r="I56" i="5"/>
  <c r="S55" i="5"/>
  <c r="R55" i="5"/>
  <c r="I55" i="5"/>
  <c r="S54" i="5"/>
  <c r="R54" i="5"/>
  <c r="P54" i="5"/>
  <c r="I54" i="5"/>
  <c r="S53" i="5"/>
  <c r="R53" i="5"/>
  <c r="I53" i="5"/>
  <c r="AY52" i="5"/>
  <c r="BE52" i="5" s="1"/>
  <c r="AS52" i="5"/>
  <c r="S52" i="5"/>
  <c r="R52" i="5"/>
  <c r="AS51" i="5"/>
  <c r="S51" i="5"/>
  <c r="R51" i="5"/>
  <c r="I51" i="5"/>
  <c r="AY50" i="5"/>
  <c r="BE50" i="5" s="1"/>
  <c r="AU50" i="5"/>
  <c r="BC50" i="5" s="1"/>
  <c r="AS50" i="5"/>
  <c r="I50" i="5"/>
  <c r="AY49" i="5"/>
  <c r="BE49" i="5" s="1"/>
  <c r="AU49" i="5"/>
  <c r="BC49" i="5" s="1"/>
  <c r="AS49" i="5"/>
  <c r="I49" i="5"/>
  <c r="AY48" i="5"/>
  <c r="BE48" i="5" s="1"/>
  <c r="AS48" i="5"/>
  <c r="I48" i="5"/>
  <c r="AS47" i="5"/>
  <c r="I47" i="5"/>
  <c r="AZ46" i="5"/>
  <c r="BA46" i="5" s="1"/>
  <c r="AY46" i="5"/>
  <c r="AV46" i="5"/>
  <c r="AW46" i="5" s="1"/>
  <c r="AU46" i="5"/>
  <c r="AS46" i="5"/>
  <c r="AM46" i="5"/>
  <c r="AL46" i="5"/>
  <c r="S46" i="5"/>
  <c r="R46" i="5"/>
  <c r="I46" i="5"/>
  <c r="AY45" i="5"/>
  <c r="BE45" i="5" s="1"/>
  <c r="AU45" i="5"/>
  <c r="BC45" i="5" s="1"/>
  <c r="AS45" i="5"/>
  <c r="S45" i="5"/>
  <c r="R45" i="5"/>
  <c r="I45" i="5"/>
  <c r="AY44" i="5"/>
  <c r="BE44" i="5" s="1"/>
  <c r="AS44" i="5"/>
  <c r="S44" i="5"/>
  <c r="R44" i="5"/>
  <c r="I44" i="5"/>
  <c r="AS43" i="5"/>
  <c r="S43" i="5"/>
  <c r="R43" i="5"/>
  <c r="AY42" i="5"/>
  <c r="BE42" i="5" s="1"/>
  <c r="AU42" i="5"/>
  <c r="BC42" i="5" s="1"/>
  <c r="AS42" i="5"/>
  <c r="S42" i="5"/>
  <c r="R42" i="5"/>
  <c r="AY41" i="5"/>
  <c r="BE41" i="5" s="1"/>
  <c r="AU41" i="5"/>
  <c r="BC41" i="5" s="1"/>
  <c r="AS41" i="5"/>
  <c r="S41" i="5"/>
  <c r="R41" i="5"/>
  <c r="AY40" i="5"/>
  <c r="BE40" i="5" s="1"/>
  <c r="AS40" i="5"/>
  <c r="S40" i="5"/>
  <c r="R40" i="5"/>
  <c r="AS39" i="5"/>
  <c r="S39" i="5"/>
  <c r="R39" i="5"/>
  <c r="AY38" i="5"/>
  <c r="AU38" i="5"/>
  <c r="AS38" i="5"/>
  <c r="S38" i="5"/>
  <c r="R38" i="5"/>
  <c r="AY37" i="5"/>
  <c r="AU37" i="5"/>
  <c r="AS37" i="5"/>
  <c r="S37" i="5"/>
  <c r="R37" i="5"/>
  <c r="AY36" i="5"/>
  <c r="AS36" i="5"/>
  <c r="BA35" i="5"/>
  <c r="AY35" i="5"/>
  <c r="AW35" i="5"/>
  <c r="AS35" i="5"/>
  <c r="AM35" i="5"/>
  <c r="AL35" i="5"/>
  <c r="AG40" i="5"/>
  <c r="BA34" i="5"/>
  <c r="AY34" i="5"/>
  <c r="AW34" i="5"/>
  <c r="AU34" i="5"/>
  <c r="AS34" i="5"/>
  <c r="AM34" i="5"/>
  <c r="AL34" i="5"/>
  <c r="BA33" i="5"/>
  <c r="AY33" i="5"/>
  <c r="AW33" i="5"/>
  <c r="AU33" i="5"/>
  <c r="AS33" i="5"/>
  <c r="AM33" i="5"/>
  <c r="AL33" i="5"/>
  <c r="AG39" i="5"/>
  <c r="S32" i="5"/>
  <c r="R32" i="5"/>
  <c r="I32" i="5"/>
  <c r="S31" i="5"/>
  <c r="R31" i="5"/>
  <c r="I31" i="5"/>
  <c r="S30" i="5"/>
  <c r="R30" i="5"/>
  <c r="I30" i="5"/>
  <c r="AS29" i="5"/>
  <c r="S29" i="5"/>
  <c r="R29" i="5"/>
  <c r="I29" i="5"/>
  <c r="AY28" i="5"/>
  <c r="BE28" i="5" s="1"/>
  <c r="AS28" i="5"/>
  <c r="S28" i="5"/>
  <c r="R28" i="5"/>
  <c r="I28" i="5"/>
  <c r="AY27" i="5"/>
  <c r="BE27" i="5" s="1"/>
  <c r="AU27" i="5"/>
  <c r="BC27" i="5" s="1"/>
  <c r="AS27" i="5"/>
  <c r="S27" i="5"/>
  <c r="R27" i="5"/>
  <c r="I27" i="5"/>
  <c r="AY26" i="5"/>
  <c r="BE26" i="5" s="1"/>
  <c r="AS26" i="5"/>
  <c r="S26" i="5"/>
  <c r="R26" i="5"/>
  <c r="I26" i="5"/>
  <c r="AU25" i="5"/>
  <c r="BC25" i="5" s="1"/>
  <c r="AS25" i="5"/>
  <c r="AG25" i="5"/>
  <c r="S25" i="5"/>
  <c r="R25" i="5"/>
  <c r="I25" i="5"/>
  <c r="AY24" i="5"/>
  <c r="BE24" i="5" s="1"/>
  <c r="AS24" i="5"/>
  <c r="S24" i="5"/>
  <c r="R24" i="5"/>
  <c r="I24" i="5"/>
  <c r="BA23" i="5"/>
  <c r="AY23" i="5"/>
  <c r="BE23" i="5" s="1"/>
  <c r="AW23" i="5"/>
  <c r="AU23" i="5"/>
  <c r="BC23" i="5" s="1"/>
  <c r="AS23" i="5"/>
  <c r="AM23" i="5"/>
  <c r="AL23" i="5"/>
  <c r="AG23" i="5"/>
  <c r="S23" i="5"/>
  <c r="R23" i="5"/>
  <c r="I23" i="5"/>
  <c r="AS22" i="5"/>
  <c r="S22" i="5"/>
  <c r="R22" i="5"/>
  <c r="I22" i="5"/>
  <c r="AS21" i="5"/>
  <c r="I21" i="5"/>
  <c r="AY20" i="5"/>
  <c r="BE20" i="5" s="1"/>
  <c r="AS20" i="5"/>
  <c r="I20" i="5"/>
  <c r="AY19" i="5"/>
  <c r="BE19" i="5" s="1"/>
  <c r="AU19" i="5"/>
  <c r="BC19" i="5" s="1"/>
  <c r="AS19" i="5"/>
  <c r="I19" i="5"/>
  <c r="AY18" i="5"/>
  <c r="BE18" i="5" s="1"/>
  <c r="AU18" i="5"/>
  <c r="BC18" i="5" s="1"/>
  <c r="AS18" i="5"/>
  <c r="I18" i="5"/>
  <c r="AS17" i="5"/>
  <c r="S17" i="5"/>
  <c r="R17" i="5"/>
  <c r="I17" i="5"/>
  <c r="AY16" i="5"/>
  <c r="BE16" i="5" s="1"/>
  <c r="AS16" i="5"/>
  <c r="S16" i="5"/>
  <c r="R16" i="5"/>
  <c r="I16" i="5"/>
  <c r="AY15" i="5"/>
  <c r="BE15" i="5" s="1"/>
  <c r="AU15" i="5"/>
  <c r="BC15" i="5" s="1"/>
  <c r="AS15" i="5"/>
  <c r="S15" i="5"/>
  <c r="R15" i="5"/>
  <c r="I15" i="5"/>
  <c r="AY14" i="5"/>
  <c r="BE14" i="5" s="1"/>
  <c r="AU14" i="5"/>
  <c r="BC14" i="5" s="1"/>
  <c r="AS14" i="5"/>
  <c r="S14" i="5"/>
  <c r="R14" i="5"/>
  <c r="I14" i="5"/>
  <c r="AS13" i="5"/>
  <c r="AG13" i="5"/>
  <c r="S13" i="5"/>
  <c r="R13" i="5"/>
  <c r="P13" i="5"/>
  <c r="I13" i="5"/>
  <c r="AS12" i="5"/>
  <c r="AM12" i="5"/>
  <c r="AL12" i="5"/>
  <c r="S12" i="5"/>
  <c r="R12" i="5"/>
  <c r="I12" i="5"/>
  <c r="AS11" i="5"/>
  <c r="AM11" i="5"/>
  <c r="AL11" i="5"/>
  <c r="S11" i="5"/>
  <c r="R11" i="5"/>
  <c r="I11" i="5"/>
  <c r="AS10" i="5"/>
  <c r="AM10" i="5"/>
  <c r="AL10" i="5"/>
  <c r="AG29" i="5"/>
  <c r="S10" i="5"/>
  <c r="R10" i="5"/>
  <c r="I10" i="5"/>
  <c r="S9" i="5"/>
  <c r="R9" i="5"/>
  <c r="I9" i="5"/>
  <c r="S8" i="5"/>
  <c r="R8" i="5"/>
  <c r="I8" i="5"/>
  <c r="I7" i="5"/>
  <c r="AO5" i="5"/>
  <c r="AP4" i="5"/>
  <c r="AP5" i="5" s="1"/>
  <c r="AO4" i="5"/>
  <c r="AN4" i="5"/>
  <c r="AN5" i="5" s="1"/>
  <c r="BA98" i="3"/>
  <c r="BA97" i="3"/>
  <c r="BA96" i="3"/>
  <c r="BA95" i="3"/>
  <c r="BA94" i="3"/>
  <c r="BA93" i="3"/>
  <c r="BA92" i="3"/>
  <c r="BA91" i="3"/>
  <c r="BA90" i="3"/>
  <c r="BA88" i="3"/>
  <c r="BA87" i="3"/>
  <c r="BA86" i="3"/>
  <c r="BA81" i="3"/>
  <c r="BA80" i="3"/>
  <c r="BA79" i="3"/>
  <c r="BA75" i="3"/>
  <c r="BA74" i="3"/>
  <c r="BA73" i="3"/>
  <c r="BA71" i="3"/>
  <c r="BA70" i="3"/>
  <c r="BA69" i="3"/>
  <c r="BA68" i="3"/>
  <c r="BA67" i="3"/>
  <c r="BA66" i="3"/>
  <c r="BA65" i="3"/>
  <c r="BA64" i="3"/>
  <c r="BA63" i="3"/>
  <c r="BA58" i="3"/>
  <c r="BA57" i="3"/>
  <c r="BA56" i="3"/>
  <c r="BA35" i="3"/>
  <c r="BA34" i="3"/>
  <c r="BA33" i="3"/>
  <c r="BA23" i="3"/>
  <c r="AY81" i="3"/>
  <c r="AY80" i="3"/>
  <c r="AY79" i="3"/>
  <c r="AY58" i="3"/>
  <c r="AY57" i="3"/>
  <c r="AY56" i="3"/>
  <c r="AY35" i="3"/>
  <c r="AY34" i="3"/>
  <c r="AY33" i="3"/>
  <c r="AU81" i="3"/>
  <c r="AU80" i="3"/>
  <c r="AU79" i="3"/>
  <c r="AU58" i="3"/>
  <c r="AU57" i="3"/>
  <c r="AU56" i="3"/>
  <c r="AW23" i="3"/>
  <c r="AW33" i="3"/>
  <c r="AW34" i="3"/>
  <c r="AW35" i="3"/>
  <c r="AW56" i="3"/>
  <c r="AW57" i="3"/>
  <c r="AW58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9" i="3"/>
  <c r="AW80" i="3"/>
  <c r="AW81" i="3"/>
  <c r="AZ46" i="3"/>
  <c r="BA46" i="3" s="1"/>
  <c r="AV46" i="3"/>
  <c r="AW46" i="3" s="1"/>
  <c r="AS10" i="3"/>
  <c r="AS11" i="3"/>
  <c r="AS12" i="3"/>
  <c r="AS33" i="3"/>
  <c r="AS34" i="3"/>
  <c r="AS35" i="3"/>
  <c r="AS56" i="3"/>
  <c r="AS57" i="3"/>
  <c r="AS58" i="3"/>
  <c r="AS79" i="3"/>
  <c r="BC79" i="3" s="1"/>
  <c r="AS80" i="3"/>
  <c r="AS81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86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63" i="3"/>
  <c r="AS85" i="3"/>
  <c r="AS84" i="3"/>
  <c r="AS83" i="3"/>
  <c r="AS82" i="3"/>
  <c r="AS62" i="3"/>
  <c r="AS61" i="3"/>
  <c r="AS60" i="3"/>
  <c r="AS59" i="3"/>
  <c r="AS14" i="3"/>
  <c r="AS15" i="3"/>
  <c r="AS16" i="3"/>
  <c r="AS17" i="3"/>
  <c r="AS18" i="3"/>
  <c r="AS19" i="3"/>
  <c r="AS20" i="3"/>
  <c r="AS21" i="3"/>
  <c r="AS22" i="3"/>
  <c r="AS23" i="3"/>
  <c r="BF23" i="3" s="1"/>
  <c r="AS24" i="3"/>
  <c r="AS25" i="3"/>
  <c r="AS26" i="3"/>
  <c r="AS27" i="3"/>
  <c r="AS28" i="3"/>
  <c r="AS29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13" i="3"/>
  <c r="AL11" i="3"/>
  <c r="AM11" i="3"/>
  <c r="AL12" i="3"/>
  <c r="AM12" i="3"/>
  <c r="AL23" i="3"/>
  <c r="AM23" i="3"/>
  <c r="AL33" i="3"/>
  <c r="AM33" i="3"/>
  <c r="AL34" i="3"/>
  <c r="AM34" i="3"/>
  <c r="AL35" i="3"/>
  <c r="AM35" i="3"/>
  <c r="AL46" i="3"/>
  <c r="AL56" i="3"/>
  <c r="AM56" i="3"/>
  <c r="AL57" i="3"/>
  <c r="AM57" i="3"/>
  <c r="AL58" i="3"/>
  <c r="AM58" i="3"/>
  <c r="AL69" i="3"/>
  <c r="AM69" i="3"/>
  <c r="AL79" i="3"/>
  <c r="AM79" i="3"/>
  <c r="AL80" i="3"/>
  <c r="AM80" i="3"/>
  <c r="AL81" i="3"/>
  <c r="AM81" i="3"/>
  <c r="AL92" i="3"/>
  <c r="AM92" i="3"/>
  <c r="AM10" i="3"/>
  <c r="AL10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79" i="3"/>
  <c r="AF56" i="3"/>
  <c r="AF33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10" i="3"/>
  <c r="AP4" i="3"/>
  <c r="AO4" i="3"/>
  <c r="AN4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8" i="3"/>
  <c r="S8" i="3"/>
  <c r="O52" i="3"/>
  <c r="O53" i="3"/>
  <c r="O54" i="3"/>
  <c r="O55" i="3"/>
  <c r="O56" i="3"/>
  <c r="O57" i="3"/>
  <c r="O58" i="3"/>
  <c r="O59" i="3"/>
  <c r="O60" i="3"/>
  <c r="O51" i="3"/>
  <c r="O38" i="3"/>
  <c r="O39" i="3"/>
  <c r="O40" i="3"/>
  <c r="O41" i="3"/>
  <c r="O42" i="3"/>
  <c r="O43" i="3"/>
  <c r="O44" i="3"/>
  <c r="O45" i="3"/>
  <c r="O46" i="3"/>
  <c r="O37" i="3"/>
  <c r="O23" i="3"/>
  <c r="O24" i="3"/>
  <c r="O25" i="3"/>
  <c r="O26" i="3"/>
  <c r="O27" i="3"/>
  <c r="O28" i="3"/>
  <c r="O29" i="3"/>
  <c r="O30" i="3"/>
  <c r="O31" i="3"/>
  <c r="O32" i="3"/>
  <c r="O22" i="3"/>
  <c r="O9" i="3"/>
  <c r="O10" i="3"/>
  <c r="O11" i="3"/>
  <c r="O12" i="3"/>
  <c r="O13" i="3"/>
  <c r="O14" i="3"/>
  <c r="O15" i="3"/>
  <c r="O16" i="3"/>
  <c r="O17" i="3"/>
  <c r="O8" i="3"/>
  <c r="I139" i="3"/>
  <c r="I138" i="3"/>
  <c r="I137" i="3"/>
  <c r="I136" i="3"/>
  <c r="I134" i="3"/>
  <c r="I132" i="3"/>
  <c r="I131" i="3"/>
  <c r="I130" i="3"/>
  <c r="I129" i="3"/>
  <c r="I127" i="3"/>
  <c r="I126" i="3"/>
  <c r="I125" i="3"/>
  <c r="I124" i="3"/>
  <c r="I123" i="3"/>
  <c r="I121" i="3"/>
  <c r="I120" i="3"/>
  <c r="I119" i="3"/>
  <c r="I118" i="3"/>
  <c r="I117" i="3"/>
  <c r="I116" i="3"/>
  <c r="I104" i="3"/>
  <c r="I103" i="3"/>
  <c r="I102" i="3"/>
  <c r="I101" i="3"/>
  <c r="I99" i="3"/>
  <c r="I97" i="3"/>
  <c r="I96" i="3"/>
  <c r="I95" i="3"/>
  <c r="I94" i="3"/>
  <c r="I91" i="3"/>
  <c r="I90" i="3"/>
  <c r="I89" i="3"/>
  <c r="I88" i="3"/>
  <c r="I87" i="3"/>
  <c r="I86" i="3"/>
  <c r="I85" i="3"/>
  <c r="I84" i="3"/>
  <c r="I83" i="3"/>
  <c r="I82" i="3"/>
  <c r="I81" i="3"/>
  <c r="I69" i="3"/>
  <c r="I68" i="3"/>
  <c r="I67" i="3"/>
  <c r="I66" i="3"/>
  <c r="I65" i="3"/>
  <c r="I64" i="3"/>
  <c r="I62" i="3"/>
  <c r="I61" i="3"/>
  <c r="I60" i="3"/>
  <c r="I59" i="3"/>
  <c r="I58" i="3"/>
  <c r="I57" i="3"/>
  <c r="I56" i="3"/>
  <c r="I55" i="3"/>
  <c r="I54" i="3"/>
  <c r="I53" i="3"/>
  <c r="I51" i="3"/>
  <c r="I50" i="3"/>
  <c r="I49" i="3"/>
  <c r="I48" i="3"/>
  <c r="I47" i="3"/>
  <c r="I46" i="3"/>
  <c r="I45" i="3"/>
  <c r="I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7" i="3"/>
  <c r="BE81" i="3" l="1"/>
  <c r="BM47" i="5"/>
  <c r="BK63" i="5"/>
  <c r="BM61" i="5"/>
  <c r="BM53" i="5"/>
  <c r="BM56" i="5"/>
  <c r="BM58" i="5"/>
  <c r="BM49" i="5"/>
  <c r="BM51" i="5"/>
  <c r="BM63" i="5"/>
  <c r="BK53" i="5"/>
  <c r="BK61" i="5"/>
  <c r="BK56" i="5"/>
  <c r="BK49" i="5"/>
  <c r="BK51" i="5"/>
  <c r="BK58" i="5"/>
  <c r="BK47" i="5"/>
  <c r="AW92" i="3"/>
  <c r="BC23" i="3"/>
  <c r="BE23" i="3"/>
  <c r="BF80" i="3"/>
  <c r="BE80" i="3"/>
  <c r="BC80" i="3"/>
  <c r="BE79" i="3"/>
  <c r="P43" i="3"/>
  <c r="AG34" i="3"/>
  <c r="AH34" i="3" s="1"/>
  <c r="BD81" i="3"/>
  <c r="BC81" i="3"/>
  <c r="P45" i="5"/>
  <c r="P40" i="5"/>
  <c r="P29" i="5"/>
  <c r="P31" i="5"/>
  <c r="P23" i="5"/>
  <c r="AG35" i="5"/>
  <c r="P39" i="5"/>
  <c r="AG72" i="5"/>
  <c r="AG73" i="5"/>
  <c r="AG71" i="5"/>
  <c r="AG62" i="5"/>
  <c r="AG60" i="5"/>
  <c r="AG58" i="5"/>
  <c r="AG56" i="5"/>
  <c r="AG74" i="5"/>
  <c r="AG70" i="5"/>
  <c r="AG69" i="5"/>
  <c r="AG67" i="5"/>
  <c r="AG65" i="5"/>
  <c r="AG63" i="5"/>
  <c r="AG59" i="5"/>
  <c r="AG57" i="5"/>
  <c r="AG66" i="5"/>
  <c r="AG75" i="5"/>
  <c r="AG64" i="5"/>
  <c r="AG51" i="5"/>
  <c r="AG49" i="5"/>
  <c r="AG47" i="5"/>
  <c r="AG46" i="5"/>
  <c r="AG44" i="5"/>
  <c r="AG41" i="5"/>
  <c r="AG37" i="5"/>
  <c r="AG52" i="5"/>
  <c r="AG48" i="5"/>
  <c r="AG33" i="5"/>
  <c r="AG50" i="5"/>
  <c r="AG45" i="5"/>
  <c r="AG43" i="5"/>
  <c r="AG42" i="5"/>
  <c r="AG36" i="5"/>
  <c r="AG38" i="5"/>
  <c r="P16" i="5"/>
  <c r="P14" i="5"/>
  <c r="P11" i="5"/>
  <c r="P9" i="5"/>
  <c r="P17" i="5"/>
  <c r="AG28" i="5"/>
  <c r="AG26" i="5"/>
  <c r="AG24" i="5"/>
  <c r="AG20" i="5"/>
  <c r="AG18" i="5"/>
  <c r="AG16" i="5"/>
  <c r="AG14" i="5"/>
  <c r="AG27" i="5"/>
  <c r="AG19" i="5"/>
  <c r="AG11" i="5"/>
  <c r="AG21" i="5"/>
  <c r="AG17" i="5"/>
  <c r="P12" i="5"/>
  <c r="AG12" i="5"/>
  <c r="P15" i="5"/>
  <c r="AG15" i="5"/>
  <c r="AG34" i="5"/>
  <c r="P30" i="5"/>
  <c r="P28" i="5"/>
  <c r="P26" i="5"/>
  <c r="P24" i="5"/>
  <c r="P22" i="5"/>
  <c r="P42" i="5"/>
  <c r="AG94" i="5"/>
  <c r="AG90" i="5"/>
  <c r="AG86" i="5"/>
  <c r="AG85" i="5"/>
  <c r="AG83" i="5"/>
  <c r="AG98" i="5"/>
  <c r="AG97" i="5"/>
  <c r="AG93" i="5"/>
  <c r="AG91" i="5"/>
  <c r="AG95" i="5"/>
  <c r="AG88" i="5"/>
  <c r="AG87" i="5"/>
  <c r="AG84" i="5"/>
  <c r="AG92" i="5"/>
  <c r="P27" i="5"/>
  <c r="P32" i="5"/>
  <c r="P43" i="5"/>
  <c r="AG79" i="5"/>
  <c r="AG82" i="5"/>
  <c r="P60" i="5"/>
  <c r="P58" i="5"/>
  <c r="P56" i="5"/>
  <c r="P51" i="5"/>
  <c r="P46" i="5"/>
  <c r="P44" i="5"/>
  <c r="P41" i="5"/>
  <c r="P37" i="5"/>
  <c r="P52" i="5"/>
  <c r="P57" i="5"/>
  <c r="P59" i="5"/>
  <c r="BF79" i="3"/>
  <c r="BD80" i="3"/>
  <c r="P8" i="3"/>
  <c r="P28" i="3"/>
  <c r="P40" i="3"/>
  <c r="AG73" i="3"/>
  <c r="AH73" i="3" s="1"/>
  <c r="BF81" i="3"/>
  <c r="BD79" i="3"/>
  <c r="AG57" i="3"/>
  <c r="AH57" i="3" s="1"/>
  <c r="BD23" i="3"/>
  <c r="AG33" i="3"/>
  <c r="AI33" i="3" s="1"/>
  <c r="AG65" i="3"/>
  <c r="AI65" i="3" s="1"/>
  <c r="AG47" i="3"/>
  <c r="AI47" i="3" s="1"/>
  <c r="AG17" i="3"/>
  <c r="AH17" i="3" s="1"/>
  <c r="AG80" i="3"/>
  <c r="AI80" i="3" s="1"/>
  <c r="AG39" i="3"/>
  <c r="AH39" i="3" s="1"/>
  <c r="AI34" i="3"/>
  <c r="AG58" i="3"/>
  <c r="AI58" i="3" s="1"/>
  <c r="AG23" i="3"/>
  <c r="AH23" i="3" s="1"/>
  <c r="AG46" i="3"/>
  <c r="AI46" i="3" s="1"/>
  <c r="AG38" i="3"/>
  <c r="AI38" i="3" s="1"/>
  <c r="AG70" i="3"/>
  <c r="AH70" i="3" s="1"/>
  <c r="AG92" i="3"/>
  <c r="AI92" i="3" s="1"/>
  <c r="P26" i="3"/>
  <c r="P45" i="3"/>
  <c r="AG26" i="3"/>
  <c r="AI26" i="3" s="1"/>
  <c r="AG51" i="3"/>
  <c r="AG43" i="3"/>
  <c r="AG35" i="3"/>
  <c r="AH35" i="3" s="1"/>
  <c r="AG84" i="3"/>
  <c r="AI84" i="3" s="1"/>
  <c r="AG59" i="3"/>
  <c r="AI59" i="3" s="1"/>
  <c r="AG50" i="3"/>
  <c r="AG42" i="3"/>
  <c r="AI42" i="3" s="1"/>
  <c r="AG62" i="3"/>
  <c r="AH62" i="3" s="1"/>
  <c r="P56" i="3"/>
  <c r="AH80" i="3"/>
  <c r="P15" i="3"/>
  <c r="P22" i="3"/>
  <c r="P29" i="3"/>
  <c r="P25" i="3"/>
  <c r="AI73" i="3"/>
  <c r="P14" i="3"/>
  <c r="P32" i="3"/>
  <c r="P24" i="3"/>
  <c r="P39" i="3"/>
  <c r="AG11" i="3"/>
  <c r="AG15" i="3"/>
  <c r="AG19" i="3"/>
  <c r="AG24" i="3"/>
  <c r="AG29" i="3"/>
  <c r="AG27" i="3"/>
  <c r="AG12" i="3"/>
  <c r="AG16" i="3"/>
  <c r="AG20" i="3"/>
  <c r="AG25" i="3"/>
  <c r="AG10" i="3"/>
  <c r="AG89" i="3"/>
  <c r="P17" i="3"/>
  <c r="P13" i="3"/>
  <c r="P9" i="3"/>
  <c r="P31" i="3"/>
  <c r="P27" i="3"/>
  <c r="P23" i="3"/>
  <c r="P51" i="3"/>
  <c r="P53" i="3"/>
  <c r="AG21" i="3"/>
  <c r="AG13" i="3"/>
  <c r="AG69" i="3"/>
  <c r="AG61" i="3"/>
  <c r="AG96" i="3"/>
  <c r="AG88" i="3"/>
  <c r="P11" i="3"/>
  <c r="P57" i="3"/>
  <c r="P37" i="3"/>
  <c r="P41" i="3"/>
  <c r="P38" i="3"/>
  <c r="P10" i="3"/>
  <c r="P44" i="3"/>
  <c r="AG82" i="3"/>
  <c r="AG86" i="3"/>
  <c r="AG90" i="3"/>
  <c r="AG94" i="3"/>
  <c r="AG98" i="3"/>
  <c r="AG83" i="3"/>
  <c r="AG87" i="3"/>
  <c r="AG91" i="3"/>
  <c r="AG95" i="3"/>
  <c r="AG79" i="3"/>
  <c r="AG22" i="3"/>
  <c r="AG14" i="3"/>
  <c r="AG97" i="3"/>
  <c r="AG81" i="3"/>
  <c r="P54" i="3"/>
  <c r="P58" i="3"/>
  <c r="P55" i="3"/>
  <c r="P59" i="3"/>
  <c r="P16" i="3"/>
  <c r="P12" i="3"/>
  <c r="P30" i="3"/>
  <c r="P46" i="3"/>
  <c r="P42" i="3"/>
  <c r="P60" i="3"/>
  <c r="P52" i="3"/>
  <c r="AG36" i="3"/>
  <c r="AG28" i="3"/>
  <c r="AG18" i="3"/>
  <c r="AG74" i="3"/>
  <c r="AG66" i="3"/>
  <c r="AG93" i="3"/>
  <c r="AG85" i="3"/>
  <c r="AG49" i="3"/>
  <c r="AG45" i="3"/>
  <c r="AG41" i="3"/>
  <c r="AG37" i="3"/>
  <c r="AG56" i="3"/>
  <c r="AG72" i="3"/>
  <c r="AG68" i="3"/>
  <c r="AG64" i="3"/>
  <c r="AG60" i="3"/>
  <c r="AG52" i="3"/>
  <c r="AG48" i="3"/>
  <c r="AG44" i="3"/>
  <c r="AG40" i="3"/>
  <c r="AG75" i="3"/>
  <c r="AG71" i="3"/>
  <c r="AG67" i="3"/>
  <c r="AG63" i="3"/>
  <c r="AH26" i="2"/>
  <c r="AH27" i="2"/>
  <c r="AH44" i="2"/>
  <c r="AH45" i="2"/>
  <c r="Z25" i="2"/>
  <c r="W21" i="2"/>
  <c r="W31" i="2"/>
  <c r="W39" i="2"/>
  <c r="W49" i="2"/>
  <c r="W57" i="2"/>
  <c r="Z4" i="2"/>
  <c r="Z5" i="2" s="1"/>
  <c r="Y4" i="2"/>
  <c r="Y5" i="2" s="1"/>
  <c r="X4" i="2"/>
  <c r="X5" i="2" s="1"/>
  <c r="AM12" i="2"/>
  <c r="AN12" i="2"/>
  <c r="AL12" i="2"/>
  <c r="AM11" i="2"/>
  <c r="AN11" i="2"/>
  <c r="AN13" i="2" s="1"/>
  <c r="AL11" i="2"/>
  <c r="AK13" i="2"/>
  <c r="AM13" i="2"/>
  <c r="AL13" i="2"/>
  <c r="U18" i="2"/>
  <c r="U36" i="2"/>
  <c r="U54" i="2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W53" i="2" s="1"/>
  <c r="T54" i="2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46" i="2"/>
  <c r="U46" i="2" s="1"/>
  <c r="T29" i="2"/>
  <c r="U29" i="2" s="1"/>
  <c r="T30" i="2"/>
  <c r="U30" i="2" s="1"/>
  <c r="T31" i="2"/>
  <c r="U31" i="2" s="1"/>
  <c r="AB31" i="2" s="1"/>
  <c r="T32" i="2"/>
  <c r="U32" i="2" s="1"/>
  <c r="T33" i="2"/>
  <c r="U33" i="2" s="1"/>
  <c r="T34" i="2"/>
  <c r="U34" i="2" s="1"/>
  <c r="T35" i="2"/>
  <c r="U35" i="2" s="1"/>
  <c r="W35" i="2" s="1"/>
  <c r="T36" i="2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28" i="2"/>
  <c r="U28" i="2" s="1"/>
  <c r="T11" i="2"/>
  <c r="U11" i="2" s="1"/>
  <c r="T12" i="2"/>
  <c r="U12" i="2" s="1"/>
  <c r="T13" i="2"/>
  <c r="U13" i="2" s="1"/>
  <c r="AB13" i="2" s="1"/>
  <c r="AC13" i="2" s="1"/>
  <c r="T14" i="2"/>
  <c r="U14" i="2" s="1"/>
  <c r="T15" i="2"/>
  <c r="U15" i="2" s="1"/>
  <c r="T16" i="2"/>
  <c r="U16" i="2" s="1"/>
  <c r="T17" i="2"/>
  <c r="U17" i="2" s="1"/>
  <c r="AB17" i="2" s="1"/>
  <c r="T18" i="2"/>
  <c r="T19" i="2"/>
  <c r="U19" i="2" s="1"/>
  <c r="T20" i="2"/>
  <c r="U20" i="2" s="1"/>
  <c r="T21" i="2"/>
  <c r="U21" i="2" s="1"/>
  <c r="AB21" i="2" s="1"/>
  <c r="T22" i="2"/>
  <c r="U22" i="2" s="1"/>
  <c r="T23" i="2"/>
  <c r="U23" i="2" s="1"/>
  <c r="T24" i="2"/>
  <c r="U24" i="2" s="1"/>
  <c r="T25" i="2"/>
  <c r="U25" i="2" s="1"/>
  <c r="AB25" i="2" s="1"/>
  <c r="T10" i="2"/>
  <c r="U10" i="2" s="1"/>
  <c r="S61" i="2"/>
  <c r="S60" i="2"/>
  <c r="S59" i="2"/>
  <c r="S58" i="2"/>
  <c r="S57" i="2"/>
  <c r="S56" i="2"/>
  <c r="S55" i="2"/>
  <c r="S54" i="2"/>
  <c r="S53" i="2"/>
  <c r="S52" i="2"/>
  <c r="S51" i="2"/>
  <c r="S50" i="2"/>
  <c r="S33" i="2"/>
  <c r="S34" i="2"/>
  <c r="S35" i="2"/>
  <c r="S36" i="2"/>
  <c r="S37" i="2"/>
  <c r="S38" i="2"/>
  <c r="S39" i="2"/>
  <c r="S40" i="2"/>
  <c r="S41" i="2"/>
  <c r="S42" i="2"/>
  <c r="S43" i="2"/>
  <c r="S32" i="2"/>
  <c r="S49" i="2"/>
  <c r="S48" i="2"/>
  <c r="S47" i="2"/>
  <c r="S46" i="2"/>
  <c r="S31" i="2"/>
  <c r="S30" i="2"/>
  <c r="S29" i="2"/>
  <c r="S28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0" i="2"/>
  <c r="M39" i="2"/>
  <c r="M35" i="2"/>
  <c r="M30" i="2"/>
  <c r="M26" i="2"/>
  <c r="M22" i="2"/>
  <c r="M14" i="2"/>
  <c r="M18" i="2"/>
  <c r="L11" i="2"/>
  <c r="M11" i="2" s="1"/>
  <c r="L12" i="2"/>
  <c r="M12" i="2" s="1"/>
  <c r="L13" i="2"/>
  <c r="M13" i="2" s="1"/>
  <c r="L14" i="2"/>
  <c r="L15" i="2"/>
  <c r="M15" i="2" s="1"/>
  <c r="L16" i="2"/>
  <c r="M16" i="2" s="1"/>
  <c r="L17" i="2"/>
  <c r="M17" i="2" s="1"/>
  <c r="L18" i="2"/>
  <c r="L19" i="2"/>
  <c r="M19" i="2" s="1"/>
  <c r="L20" i="2"/>
  <c r="M20" i="2" s="1"/>
  <c r="L22" i="2"/>
  <c r="L23" i="2"/>
  <c r="M23" i="2" s="1"/>
  <c r="L24" i="2"/>
  <c r="M24" i="2" s="1"/>
  <c r="L25" i="2"/>
  <c r="M25" i="2" s="1"/>
  <c r="L26" i="2"/>
  <c r="L27" i="2"/>
  <c r="M27" i="2" s="1"/>
  <c r="L28" i="2"/>
  <c r="M28" i="2" s="1"/>
  <c r="L29" i="2"/>
  <c r="M29" i="2" s="1"/>
  <c r="L30" i="2"/>
  <c r="L31" i="2"/>
  <c r="M31" i="2" s="1"/>
  <c r="L33" i="2"/>
  <c r="M33" i="2" s="1"/>
  <c r="L34" i="2"/>
  <c r="M34" i="2" s="1"/>
  <c r="L35" i="2"/>
  <c r="L36" i="2"/>
  <c r="M36" i="2" s="1"/>
  <c r="L37" i="2"/>
  <c r="M37" i="2" s="1"/>
  <c r="L38" i="2"/>
  <c r="M38" i="2" s="1"/>
  <c r="L39" i="2"/>
  <c r="L40" i="2"/>
  <c r="M40" i="2" s="1"/>
  <c r="L41" i="2"/>
  <c r="M41" i="2" s="1"/>
  <c r="L42" i="2"/>
  <c r="M42" i="2" s="1"/>
  <c r="L10" i="2"/>
  <c r="M10" i="2" s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16" i="1"/>
  <c r="W10" i="2" l="1"/>
  <c r="AB10" i="2"/>
  <c r="Z10" i="2"/>
  <c r="AA10" i="2" s="1"/>
  <c r="Z22" i="2"/>
  <c r="W22" i="2"/>
  <c r="AB22" i="2"/>
  <c r="Z14" i="2"/>
  <c r="W14" i="2"/>
  <c r="AB14" i="2"/>
  <c r="Z28" i="2"/>
  <c r="W28" i="2"/>
  <c r="AB28" i="2"/>
  <c r="AC28" i="2" s="1"/>
  <c r="W40" i="2"/>
  <c r="AB40" i="2"/>
  <c r="Z40" i="2"/>
  <c r="W32" i="2"/>
  <c r="AB32" i="2"/>
  <c r="Z32" i="2"/>
  <c r="W46" i="2"/>
  <c r="AB46" i="2"/>
  <c r="Z46" i="2"/>
  <c r="W58" i="2"/>
  <c r="AB58" i="2"/>
  <c r="Z58" i="2"/>
  <c r="W50" i="2"/>
  <c r="AB50" i="2"/>
  <c r="Z50" i="2"/>
  <c r="AB16" i="2"/>
  <c r="Z16" i="2"/>
  <c r="W16" i="2"/>
  <c r="AB42" i="2"/>
  <c r="W42" i="2"/>
  <c r="Z34" i="2"/>
  <c r="W34" i="2"/>
  <c r="AB34" i="2"/>
  <c r="AB56" i="2"/>
  <c r="Z56" i="2"/>
  <c r="W56" i="2"/>
  <c r="AB48" i="2"/>
  <c r="W48" i="2"/>
  <c r="Z42" i="2"/>
  <c r="Z23" i="2"/>
  <c r="W23" i="2"/>
  <c r="AB23" i="2"/>
  <c r="Z19" i="2"/>
  <c r="W19" i="2"/>
  <c r="AB19" i="2"/>
  <c r="Z15" i="2"/>
  <c r="W15" i="2"/>
  <c r="AB15" i="2"/>
  <c r="W11" i="2"/>
  <c r="AB11" i="2"/>
  <c r="Z11" i="2"/>
  <c r="W41" i="2"/>
  <c r="AB41" i="2"/>
  <c r="Z41" i="2"/>
  <c r="W37" i="2"/>
  <c r="AB37" i="2"/>
  <c r="W33" i="2"/>
  <c r="AB33" i="2"/>
  <c r="Z29" i="2"/>
  <c r="W29" i="2"/>
  <c r="AB29" i="2"/>
  <c r="W59" i="2"/>
  <c r="AB59" i="2"/>
  <c r="Z59" i="2"/>
  <c r="W55" i="2"/>
  <c r="AB55" i="2"/>
  <c r="Z55" i="2"/>
  <c r="W51" i="2"/>
  <c r="AB51" i="2"/>
  <c r="Z51" i="2"/>
  <c r="AB47" i="2"/>
  <c r="Z47" i="2"/>
  <c r="W47" i="2"/>
  <c r="W17" i="2"/>
  <c r="Z21" i="2"/>
  <c r="Z37" i="2"/>
  <c r="AB24" i="2"/>
  <c r="Z24" i="2"/>
  <c r="W24" i="2"/>
  <c r="Z30" i="2"/>
  <c r="W30" i="2"/>
  <c r="AB30" i="2"/>
  <c r="Z18" i="2"/>
  <c r="W18" i="2"/>
  <c r="AB18" i="2"/>
  <c r="W13" i="2"/>
  <c r="Z17" i="2"/>
  <c r="AA17" i="2" s="1"/>
  <c r="Z33" i="2"/>
  <c r="Z20" i="2"/>
  <c r="W20" i="2"/>
  <c r="AB20" i="2"/>
  <c r="Z12" i="2"/>
  <c r="AA12" i="2" s="1"/>
  <c r="W12" i="2"/>
  <c r="AB12" i="2"/>
  <c r="Z38" i="2"/>
  <c r="AB38" i="2"/>
  <c r="W38" i="2"/>
  <c r="W60" i="2"/>
  <c r="AB60" i="2"/>
  <c r="Z60" i="2"/>
  <c r="Z52" i="2"/>
  <c r="W52" i="2"/>
  <c r="AB52" i="2"/>
  <c r="W54" i="2"/>
  <c r="AB54" i="2"/>
  <c r="Z54" i="2"/>
  <c r="W36" i="2"/>
  <c r="AB36" i="2"/>
  <c r="Z36" i="2"/>
  <c r="AB43" i="2"/>
  <c r="Z43" i="2"/>
  <c r="AB39" i="2"/>
  <c r="Z39" i="2"/>
  <c r="AB35" i="2"/>
  <c r="Z35" i="2"/>
  <c r="AB61" i="2"/>
  <c r="Z61" i="2"/>
  <c r="AB57" i="2"/>
  <c r="Z57" i="2"/>
  <c r="AB53" i="2"/>
  <c r="Z53" i="2"/>
  <c r="AB49" i="2"/>
  <c r="Z49" i="2"/>
  <c r="W61" i="2"/>
  <c r="W43" i="2"/>
  <c r="W25" i="2"/>
  <c r="Z31" i="2"/>
  <c r="Z13" i="2"/>
  <c r="AA13" i="2" s="1"/>
  <c r="Z48" i="2"/>
  <c r="AH65" i="3"/>
  <c r="AI23" i="3"/>
  <c r="AI39" i="3"/>
  <c r="AJ40" i="5"/>
  <c r="AH46" i="3"/>
  <c r="AI57" i="3"/>
  <c r="AH33" i="3"/>
  <c r="AI70" i="3"/>
  <c r="AH84" i="3"/>
  <c r="AH58" i="3"/>
  <c r="AH38" i="3"/>
  <c r="AI17" i="3"/>
  <c r="AH42" i="3"/>
  <c r="AH26" i="3"/>
  <c r="AH47" i="3"/>
  <c r="AI62" i="3"/>
  <c r="AI43" i="3"/>
  <c r="AH43" i="3"/>
  <c r="AH92" i="3"/>
  <c r="AH59" i="3"/>
  <c r="AI35" i="3"/>
  <c r="AI51" i="3"/>
  <c r="AH51" i="3"/>
  <c r="AI50" i="3"/>
  <c r="AH50" i="3"/>
  <c r="AH44" i="3"/>
  <c r="AI44" i="3"/>
  <c r="AH93" i="3"/>
  <c r="AI93" i="3"/>
  <c r="AI79" i="3"/>
  <c r="AH79" i="3"/>
  <c r="AI20" i="3"/>
  <c r="AH20" i="3"/>
  <c r="AH29" i="3"/>
  <c r="AI29" i="3"/>
  <c r="AI71" i="3"/>
  <c r="AK71" i="3" s="1"/>
  <c r="AM71" i="3" s="1"/>
  <c r="AO71" i="3" s="1"/>
  <c r="AH71" i="3"/>
  <c r="AH48" i="3"/>
  <c r="AI48" i="3"/>
  <c r="AH68" i="3"/>
  <c r="AI68" i="3"/>
  <c r="AH41" i="3"/>
  <c r="AI41" i="3"/>
  <c r="AH66" i="3"/>
  <c r="AI66" i="3"/>
  <c r="AH36" i="3"/>
  <c r="AI36" i="3"/>
  <c r="AH97" i="3"/>
  <c r="AI97" i="3"/>
  <c r="AH95" i="3"/>
  <c r="AI95" i="3"/>
  <c r="AI98" i="3"/>
  <c r="AH98" i="3"/>
  <c r="AI82" i="3"/>
  <c r="AH82" i="3"/>
  <c r="AI61" i="3"/>
  <c r="AH61" i="3"/>
  <c r="AH13" i="3"/>
  <c r="AI13" i="3"/>
  <c r="AI16" i="3"/>
  <c r="AH16" i="3"/>
  <c r="AI24" i="3"/>
  <c r="AH24" i="3"/>
  <c r="AI67" i="3"/>
  <c r="AH67" i="3"/>
  <c r="AH37" i="3"/>
  <c r="AI37" i="3"/>
  <c r="AI28" i="3"/>
  <c r="AH28" i="3"/>
  <c r="AH81" i="3"/>
  <c r="AI81" i="3"/>
  <c r="AH83" i="3"/>
  <c r="AI83" i="3"/>
  <c r="AH11" i="3"/>
  <c r="AI11" i="3"/>
  <c r="AI75" i="3"/>
  <c r="AH75" i="3"/>
  <c r="AH52" i="3"/>
  <c r="AI52" i="3"/>
  <c r="AH72" i="3"/>
  <c r="AI72" i="3"/>
  <c r="AH45" i="3"/>
  <c r="AI45" i="3"/>
  <c r="AH74" i="3"/>
  <c r="AI74" i="3"/>
  <c r="AI14" i="3"/>
  <c r="AH14" i="3"/>
  <c r="AH91" i="3"/>
  <c r="AI91" i="3"/>
  <c r="AI94" i="3"/>
  <c r="AH94" i="3"/>
  <c r="AI69" i="3"/>
  <c r="AH69" i="3"/>
  <c r="AH21" i="3"/>
  <c r="AI21" i="3"/>
  <c r="AH10" i="3"/>
  <c r="AI10" i="3"/>
  <c r="AI12" i="3"/>
  <c r="AH12" i="3"/>
  <c r="AH19" i="3"/>
  <c r="AI19" i="3"/>
  <c r="AH64" i="3"/>
  <c r="AI64" i="3"/>
  <c r="AI86" i="3"/>
  <c r="AH86" i="3"/>
  <c r="AI96" i="3"/>
  <c r="AH96" i="3"/>
  <c r="AI63" i="3"/>
  <c r="AH63" i="3"/>
  <c r="AH40" i="3"/>
  <c r="AI40" i="3"/>
  <c r="AH60" i="3"/>
  <c r="AI60" i="3"/>
  <c r="AH56" i="3"/>
  <c r="AI56" i="3"/>
  <c r="AH49" i="3"/>
  <c r="AI49" i="3"/>
  <c r="AH85" i="3"/>
  <c r="AI85" i="3"/>
  <c r="AI18" i="3"/>
  <c r="AH18" i="3"/>
  <c r="AI22" i="3"/>
  <c r="AH22" i="3"/>
  <c r="AH87" i="3"/>
  <c r="AI87" i="3"/>
  <c r="AI90" i="3"/>
  <c r="AH90" i="3"/>
  <c r="AI88" i="3"/>
  <c r="AH88" i="3"/>
  <c r="AH89" i="3"/>
  <c r="AI89" i="3"/>
  <c r="AH25" i="3"/>
  <c r="AI25" i="3"/>
  <c r="AH27" i="3"/>
  <c r="AI27" i="3"/>
  <c r="AH15" i="3"/>
  <c r="AI15" i="3"/>
  <c r="Y50" i="2"/>
  <c r="Y58" i="2"/>
  <c r="Y53" i="2"/>
  <c r="Y61" i="2"/>
  <c r="Y57" i="2"/>
  <c r="Y52" i="2"/>
  <c r="Y60" i="2"/>
  <c r="Y56" i="2"/>
  <c r="Y51" i="2"/>
  <c r="Y59" i="2"/>
  <c r="Y54" i="2"/>
  <c r="Y55" i="2"/>
  <c r="Y32" i="2"/>
  <c r="Y39" i="2"/>
  <c r="Y34" i="2"/>
  <c r="Y43" i="2"/>
  <c r="Y38" i="2"/>
  <c r="Y33" i="2"/>
  <c r="Y41" i="2"/>
  <c r="Y37" i="2"/>
  <c r="Y35" i="2"/>
  <c r="Y40" i="2"/>
  <c r="Y36" i="2"/>
  <c r="Y42" i="2"/>
  <c r="Y10" i="2"/>
  <c r="AD10" i="2" s="1"/>
  <c r="Y21" i="2"/>
  <c r="Y17" i="2"/>
  <c r="Y13" i="2"/>
  <c r="AD13" i="2" s="1"/>
  <c r="Y48" i="2"/>
  <c r="Y25" i="2"/>
  <c r="Y20" i="2"/>
  <c r="Y16" i="2"/>
  <c r="Y29" i="2"/>
  <c r="Y49" i="2"/>
  <c r="Y24" i="2"/>
  <c r="Y19" i="2"/>
  <c r="Y15" i="2"/>
  <c r="Y31" i="2"/>
  <c r="Y23" i="2"/>
  <c r="Y46" i="2"/>
  <c r="Y12" i="2"/>
  <c r="AD12" i="2" s="1"/>
  <c r="Y22" i="2"/>
  <c r="Y18" i="2"/>
  <c r="Y14" i="2"/>
  <c r="Y28" i="2"/>
  <c r="Y30" i="2"/>
  <c r="Y47" i="2"/>
  <c r="Y11" i="2"/>
  <c r="AE28" i="2"/>
  <c r="AC17" i="2"/>
  <c r="AA28" i="2"/>
  <c r="AC10" i="2"/>
  <c r="AE10" i="2" s="1"/>
  <c r="AH10" i="2" l="1"/>
  <c r="AD28" i="2"/>
  <c r="AH28" i="2"/>
  <c r="AH13" i="2"/>
  <c r="AH12" i="2"/>
  <c r="AH17" i="2"/>
  <c r="AQ71" i="3"/>
  <c r="BF71" i="3" s="1"/>
  <c r="AX71" i="3"/>
  <c r="AY71" i="3" s="1"/>
  <c r="AJ18" i="5"/>
  <c r="AL18" i="5" s="1"/>
  <c r="AN18" i="5" s="1"/>
  <c r="AJ59" i="5"/>
  <c r="AL59" i="5" s="1"/>
  <c r="AN59" i="5" s="1"/>
  <c r="AJ15" i="5"/>
  <c r="AL15" i="5" s="1"/>
  <c r="AN15" i="5" s="1"/>
  <c r="AP15" i="5" s="1"/>
  <c r="AJ16" i="5"/>
  <c r="AL16" i="5" s="1"/>
  <c r="AN16" i="5" s="1"/>
  <c r="AV16" i="5" s="1"/>
  <c r="AW16" i="5" s="1"/>
  <c r="AJ42" i="5"/>
  <c r="AL42" i="5" s="1"/>
  <c r="AN42" i="5" s="1"/>
  <c r="AV40" i="5"/>
  <c r="AW40" i="5" s="1"/>
  <c r="AP40" i="5"/>
  <c r="AV18" i="5"/>
  <c r="AW18" i="5" s="1"/>
  <c r="AP18" i="5"/>
  <c r="AV42" i="5"/>
  <c r="AW42" i="5" s="1"/>
  <c r="AP42" i="5"/>
  <c r="AJ41" i="5"/>
  <c r="AL41" i="5" s="1"/>
  <c r="AN41" i="5" s="1"/>
  <c r="AJ20" i="5"/>
  <c r="AL20" i="5" s="1"/>
  <c r="AN20" i="5" s="1"/>
  <c r="AJ61" i="5"/>
  <c r="AL61" i="5" s="1"/>
  <c r="AN61" i="5" s="1"/>
  <c r="AK67" i="5"/>
  <c r="AM67" i="5" s="1"/>
  <c r="AO67" i="5" s="1"/>
  <c r="AQ67" i="5" s="1"/>
  <c r="AK65" i="5"/>
  <c r="AM65" i="5" s="1"/>
  <c r="AO65" i="5" s="1"/>
  <c r="AK63" i="5"/>
  <c r="AM63" i="5" s="1"/>
  <c r="AO63" i="5" s="1"/>
  <c r="AQ63" i="5" s="1"/>
  <c r="AK64" i="5"/>
  <c r="AM64" i="5" s="1"/>
  <c r="AO64" i="5" s="1"/>
  <c r="AQ64" i="5" s="1"/>
  <c r="AK68" i="5"/>
  <c r="AM68" i="5" s="1"/>
  <c r="AO68" i="5" s="1"/>
  <c r="AQ68" i="5" s="1"/>
  <c r="AK66" i="5"/>
  <c r="AM66" i="5" s="1"/>
  <c r="AO66" i="5" s="1"/>
  <c r="AQ66" i="5" s="1"/>
  <c r="AL14" i="5"/>
  <c r="AN14" i="5" s="1"/>
  <c r="AJ44" i="5"/>
  <c r="AL44" i="5" s="1"/>
  <c r="AN44" i="5" s="1"/>
  <c r="AJ43" i="5"/>
  <c r="AL43" i="5" s="1"/>
  <c r="AN43" i="5" s="1"/>
  <c r="AJ37" i="5"/>
  <c r="AL37" i="5" s="1"/>
  <c r="AN37" i="5" s="1"/>
  <c r="AJ29" i="5"/>
  <c r="AL29" i="5" s="1"/>
  <c r="AN29" i="5" s="1"/>
  <c r="AJ36" i="5"/>
  <c r="AL36" i="5" s="1"/>
  <c r="AN36" i="5" s="1"/>
  <c r="AJ85" i="5"/>
  <c r="AL85" i="5" s="1"/>
  <c r="AN85" i="5" s="1"/>
  <c r="AJ83" i="5"/>
  <c r="AL83" i="5" s="1"/>
  <c r="AN83" i="5" s="1"/>
  <c r="AJ52" i="5"/>
  <c r="AL52" i="5" s="1"/>
  <c r="AN52" i="5" s="1"/>
  <c r="AJ47" i="5"/>
  <c r="AL47" i="5" s="1"/>
  <c r="AN47" i="5" s="1"/>
  <c r="AJ49" i="5"/>
  <c r="AL49" i="5" s="1"/>
  <c r="AN49" i="5" s="1"/>
  <c r="AJ84" i="5"/>
  <c r="AL84" i="5" s="1"/>
  <c r="AN84" i="5" s="1"/>
  <c r="AJ50" i="5"/>
  <c r="AL50" i="5" s="1"/>
  <c r="AJ26" i="5"/>
  <c r="AL26" i="5" s="1"/>
  <c r="AN26" i="5" s="1"/>
  <c r="AJ25" i="5"/>
  <c r="AL25" i="5" s="1"/>
  <c r="AN25" i="5" s="1"/>
  <c r="AJ51" i="5"/>
  <c r="AL51" i="5" s="1"/>
  <c r="AN51" i="5" s="1"/>
  <c r="AJ28" i="5"/>
  <c r="AL28" i="5" s="1"/>
  <c r="AN28" i="5" s="1"/>
  <c r="AJ45" i="5"/>
  <c r="AL45" i="5" s="1"/>
  <c r="AN45" i="5" s="1"/>
  <c r="AJ48" i="5"/>
  <c r="AL48" i="5" s="1"/>
  <c r="AN48" i="5" s="1"/>
  <c r="AJ27" i="5"/>
  <c r="AL27" i="5" s="1"/>
  <c r="AN27" i="5" s="1"/>
  <c r="AJ22" i="5"/>
  <c r="AL22" i="5" s="1"/>
  <c r="AN22" i="5" s="1"/>
  <c r="AT22" i="5" s="1"/>
  <c r="AU22" i="5" s="1"/>
  <c r="AJ82" i="5"/>
  <c r="AL82" i="5" s="1"/>
  <c r="AN82" i="5" s="1"/>
  <c r="AJ21" i="5"/>
  <c r="AL21" i="5" s="1"/>
  <c r="AN21" i="5" s="1"/>
  <c r="AJ75" i="5"/>
  <c r="AL75" i="5" s="1"/>
  <c r="AN75" i="5" s="1"/>
  <c r="AP75" i="5" s="1"/>
  <c r="AJ71" i="5"/>
  <c r="AL71" i="5" s="1"/>
  <c r="AN71" i="5" s="1"/>
  <c r="AP71" i="5" s="1"/>
  <c r="AJ73" i="5"/>
  <c r="AL73" i="5" s="1"/>
  <c r="AN73" i="5" s="1"/>
  <c r="AP73" i="5" s="1"/>
  <c r="AJ72" i="5"/>
  <c r="AL72" i="5" s="1"/>
  <c r="AN72" i="5" s="1"/>
  <c r="AJ70" i="5"/>
  <c r="AL70" i="5" s="1"/>
  <c r="AN70" i="5" s="1"/>
  <c r="AP70" i="5" s="1"/>
  <c r="AJ74" i="5"/>
  <c r="AL74" i="5" s="1"/>
  <c r="AN74" i="5" s="1"/>
  <c r="AP74" i="5" s="1"/>
  <c r="AK96" i="5"/>
  <c r="AM96" i="5" s="1"/>
  <c r="AO96" i="5" s="1"/>
  <c r="AQ96" i="5" s="1"/>
  <c r="AK95" i="5"/>
  <c r="AM95" i="5" s="1"/>
  <c r="AO95" i="5" s="1"/>
  <c r="AK98" i="5"/>
  <c r="AM98" i="5" s="1"/>
  <c r="AO98" i="5" s="1"/>
  <c r="AQ98" i="5" s="1"/>
  <c r="AK97" i="5"/>
  <c r="AM97" i="5" s="1"/>
  <c r="AO97" i="5" s="1"/>
  <c r="AQ97" i="5" s="1"/>
  <c r="AK93" i="5"/>
  <c r="AM93" i="5" s="1"/>
  <c r="AO93" i="5" s="1"/>
  <c r="AQ93" i="5" s="1"/>
  <c r="AK94" i="5"/>
  <c r="AM94" i="5" s="1"/>
  <c r="AO94" i="5" s="1"/>
  <c r="AQ94" i="5" s="1"/>
  <c r="AK43" i="5"/>
  <c r="AM43" i="5" s="1"/>
  <c r="AO43" i="5" s="1"/>
  <c r="AK60" i="5"/>
  <c r="AM60" i="5" s="1"/>
  <c r="AO60" i="5" s="1"/>
  <c r="AK36" i="5"/>
  <c r="AM36" i="5" s="1"/>
  <c r="AO36" i="5" s="1"/>
  <c r="AM14" i="5"/>
  <c r="AO14" i="5" s="1"/>
  <c r="AK13" i="5"/>
  <c r="AM13" i="5" s="1"/>
  <c r="AO13" i="5" s="1"/>
  <c r="AK17" i="5"/>
  <c r="AM17" i="5" s="1"/>
  <c r="AO17" i="5" s="1"/>
  <c r="AK29" i="5"/>
  <c r="AM29" i="5" s="1"/>
  <c r="AO29" i="5" s="1"/>
  <c r="AK40" i="5"/>
  <c r="AM40" i="5" s="1"/>
  <c r="AO40" i="5" s="1"/>
  <c r="AK15" i="5"/>
  <c r="AM15" i="5" s="1"/>
  <c r="AO15" i="5" s="1"/>
  <c r="AK44" i="5"/>
  <c r="AM44" i="5" s="1"/>
  <c r="AO44" i="5" s="1"/>
  <c r="AK20" i="5"/>
  <c r="AM20" i="5" s="1"/>
  <c r="AO20" i="5" s="1"/>
  <c r="AK59" i="5"/>
  <c r="AM59" i="5" s="1"/>
  <c r="AO59" i="5" s="1"/>
  <c r="AK38" i="5"/>
  <c r="AM38" i="5" s="1"/>
  <c r="AO38" i="5" s="1"/>
  <c r="AK42" i="5"/>
  <c r="AM42" i="5" s="1"/>
  <c r="AO42" i="5" s="1"/>
  <c r="AK41" i="5"/>
  <c r="AM41" i="5" s="1"/>
  <c r="AO41" i="5" s="1"/>
  <c r="AK18" i="5"/>
  <c r="AM18" i="5" s="1"/>
  <c r="AO18" i="5" s="1"/>
  <c r="AK39" i="5"/>
  <c r="AM39" i="5" s="1"/>
  <c r="AO39" i="5" s="1"/>
  <c r="AK19" i="5"/>
  <c r="AM19" i="5" s="1"/>
  <c r="AO19" i="5" s="1"/>
  <c r="AK62" i="5"/>
  <c r="AM62" i="5" s="1"/>
  <c r="AO62" i="5" s="1"/>
  <c r="AK16" i="5"/>
  <c r="AM16" i="5" s="1"/>
  <c r="AO16" i="5" s="1"/>
  <c r="AK61" i="5"/>
  <c r="AM61" i="5" s="1"/>
  <c r="AO61" i="5" s="1"/>
  <c r="AP59" i="5"/>
  <c r="AV59" i="5"/>
  <c r="AW59" i="5" s="1"/>
  <c r="AK88" i="5"/>
  <c r="AM88" i="5" s="1"/>
  <c r="AO88" i="5" s="1"/>
  <c r="AK91" i="5"/>
  <c r="AM91" i="5" s="1"/>
  <c r="AO91" i="5" s="1"/>
  <c r="AQ91" i="5" s="1"/>
  <c r="AK90" i="5"/>
  <c r="AM90" i="5" s="1"/>
  <c r="AO90" i="5" s="1"/>
  <c r="AQ90" i="5" s="1"/>
  <c r="AK89" i="5"/>
  <c r="AM89" i="5" s="1"/>
  <c r="AO89" i="5" s="1"/>
  <c r="AQ89" i="5" s="1"/>
  <c r="AK86" i="5"/>
  <c r="AM86" i="5" s="1"/>
  <c r="AO86" i="5" s="1"/>
  <c r="AQ86" i="5" s="1"/>
  <c r="AK87" i="5"/>
  <c r="AM87" i="5" s="1"/>
  <c r="AO87" i="5" s="1"/>
  <c r="AQ87" i="5" s="1"/>
  <c r="AJ68" i="5"/>
  <c r="AL68" i="5" s="1"/>
  <c r="AN68" i="5" s="1"/>
  <c r="AP68" i="5" s="1"/>
  <c r="AJ67" i="5"/>
  <c r="AL67" i="5" s="1"/>
  <c r="AN67" i="5" s="1"/>
  <c r="AP67" i="5" s="1"/>
  <c r="AJ66" i="5"/>
  <c r="AL66" i="5" s="1"/>
  <c r="AN66" i="5" s="1"/>
  <c r="AP66" i="5" s="1"/>
  <c r="AJ65" i="5"/>
  <c r="AL65" i="5" s="1"/>
  <c r="AN65" i="5" s="1"/>
  <c r="AJ64" i="5"/>
  <c r="AL64" i="5" s="1"/>
  <c r="AN64" i="5" s="1"/>
  <c r="AP64" i="5" s="1"/>
  <c r="AJ63" i="5"/>
  <c r="AL63" i="5" s="1"/>
  <c r="AN63" i="5" s="1"/>
  <c r="AP63" i="5" s="1"/>
  <c r="AJ19" i="5"/>
  <c r="AL19" i="5" s="1"/>
  <c r="AN19" i="5" s="1"/>
  <c r="AJ62" i="5"/>
  <c r="AL62" i="5" s="1"/>
  <c r="AN62" i="5" s="1"/>
  <c r="AJ89" i="5"/>
  <c r="AL89" i="5" s="1"/>
  <c r="AN89" i="5" s="1"/>
  <c r="AP89" i="5" s="1"/>
  <c r="AJ88" i="5"/>
  <c r="AL88" i="5" s="1"/>
  <c r="AN88" i="5" s="1"/>
  <c r="AJ87" i="5"/>
  <c r="AL87" i="5" s="1"/>
  <c r="AN87" i="5" s="1"/>
  <c r="AP87" i="5" s="1"/>
  <c r="AJ86" i="5"/>
  <c r="AL86" i="5" s="1"/>
  <c r="AN86" i="5" s="1"/>
  <c r="AP86" i="5" s="1"/>
  <c r="AJ91" i="5"/>
  <c r="AL91" i="5" s="1"/>
  <c r="AN91" i="5" s="1"/>
  <c r="AP91" i="5" s="1"/>
  <c r="AJ90" i="5"/>
  <c r="AL90" i="5" s="1"/>
  <c r="AN90" i="5" s="1"/>
  <c r="AP90" i="5" s="1"/>
  <c r="AJ17" i="5"/>
  <c r="AL17" i="5" s="1"/>
  <c r="AN17" i="5" s="1"/>
  <c r="AJ60" i="5"/>
  <c r="AL60" i="5" s="1"/>
  <c r="AN60" i="5" s="1"/>
  <c r="AJ13" i="5"/>
  <c r="AL13" i="5" s="1"/>
  <c r="AN13" i="5" s="1"/>
  <c r="AJ39" i="5"/>
  <c r="AL39" i="5" s="1"/>
  <c r="AN39" i="5" s="1"/>
  <c r="AJ38" i="5"/>
  <c r="AL38" i="5" s="1"/>
  <c r="AN38" i="5" s="1"/>
  <c r="AK85" i="5"/>
  <c r="AM85" i="5" s="1"/>
  <c r="AO85" i="5" s="1"/>
  <c r="AK51" i="5"/>
  <c r="AM51" i="5" s="1"/>
  <c r="AO51" i="5" s="1"/>
  <c r="AK49" i="5"/>
  <c r="AM49" i="5" s="1"/>
  <c r="AO49" i="5" s="1"/>
  <c r="AK47" i="5"/>
  <c r="AM47" i="5" s="1"/>
  <c r="AO47" i="5" s="1"/>
  <c r="AK37" i="5"/>
  <c r="AM37" i="5" s="1"/>
  <c r="AO37" i="5" s="1"/>
  <c r="AK45" i="5"/>
  <c r="AM45" i="5" s="1"/>
  <c r="AO45" i="5" s="1"/>
  <c r="AK28" i="5"/>
  <c r="AM28" i="5" s="1"/>
  <c r="AO28" i="5" s="1"/>
  <c r="AK26" i="5"/>
  <c r="AM26" i="5" s="1"/>
  <c r="AO26" i="5" s="1"/>
  <c r="AK24" i="5"/>
  <c r="AM24" i="5" s="1"/>
  <c r="AO24" i="5" s="1"/>
  <c r="AK22" i="5"/>
  <c r="AM22" i="5" s="1"/>
  <c r="AO22" i="5" s="1"/>
  <c r="AX22" i="5" s="1"/>
  <c r="AY22" i="5" s="1"/>
  <c r="AK84" i="5"/>
  <c r="AM84" i="5" s="1"/>
  <c r="AO84" i="5" s="1"/>
  <c r="AK82" i="5"/>
  <c r="AM82" i="5" s="1"/>
  <c r="AO82" i="5" s="1"/>
  <c r="AK52" i="5"/>
  <c r="AM52" i="5" s="1"/>
  <c r="AO52" i="5" s="1"/>
  <c r="AK83" i="5"/>
  <c r="AM83" i="5" s="1"/>
  <c r="AO83" i="5" s="1"/>
  <c r="AK48" i="5"/>
  <c r="AM48" i="5" s="1"/>
  <c r="AO48" i="5" s="1"/>
  <c r="AK27" i="5"/>
  <c r="AM27" i="5" s="1"/>
  <c r="AO27" i="5" s="1"/>
  <c r="AK21" i="5"/>
  <c r="AM21" i="5" s="1"/>
  <c r="AO21" i="5" s="1"/>
  <c r="AK25" i="5"/>
  <c r="AM25" i="5" s="1"/>
  <c r="AO25" i="5" s="1"/>
  <c r="AK50" i="5"/>
  <c r="AM50" i="5" s="1"/>
  <c r="AK72" i="5"/>
  <c r="AM72" i="5" s="1"/>
  <c r="AO72" i="5" s="1"/>
  <c r="AK75" i="5"/>
  <c r="AM75" i="5" s="1"/>
  <c r="AO75" i="5" s="1"/>
  <c r="AQ75" i="5" s="1"/>
  <c r="AK70" i="5"/>
  <c r="AM70" i="5" s="1"/>
  <c r="AO70" i="5" s="1"/>
  <c r="AQ70" i="5" s="1"/>
  <c r="AK73" i="5"/>
  <c r="AM73" i="5" s="1"/>
  <c r="AO73" i="5" s="1"/>
  <c r="AQ73" i="5" s="1"/>
  <c r="AK74" i="5"/>
  <c r="AM74" i="5" s="1"/>
  <c r="AO74" i="5" s="1"/>
  <c r="AQ74" i="5" s="1"/>
  <c r="AK71" i="5"/>
  <c r="AM71" i="5" s="1"/>
  <c r="AO71" i="5" s="1"/>
  <c r="AQ71" i="5" s="1"/>
  <c r="AJ98" i="5"/>
  <c r="AL98" i="5" s="1"/>
  <c r="AN98" i="5" s="1"/>
  <c r="AP98" i="5" s="1"/>
  <c r="AJ97" i="5"/>
  <c r="AL97" i="5" s="1"/>
  <c r="AN97" i="5" s="1"/>
  <c r="AP97" i="5" s="1"/>
  <c r="AJ93" i="5"/>
  <c r="AL93" i="5" s="1"/>
  <c r="AN93" i="5" s="1"/>
  <c r="AP93" i="5" s="1"/>
  <c r="AJ96" i="5"/>
  <c r="AL96" i="5" s="1"/>
  <c r="AN96" i="5" s="1"/>
  <c r="AP96" i="5" s="1"/>
  <c r="AJ95" i="5"/>
  <c r="AL95" i="5" s="1"/>
  <c r="AN95" i="5" s="1"/>
  <c r="AJ94" i="5"/>
  <c r="AL94" i="5" s="1"/>
  <c r="AN94" i="5" s="1"/>
  <c r="AP94" i="5" s="1"/>
  <c r="AK70" i="3"/>
  <c r="AM70" i="3" s="1"/>
  <c r="AO70" i="3" s="1"/>
  <c r="AK75" i="3"/>
  <c r="AM75" i="3" s="1"/>
  <c r="AO75" i="3" s="1"/>
  <c r="AK73" i="3"/>
  <c r="AM73" i="3" s="1"/>
  <c r="AO73" i="3" s="1"/>
  <c r="AK74" i="3"/>
  <c r="AM74" i="3" s="1"/>
  <c r="AO74" i="3" s="1"/>
  <c r="AK72" i="3"/>
  <c r="AM72" i="3" s="1"/>
  <c r="AO72" i="3" s="1"/>
  <c r="AK96" i="3"/>
  <c r="AM96" i="3" s="1"/>
  <c r="AO96" i="3" s="1"/>
  <c r="AK97" i="3"/>
  <c r="AM97" i="3" s="1"/>
  <c r="AO97" i="3" s="1"/>
  <c r="AK98" i="3"/>
  <c r="AM98" i="3" s="1"/>
  <c r="AO98" i="3" s="1"/>
  <c r="AK93" i="3"/>
  <c r="AM93" i="3" s="1"/>
  <c r="AO93" i="3" s="1"/>
  <c r="AK94" i="3"/>
  <c r="AM94" i="3" s="1"/>
  <c r="AO94" i="3" s="1"/>
  <c r="AK95" i="3"/>
  <c r="AM95" i="3" s="1"/>
  <c r="AO95" i="3" s="1"/>
  <c r="AJ83" i="3"/>
  <c r="AL83" i="3" s="1"/>
  <c r="AN83" i="3" s="1"/>
  <c r="AT83" i="3" s="1"/>
  <c r="AU83" i="3" s="1"/>
  <c r="AJ52" i="3"/>
  <c r="AL52" i="3" s="1"/>
  <c r="AN52" i="3" s="1"/>
  <c r="AT52" i="3" s="1"/>
  <c r="AU52" i="3" s="1"/>
  <c r="AJ48" i="3"/>
  <c r="AL48" i="3" s="1"/>
  <c r="AN48" i="3" s="1"/>
  <c r="AT48" i="3" s="1"/>
  <c r="AU48" i="3" s="1"/>
  <c r="AJ24" i="3"/>
  <c r="AL24" i="3" s="1"/>
  <c r="AN24" i="3" s="1"/>
  <c r="AT24" i="3" s="1"/>
  <c r="AU24" i="3" s="1"/>
  <c r="AJ28" i="3"/>
  <c r="AL28" i="3" s="1"/>
  <c r="AN28" i="3" s="1"/>
  <c r="AT28" i="3" s="1"/>
  <c r="AU28" i="3" s="1"/>
  <c r="AJ84" i="3"/>
  <c r="AL84" i="3" s="1"/>
  <c r="AN84" i="3" s="1"/>
  <c r="AT84" i="3" s="1"/>
  <c r="AU84" i="3" s="1"/>
  <c r="AJ51" i="3"/>
  <c r="AL51" i="3" s="1"/>
  <c r="AN51" i="3" s="1"/>
  <c r="AT51" i="3" s="1"/>
  <c r="AU51" i="3" s="1"/>
  <c r="AJ47" i="3"/>
  <c r="AL47" i="3" s="1"/>
  <c r="AN47" i="3" s="1"/>
  <c r="AJ25" i="3"/>
  <c r="AL25" i="3" s="1"/>
  <c r="AN25" i="3" s="1"/>
  <c r="AT25" i="3" s="1"/>
  <c r="AU25" i="3" s="1"/>
  <c r="AJ21" i="3"/>
  <c r="AL21" i="3" s="1"/>
  <c r="AN21" i="3" s="1"/>
  <c r="AT21" i="3" s="1"/>
  <c r="AU21" i="3" s="1"/>
  <c r="AJ85" i="3"/>
  <c r="AL85" i="3" s="1"/>
  <c r="AN85" i="3" s="1"/>
  <c r="AT85" i="3" s="1"/>
  <c r="AU85" i="3" s="1"/>
  <c r="AJ45" i="3"/>
  <c r="AL45" i="3" s="1"/>
  <c r="AN45" i="3" s="1"/>
  <c r="AT45" i="3" s="1"/>
  <c r="AU45" i="3" s="1"/>
  <c r="AJ82" i="3"/>
  <c r="AL82" i="3" s="1"/>
  <c r="AN82" i="3" s="1"/>
  <c r="AJ22" i="3"/>
  <c r="AL22" i="3" s="1"/>
  <c r="AN22" i="3" s="1"/>
  <c r="AJ50" i="3"/>
  <c r="AL50" i="3" s="1"/>
  <c r="AN50" i="3" s="1"/>
  <c r="AT50" i="3" s="1"/>
  <c r="AU50" i="3" s="1"/>
  <c r="AJ27" i="3"/>
  <c r="AL27" i="3" s="1"/>
  <c r="AN27" i="3" s="1"/>
  <c r="AT27" i="3" s="1"/>
  <c r="AU27" i="3" s="1"/>
  <c r="AJ49" i="3"/>
  <c r="AL49" i="3" s="1"/>
  <c r="AN49" i="3" s="1"/>
  <c r="AT49" i="3" s="1"/>
  <c r="AU49" i="3" s="1"/>
  <c r="AJ26" i="3"/>
  <c r="AL26" i="3" s="1"/>
  <c r="AN26" i="3" s="1"/>
  <c r="AT26" i="3" s="1"/>
  <c r="AU26" i="3" s="1"/>
  <c r="AJ94" i="3"/>
  <c r="AL94" i="3" s="1"/>
  <c r="AN94" i="3" s="1"/>
  <c r="AJ98" i="3"/>
  <c r="AL98" i="3" s="1"/>
  <c r="AN98" i="3" s="1"/>
  <c r="AJ95" i="3"/>
  <c r="AL95" i="3" s="1"/>
  <c r="AN95" i="3" s="1"/>
  <c r="AJ93" i="3"/>
  <c r="AL93" i="3" s="1"/>
  <c r="AN93" i="3" s="1"/>
  <c r="AJ96" i="3"/>
  <c r="AL96" i="3" s="1"/>
  <c r="AN96" i="3" s="1"/>
  <c r="AJ97" i="3"/>
  <c r="AL97" i="3" s="1"/>
  <c r="AN97" i="3" s="1"/>
  <c r="AJ66" i="3"/>
  <c r="AL66" i="3" s="1"/>
  <c r="AN66" i="3" s="1"/>
  <c r="AJ67" i="3"/>
  <c r="AL67" i="3" s="1"/>
  <c r="AN67" i="3" s="1"/>
  <c r="AJ64" i="3"/>
  <c r="AL64" i="3" s="1"/>
  <c r="AN64" i="3" s="1"/>
  <c r="AJ65" i="3"/>
  <c r="AL65" i="3" s="1"/>
  <c r="AN65" i="3" s="1"/>
  <c r="AJ68" i="3"/>
  <c r="AL68" i="3" s="1"/>
  <c r="AN68" i="3" s="1"/>
  <c r="AJ63" i="3"/>
  <c r="AL63" i="3" s="1"/>
  <c r="AN63" i="3" s="1"/>
  <c r="AJ89" i="3"/>
  <c r="AL89" i="3" s="1"/>
  <c r="AN89" i="3" s="1"/>
  <c r="AJ90" i="3"/>
  <c r="AL90" i="3" s="1"/>
  <c r="AN90" i="3" s="1"/>
  <c r="AJ91" i="3"/>
  <c r="AL91" i="3" s="1"/>
  <c r="AN91" i="3" s="1"/>
  <c r="AJ86" i="3"/>
  <c r="AL86" i="3" s="1"/>
  <c r="AN86" i="3" s="1"/>
  <c r="AJ88" i="3"/>
  <c r="AL88" i="3" s="1"/>
  <c r="AN88" i="3" s="1"/>
  <c r="AJ87" i="3"/>
  <c r="AL87" i="3" s="1"/>
  <c r="AN87" i="3" s="1"/>
  <c r="AK62" i="3"/>
  <c r="AM62" i="3" s="1"/>
  <c r="AO62" i="3" s="1"/>
  <c r="AX62" i="3" s="1"/>
  <c r="AY62" i="3" s="1"/>
  <c r="AK41" i="3"/>
  <c r="AM41" i="3" s="1"/>
  <c r="AO41" i="3" s="1"/>
  <c r="AX41" i="3" s="1"/>
  <c r="AY41" i="3" s="1"/>
  <c r="AK17" i="3"/>
  <c r="AM17" i="3" s="1"/>
  <c r="AO17" i="3" s="1"/>
  <c r="AK59" i="3"/>
  <c r="AM59" i="3" s="1"/>
  <c r="AO59" i="3" s="1"/>
  <c r="AK42" i="3"/>
  <c r="AM42" i="3" s="1"/>
  <c r="AO42" i="3" s="1"/>
  <c r="AX42" i="3" s="1"/>
  <c r="AY42" i="3" s="1"/>
  <c r="AK38" i="3"/>
  <c r="AM38" i="3" s="1"/>
  <c r="AO38" i="3" s="1"/>
  <c r="AX38" i="3" s="1"/>
  <c r="AY38" i="3" s="1"/>
  <c r="AK36" i="3"/>
  <c r="AM36" i="3" s="1"/>
  <c r="AO36" i="3" s="1"/>
  <c r="AX36" i="3" s="1"/>
  <c r="AY36" i="3" s="1"/>
  <c r="AK14" i="3"/>
  <c r="AM14" i="3" s="1"/>
  <c r="AO14" i="3" s="1"/>
  <c r="AK18" i="3"/>
  <c r="AM18" i="3" s="1"/>
  <c r="AO18" i="3" s="1"/>
  <c r="AX18" i="3" s="1"/>
  <c r="AY18" i="3" s="1"/>
  <c r="AK60" i="3"/>
  <c r="AM60" i="3" s="1"/>
  <c r="AO60" i="3" s="1"/>
  <c r="AX60" i="3" s="1"/>
  <c r="AY60" i="3" s="1"/>
  <c r="AK43" i="3"/>
  <c r="AM43" i="3" s="1"/>
  <c r="AO43" i="3" s="1"/>
  <c r="AX43" i="3" s="1"/>
  <c r="AY43" i="3" s="1"/>
  <c r="AK29" i="3"/>
  <c r="AM29" i="3" s="1"/>
  <c r="AO29" i="3" s="1"/>
  <c r="AX29" i="3" s="1"/>
  <c r="AY29" i="3" s="1"/>
  <c r="AK15" i="3"/>
  <c r="AM15" i="3" s="1"/>
  <c r="AO15" i="3" s="1"/>
  <c r="AX15" i="3" s="1"/>
  <c r="AY15" i="3" s="1"/>
  <c r="AK61" i="3"/>
  <c r="AM61" i="3" s="1"/>
  <c r="AO61" i="3" s="1"/>
  <c r="AX61" i="3" s="1"/>
  <c r="AY61" i="3" s="1"/>
  <c r="AK44" i="3"/>
  <c r="AM44" i="3" s="1"/>
  <c r="AO44" i="3" s="1"/>
  <c r="AX44" i="3" s="1"/>
  <c r="AY44" i="3" s="1"/>
  <c r="AK16" i="3"/>
  <c r="AM16" i="3" s="1"/>
  <c r="AO16" i="3" s="1"/>
  <c r="AX16" i="3" s="1"/>
  <c r="AY16" i="3" s="1"/>
  <c r="AK39" i="3"/>
  <c r="AM39" i="3" s="1"/>
  <c r="AO39" i="3" s="1"/>
  <c r="AK13" i="3"/>
  <c r="AM13" i="3" s="1"/>
  <c r="AO13" i="3" s="1"/>
  <c r="AX13" i="3" s="1"/>
  <c r="AY13" i="3" s="1"/>
  <c r="AK19" i="3"/>
  <c r="AM19" i="3" s="1"/>
  <c r="AO19" i="3" s="1"/>
  <c r="AX19" i="3" s="1"/>
  <c r="AY19" i="3" s="1"/>
  <c r="AK40" i="3"/>
  <c r="AM40" i="3" s="1"/>
  <c r="AO40" i="3" s="1"/>
  <c r="AX40" i="3" s="1"/>
  <c r="AY40" i="3" s="1"/>
  <c r="AK20" i="3"/>
  <c r="AM20" i="3" s="1"/>
  <c r="AO20" i="3" s="1"/>
  <c r="AX20" i="3" s="1"/>
  <c r="AY20" i="3" s="1"/>
  <c r="AK85" i="3"/>
  <c r="AM85" i="3" s="1"/>
  <c r="AO85" i="3" s="1"/>
  <c r="AX85" i="3" s="1"/>
  <c r="AY85" i="3" s="1"/>
  <c r="AK48" i="3"/>
  <c r="AM48" i="3" s="1"/>
  <c r="AO48" i="3" s="1"/>
  <c r="AX48" i="3" s="1"/>
  <c r="AY48" i="3" s="1"/>
  <c r="AK52" i="3"/>
  <c r="AM52" i="3" s="1"/>
  <c r="AO52" i="3" s="1"/>
  <c r="AX52" i="3" s="1"/>
  <c r="AY52" i="3" s="1"/>
  <c r="AK21" i="3"/>
  <c r="AM21" i="3" s="1"/>
  <c r="AO21" i="3" s="1"/>
  <c r="AX21" i="3" s="1"/>
  <c r="AY21" i="3" s="1"/>
  <c r="AK24" i="3"/>
  <c r="AM24" i="3" s="1"/>
  <c r="AO24" i="3" s="1"/>
  <c r="AX24" i="3" s="1"/>
  <c r="AY24" i="3" s="1"/>
  <c r="AK28" i="3"/>
  <c r="AM28" i="3" s="1"/>
  <c r="AO28" i="3" s="1"/>
  <c r="AX28" i="3" s="1"/>
  <c r="AY28" i="3" s="1"/>
  <c r="AK82" i="3"/>
  <c r="AM82" i="3" s="1"/>
  <c r="AO82" i="3" s="1"/>
  <c r="AK49" i="3"/>
  <c r="AM49" i="3" s="1"/>
  <c r="AO49" i="3" s="1"/>
  <c r="AX49" i="3" s="1"/>
  <c r="AY49" i="3" s="1"/>
  <c r="AK45" i="3"/>
  <c r="AM45" i="3" s="1"/>
  <c r="AO45" i="3" s="1"/>
  <c r="AX45" i="3" s="1"/>
  <c r="AY45" i="3" s="1"/>
  <c r="AK25" i="3"/>
  <c r="AM25" i="3" s="1"/>
  <c r="AO25" i="3" s="1"/>
  <c r="AX25" i="3" s="1"/>
  <c r="AY25" i="3" s="1"/>
  <c r="AK83" i="3"/>
  <c r="AM83" i="3" s="1"/>
  <c r="AO83" i="3" s="1"/>
  <c r="AX83" i="3" s="1"/>
  <c r="AY83" i="3" s="1"/>
  <c r="AK50" i="3"/>
  <c r="AM50" i="3" s="1"/>
  <c r="AO50" i="3" s="1"/>
  <c r="AX50" i="3" s="1"/>
  <c r="AY50" i="3" s="1"/>
  <c r="AK84" i="3"/>
  <c r="AM84" i="3" s="1"/>
  <c r="AO84" i="3" s="1"/>
  <c r="AX84" i="3" s="1"/>
  <c r="AY84" i="3" s="1"/>
  <c r="AK51" i="3"/>
  <c r="AM51" i="3" s="1"/>
  <c r="AO51" i="3" s="1"/>
  <c r="AX51" i="3" s="1"/>
  <c r="AY51" i="3" s="1"/>
  <c r="AK22" i="3"/>
  <c r="AM22" i="3" s="1"/>
  <c r="AO22" i="3" s="1"/>
  <c r="AM46" i="3"/>
  <c r="AK26" i="3"/>
  <c r="AM26" i="3" s="1"/>
  <c r="AO26" i="3" s="1"/>
  <c r="AX26" i="3" s="1"/>
  <c r="AY26" i="3" s="1"/>
  <c r="AK27" i="3"/>
  <c r="AM27" i="3" s="1"/>
  <c r="AO27" i="3" s="1"/>
  <c r="AX27" i="3" s="1"/>
  <c r="AY27" i="3" s="1"/>
  <c r="AK37" i="3"/>
  <c r="AM37" i="3" s="1"/>
  <c r="AO37" i="3" s="1"/>
  <c r="AX37" i="3" s="1"/>
  <c r="AY37" i="3" s="1"/>
  <c r="AK47" i="3"/>
  <c r="AM47" i="3" s="1"/>
  <c r="AO47" i="3" s="1"/>
  <c r="AJ72" i="3"/>
  <c r="AL72" i="3" s="1"/>
  <c r="AN72" i="3" s="1"/>
  <c r="AJ75" i="3"/>
  <c r="AL75" i="3" s="1"/>
  <c r="AN75" i="3" s="1"/>
  <c r="AJ73" i="3"/>
  <c r="AL73" i="3" s="1"/>
  <c r="AN73" i="3" s="1"/>
  <c r="AJ70" i="3"/>
  <c r="AL70" i="3" s="1"/>
  <c r="AN70" i="3" s="1"/>
  <c r="AJ74" i="3"/>
  <c r="AL74" i="3" s="1"/>
  <c r="AN74" i="3" s="1"/>
  <c r="AJ71" i="3"/>
  <c r="AL71" i="3" s="1"/>
  <c r="AN71" i="3" s="1"/>
  <c r="AK64" i="3"/>
  <c r="AM64" i="3" s="1"/>
  <c r="AO64" i="3" s="1"/>
  <c r="AK68" i="3"/>
  <c r="AM68" i="3" s="1"/>
  <c r="AO68" i="3" s="1"/>
  <c r="AK65" i="3"/>
  <c r="AM65" i="3" s="1"/>
  <c r="AO65" i="3" s="1"/>
  <c r="AK63" i="3"/>
  <c r="AM63" i="3" s="1"/>
  <c r="AO63" i="3" s="1"/>
  <c r="AK66" i="3"/>
  <c r="AM66" i="3" s="1"/>
  <c r="AO66" i="3" s="1"/>
  <c r="AK67" i="3"/>
  <c r="AM67" i="3" s="1"/>
  <c r="AO67" i="3" s="1"/>
  <c r="AK87" i="3"/>
  <c r="AM87" i="3" s="1"/>
  <c r="AO87" i="3" s="1"/>
  <c r="AK91" i="3"/>
  <c r="AM91" i="3" s="1"/>
  <c r="AO91" i="3" s="1"/>
  <c r="AK88" i="3"/>
  <c r="AM88" i="3" s="1"/>
  <c r="AO88" i="3" s="1"/>
  <c r="AK86" i="3"/>
  <c r="AM86" i="3" s="1"/>
  <c r="AO86" i="3" s="1"/>
  <c r="AK89" i="3"/>
  <c r="AM89" i="3" s="1"/>
  <c r="AO89" i="3" s="1"/>
  <c r="AK90" i="3"/>
  <c r="AM90" i="3" s="1"/>
  <c r="AO90" i="3" s="1"/>
  <c r="AJ39" i="3"/>
  <c r="AL39" i="3" s="1"/>
  <c r="AN39" i="3" s="1"/>
  <c r="AJ61" i="3"/>
  <c r="AL61" i="3" s="1"/>
  <c r="AN61" i="3" s="1"/>
  <c r="AT61" i="3" s="1"/>
  <c r="AU61" i="3" s="1"/>
  <c r="AJ38" i="3"/>
  <c r="AL38" i="3" s="1"/>
  <c r="AN38" i="3" s="1"/>
  <c r="AT38" i="3" s="1"/>
  <c r="AU38" i="3" s="1"/>
  <c r="AJ43" i="3"/>
  <c r="AL43" i="3" s="1"/>
  <c r="AN43" i="3" s="1"/>
  <c r="AT43" i="3" s="1"/>
  <c r="AU43" i="3" s="1"/>
  <c r="AJ15" i="3"/>
  <c r="AL15" i="3" s="1"/>
  <c r="AN15" i="3" s="1"/>
  <c r="AT15" i="3" s="1"/>
  <c r="AU15" i="3" s="1"/>
  <c r="AJ19" i="3"/>
  <c r="AL19" i="3" s="1"/>
  <c r="AN19" i="3" s="1"/>
  <c r="AT19" i="3" s="1"/>
  <c r="AU19" i="3" s="1"/>
  <c r="AJ62" i="3"/>
  <c r="AL62" i="3" s="1"/>
  <c r="AN62" i="3" s="1"/>
  <c r="AT62" i="3" s="1"/>
  <c r="AU62" i="3" s="1"/>
  <c r="AJ40" i="3"/>
  <c r="AL40" i="3" s="1"/>
  <c r="AN40" i="3" s="1"/>
  <c r="AT40" i="3" s="1"/>
  <c r="AU40" i="3" s="1"/>
  <c r="AJ36" i="3"/>
  <c r="AL36" i="3" s="1"/>
  <c r="AN36" i="3" s="1"/>
  <c r="AT36" i="3" s="1"/>
  <c r="AU36" i="3" s="1"/>
  <c r="AJ16" i="3"/>
  <c r="AL16" i="3" s="1"/>
  <c r="AN16" i="3" s="1"/>
  <c r="AT16" i="3" s="1"/>
  <c r="AU16" i="3" s="1"/>
  <c r="AJ20" i="3"/>
  <c r="AL20" i="3" s="1"/>
  <c r="AN20" i="3" s="1"/>
  <c r="AT20" i="3" s="1"/>
  <c r="AU20" i="3" s="1"/>
  <c r="AJ44" i="3"/>
  <c r="AL44" i="3" s="1"/>
  <c r="AN44" i="3" s="1"/>
  <c r="AT44" i="3" s="1"/>
  <c r="AU44" i="3" s="1"/>
  <c r="AJ41" i="3"/>
  <c r="AL41" i="3" s="1"/>
  <c r="AN41" i="3" s="1"/>
  <c r="AT41" i="3" s="1"/>
  <c r="AU41" i="3" s="1"/>
  <c r="AJ17" i="3"/>
  <c r="AL17" i="3" s="1"/>
  <c r="AN17" i="3" s="1"/>
  <c r="AT17" i="3" s="1"/>
  <c r="AU17" i="3" s="1"/>
  <c r="AJ60" i="3"/>
  <c r="AL60" i="3" s="1"/>
  <c r="AN60" i="3" s="1"/>
  <c r="AT60" i="3" s="1"/>
  <c r="AU60" i="3" s="1"/>
  <c r="AJ42" i="3"/>
  <c r="AL42" i="3" s="1"/>
  <c r="AN42" i="3" s="1"/>
  <c r="AT42" i="3" s="1"/>
  <c r="AU42" i="3" s="1"/>
  <c r="AJ18" i="3"/>
  <c r="AL18" i="3" s="1"/>
  <c r="AN18" i="3" s="1"/>
  <c r="AT18" i="3" s="1"/>
  <c r="AU18" i="3" s="1"/>
  <c r="AJ59" i="3"/>
  <c r="AL59" i="3" s="1"/>
  <c r="AN59" i="3" s="1"/>
  <c r="AJ13" i="3"/>
  <c r="AL13" i="3" s="1"/>
  <c r="AN13" i="3" s="1"/>
  <c r="AJ14" i="3"/>
  <c r="AL14" i="3" s="1"/>
  <c r="AN14" i="3" s="1"/>
  <c r="AJ29" i="3"/>
  <c r="AL29" i="3" s="1"/>
  <c r="AN29" i="3" s="1"/>
  <c r="AT29" i="3" s="1"/>
  <c r="AU29" i="3" s="1"/>
  <c r="AJ37" i="3"/>
  <c r="AL37" i="3" s="1"/>
  <c r="AN37" i="3" s="1"/>
  <c r="AT37" i="3" s="1"/>
  <c r="AU37" i="3" s="1"/>
  <c r="AC22" i="2"/>
  <c r="AE22" i="2" s="1"/>
  <c r="AA22" i="2"/>
  <c r="AC40" i="2"/>
  <c r="AE40" i="2" s="1"/>
  <c r="AA40" i="2"/>
  <c r="AC58" i="2"/>
  <c r="AE58" i="2" s="1"/>
  <c r="AA58" i="2"/>
  <c r="AC50" i="2"/>
  <c r="AE50" i="2" s="1"/>
  <c r="AA50" i="2"/>
  <c r="AC46" i="2"/>
  <c r="AE46" i="2" s="1"/>
  <c r="AA46" i="2"/>
  <c r="AC32" i="2"/>
  <c r="AE32" i="2" s="1"/>
  <c r="AA32" i="2"/>
  <c r="AC54" i="2"/>
  <c r="AE54" i="2" s="1"/>
  <c r="AA54" i="2"/>
  <c r="AC18" i="2"/>
  <c r="AE18" i="2" s="1"/>
  <c r="AA18" i="2"/>
  <c r="AC14" i="2"/>
  <c r="AE14" i="2" s="1"/>
  <c r="AA14" i="2"/>
  <c r="AC36" i="2"/>
  <c r="AE36" i="2" s="1"/>
  <c r="AA36" i="2"/>
  <c r="AD17" i="2"/>
  <c r="BL74" i="3" l="1"/>
  <c r="BK68" i="3"/>
  <c r="BL72" i="3"/>
  <c r="BK70" i="3"/>
  <c r="AD36" i="2"/>
  <c r="AH36" i="2"/>
  <c r="AD32" i="2"/>
  <c r="AH32" i="2"/>
  <c r="AD40" i="2"/>
  <c r="AH40" i="2"/>
  <c r="AT95" i="3"/>
  <c r="AU95" i="3" s="1"/>
  <c r="BK84" i="3"/>
  <c r="AX88" i="3"/>
  <c r="AW88" i="3" s="1"/>
  <c r="BL82" i="3"/>
  <c r="BL70" i="3"/>
  <c r="BL68" i="3"/>
  <c r="AT65" i="3"/>
  <c r="AU65" i="3" s="1"/>
  <c r="BK77" i="3"/>
  <c r="BK74" i="3"/>
  <c r="AX95" i="3"/>
  <c r="AW95" i="3" s="1"/>
  <c r="BL84" i="3"/>
  <c r="AD18" i="2"/>
  <c r="AH18" i="2"/>
  <c r="AD50" i="2"/>
  <c r="AH50" i="2"/>
  <c r="AX17" i="3"/>
  <c r="AY17" i="3" s="1"/>
  <c r="AQ17" i="3"/>
  <c r="AT88" i="3"/>
  <c r="AU88" i="3" s="1"/>
  <c r="BK82" i="3"/>
  <c r="BK72" i="3"/>
  <c r="AD14" i="2"/>
  <c r="AH14" i="2"/>
  <c r="AD54" i="2"/>
  <c r="AH54" i="2"/>
  <c r="AD46" i="2"/>
  <c r="AH46" i="2"/>
  <c r="AD58" i="2"/>
  <c r="AH58" i="2"/>
  <c r="AD22" i="2"/>
  <c r="AH22" i="2"/>
  <c r="AX65" i="3"/>
  <c r="AY65" i="3" s="1"/>
  <c r="BL77" i="3"/>
  <c r="AT72" i="3"/>
  <c r="AU72" i="3" s="1"/>
  <c r="BK79" i="3"/>
  <c r="AX72" i="3"/>
  <c r="AY72" i="3" s="1"/>
  <c r="BL79" i="3"/>
  <c r="BE71" i="3"/>
  <c r="AP97" i="3"/>
  <c r="AT97" i="3"/>
  <c r="AU97" i="3" s="1"/>
  <c r="AP98" i="3"/>
  <c r="AT98" i="3"/>
  <c r="AU98" i="3" s="1"/>
  <c r="BR10" i="3"/>
  <c r="AT47" i="3"/>
  <c r="AU47" i="3" s="1"/>
  <c r="BR9" i="3"/>
  <c r="BK5" i="3"/>
  <c r="AY95" i="3"/>
  <c r="AQ97" i="3"/>
  <c r="BF97" i="3" s="1"/>
  <c r="AX97" i="3"/>
  <c r="AQ73" i="3"/>
  <c r="BF73" i="3" s="1"/>
  <c r="AX73" i="3"/>
  <c r="AY73" i="3" s="1"/>
  <c r="AT14" i="3"/>
  <c r="AU14" i="3" s="1"/>
  <c r="AV14" i="3"/>
  <c r="AW14" i="3" s="1"/>
  <c r="BR16" i="3"/>
  <c r="BR15" i="3"/>
  <c r="AQ90" i="3"/>
  <c r="BF90" i="3" s="1"/>
  <c r="AX90" i="3"/>
  <c r="AQ91" i="3"/>
  <c r="BF91" i="3" s="1"/>
  <c r="AX91" i="3"/>
  <c r="AQ63" i="3"/>
  <c r="BF63" i="3" s="1"/>
  <c r="AX63" i="3"/>
  <c r="AY63" i="3" s="1"/>
  <c r="AP71" i="3"/>
  <c r="BD71" i="3" s="1"/>
  <c r="AT71" i="3"/>
  <c r="AU71" i="3" s="1"/>
  <c r="AP75" i="3"/>
  <c r="BD75" i="3" s="1"/>
  <c r="AT75" i="3"/>
  <c r="AU75" i="3" s="1"/>
  <c r="AP89" i="3"/>
  <c r="AT89" i="3"/>
  <c r="AU89" i="3" s="1"/>
  <c r="AP64" i="3"/>
  <c r="BD64" i="3" s="1"/>
  <c r="AT64" i="3"/>
  <c r="AU64" i="3" s="1"/>
  <c r="AP96" i="3"/>
  <c r="AT96" i="3"/>
  <c r="AU96" i="3" s="1"/>
  <c r="AP94" i="3"/>
  <c r="AT94" i="3"/>
  <c r="AU94" i="3" s="1"/>
  <c r="AQ94" i="3"/>
  <c r="BF94" i="3" s="1"/>
  <c r="AX94" i="3"/>
  <c r="AQ96" i="3"/>
  <c r="BF96" i="3" s="1"/>
  <c r="AX96" i="3"/>
  <c r="AQ75" i="3"/>
  <c r="BF75" i="3" s="1"/>
  <c r="AX75" i="3"/>
  <c r="AY75" i="3" s="1"/>
  <c r="BR6" i="3"/>
  <c r="BR5" i="3"/>
  <c r="AT39" i="3"/>
  <c r="AU39" i="3" s="1"/>
  <c r="BK3" i="3"/>
  <c r="AY88" i="3"/>
  <c r="AQ66" i="3"/>
  <c r="BF66" i="3" s="1"/>
  <c r="AX66" i="3"/>
  <c r="AY66" i="3" s="1"/>
  <c r="AQ64" i="3"/>
  <c r="BF64" i="3" s="1"/>
  <c r="AX64" i="3"/>
  <c r="AY64" i="3" s="1"/>
  <c r="AP73" i="3"/>
  <c r="BD73" i="3" s="1"/>
  <c r="AT73" i="3"/>
  <c r="AU73" i="3" s="1"/>
  <c r="AX22" i="3"/>
  <c r="AY22" i="3" s="1"/>
  <c r="BS18" i="3"/>
  <c r="BS17" i="3"/>
  <c r="BS7" i="3"/>
  <c r="AX82" i="3"/>
  <c r="AY82" i="3" s="1"/>
  <c r="BS8" i="3"/>
  <c r="AZ14" i="3"/>
  <c r="BA14" i="3" s="1"/>
  <c r="BS16" i="3"/>
  <c r="AX14" i="3"/>
  <c r="AY14" i="3" s="1"/>
  <c r="BS15" i="3"/>
  <c r="BS3" i="3"/>
  <c r="BS4" i="3"/>
  <c r="AX59" i="3"/>
  <c r="AY59" i="3" s="1"/>
  <c r="AP87" i="3"/>
  <c r="AT87" i="3"/>
  <c r="AU87" i="3" s="1"/>
  <c r="AP90" i="3"/>
  <c r="AT90" i="3"/>
  <c r="AU90" i="3" s="1"/>
  <c r="AT13" i="3"/>
  <c r="AU13" i="3" s="1"/>
  <c r="AV13" i="3"/>
  <c r="AW13" i="3" s="1"/>
  <c r="AQ87" i="3"/>
  <c r="BF87" i="3" s="1"/>
  <c r="AX87" i="3"/>
  <c r="AP74" i="3"/>
  <c r="BD74" i="3" s="1"/>
  <c r="AT74" i="3"/>
  <c r="AU74" i="3" s="1"/>
  <c r="AP86" i="3"/>
  <c r="AT86" i="3"/>
  <c r="AU86" i="3" s="1"/>
  <c r="AP63" i="3"/>
  <c r="BD63" i="3" s="1"/>
  <c r="AT63" i="3"/>
  <c r="AU63" i="3" s="1"/>
  <c r="AP67" i="3"/>
  <c r="BD67" i="3" s="1"/>
  <c r="AT67" i="3"/>
  <c r="AU67" i="3" s="1"/>
  <c r="AP93" i="3"/>
  <c r="AT93" i="3"/>
  <c r="AU93" i="3" s="1"/>
  <c r="AT22" i="3"/>
  <c r="AU22" i="3" s="1"/>
  <c r="BR17" i="3"/>
  <c r="BR18" i="3"/>
  <c r="AQ93" i="3"/>
  <c r="BF93" i="3" s="1"/>
  <c r="AX93" i="3"/>
  <c r="AQ70" i="3"/>
  <c r="BF70" i="3" s="1"/>
  <c r="AX70" i="3"/>
  <c r="AY70" i="3" s="1"/>
  <c r="AQ89" i="3"/>
  <c r="BF89" i="3" s="1"/>
  <c r="AX89" i="3"/>
  <c r="BR3" i="3"/>
  <c r="AT59" i="3"/>
  <c r="AU59" i="3" s="1"/>
  <c r="BR4" i="3"/>
  <c r="AQ86" i="3"/>
  <c r="BF86" i="3" s="1"/>
  <c r="AX86" i="3"/>
  <c r="AQ67" i="3"/>
  <c r="BF67" i="3" s="1"/>
  <c r="AX67" i="3"/>
  <c r="AY67" i="3" s="1"/>
  <c r="AQ68" i="3"/>
  <c r="BF68" i="3" s="1"/>
  <c r="AX68" i="3"/>
  <c r="AY68" i="3" s="1"/>
  <c r="AP70" i="3"/>
  <c r="BD70" i="3" s="1"/>
  <c r="AT70" i="3"/>
  <c r="AU70" i="3" s="1"/>
  <c r="AX47" i="3"/>
  <c r="AY47" i="3" s="1"/>
  <c r="BS10" i="3"/>
  <c r="BS9" i="3"/>
  <c r="AX39" i="3"/>
  <c r="AY39" i="3" s="1"/>
  <c r="BS6" i="3"/>
  <c r="BS5" i="3"/>
  <c r="AP91" i="3"/>
  <c r="AT91" i="3"/>
  <c r="AU91" i="3" s="1"/>
  <c r="AP68" i="3"/>
  <c r="BD68" i="3" s="1"/>
  <c r="AT68" i="3"/>
  <c r="AU68" i="3" s="1"/>
  <c r="AP66" i="3"/>
  <c r="BD66" i="3" s="1"/>
  <c r="AT66" i="3"/>
  <c r="AU66" i="3" s="1"/>
  <c r="AT82" i="3"/>
  <c r="AU82" i="3" s="1"/>
  <c r="BR7" i="3"/>
  <c r="BR8" i="3"/>
  <c r="AQ98" i="3"/>
  <c r="BF98" i="3" s="1"/>
  <c r="AX98" i="3"/>
  <c r="AQ74" i="3"/>
  <c r="BF74" i="3" s="1"/>
  <c r="AX74" i="3"/>
  <c r="AY74" i="3" s="1"/>
  <c r="AV15" i="5"/>
  <c r="AW15" i="5" s="1"/>
  <c r="AP16" i="5"/>
  <c r="BR4" i="5"/>
  <c r="BR3" i="5"/>
  <c r="AZ49" i="5"/>
  <c r="BA49" i="5" s="1"/>
  <c r="AQ49" i="5"/>
  <c r="AQ50" i="5"/>
  <c r="AZ50" i="5"/>
  <c r="BA50" i="5" s="1"/>
  <c r="AZ84" i="5"/>
  <c r="BA84" i="5" s="1"/>
  <c r="AQ84" i="5"/>
  <c r="AP88" i="5"/>
  <c r="BK14" i="5"/>
  <c r="BK13" i="5"/>
  <c r="AZ41" i="5"/>
  <c r="BA41" i="5" s="1"/>
  <c r="AQ41" i="5"/>
  <c r="AQ29" i="5"/>
  <c r="AZ29" i="5"/>
  <c r="BA29" i="5" s="1"/>
  <c r="AQ36" i="5"/>
  <c r="AZ36" i="5"/>
  <c r="BA36" i="5" s="1"/>
  <c r="AP21" i="5"/>
  <c r="AV21" i="5"/>
  <c r="AW21" i="5" s="1"/>
  <c r="AV25" i="5"/>
  <c r="AW25" i="5" s="1"/>
  <c r="AP25" i="5"/>
  <c r="AP85" i="5"/>
  <c r="AV85" i="5"/>
  <c r="AW85" i="5" s="1"/>
  <c r="AV43" i="5"/>
  <c r="AW43" i="5" s="1"/>
  <c r="AP43" i="5"/>
  <c r="AQ25" i="5"/>
  <c r="AZ25" i="5"/>
  <c r="BA25" i="5" s="1"/>
  <c r="AZ22" i="5"/>
  <c r="BA22" i="5" s="1"/>
  <c r="BS18" i="5"/>
  <c r="BS17" i="5"/>
  <c r="AQ22" i="5"/>
  <c r="AZ51" i="5"/>
  <c r="BA51" i="5" s="1"/>
  <c r="AQ51" i="5"/>
  <c r="AZ42" i="5"/>
  <c r="BA42" i="5" s="1"/>
  <c r="AQ42" i="5"/>
  <c r="AQ17" i="5"/>
  <c r="AZ17" i="5"/>
  <c r="BA17" i="5" s="1"/>
  <c r="AZ60" i="5"/>
  <c r="BA60" i="5" s="1"/>
  <c r="AQ60" i="5"/>
  <c r="AV82" i="5"/>
  <c r="AW82" i="5" s="1"/>
  <c r="AP82" i="5"/>
  <c r="BR8" i="5"/>
  <c r="BR7" i="5"/>
  <c r="AV26" i="5"/>
  <c r="AW26" i="5" s="1"/>
  <c r="AP26" i="5"/>
  <c r="AV36" i="5"/>
  <c r="AW36" i="5" s="1"/>
  <c r="AP36" i="5"/>
  <c r="AQ21" i="5"/>
  <c r="AZ21" i="5"/>
  <c r="BA21" i="5" s="1"/>
  <c r="AQ52" i="5"/>
  <c r="AZ52" i="5"/>
  <c r="BA52" i="5" s="1"/>
  <c r="AZ24" i="5"/>
  <c r="BA24" i="5" s="1"/>
  <c r="AQ24" i="5"/>
  <c r="AZ37" i="5"/>
  <c r="BA37" i="5" s="1"/>
  <c r="AQ37" i="5"/>
  <c r="AZ85" i="5"/>
  <c r="BA85" i="5" s="1"/>
  <c r="AQ85" i="5"/>
  <c r="AP60" i="5"/>
  <c r="AV60" i="5"/>
  <c r="AW60" i="5" s="1"/>
  <c r="AP62" i="5"/>
  <c r="AV62" i="5"/>
  <c r="AW62" i="5" s="1"/>
  <c r="BK9" i="5"/>
  <c r="AP65" i="5"/>
  <c r="BK8" i="5"/>
  <c r="AQ61" i="5"/>
  <c r="AZ61" i="5"/>
  <c r="BA61" i="5" s="1"/>
  <c r="AQ39" i="5"/>
  <c r="BL3" i="5"/>
  <c r="AZ39" i="5"/>
  <c r="BA39" i="5" s="1"/>
  <c r="BS5" i="5"/>
  <c r="BS6" i="5"/>
  <c r="BL4" i="5"/>
  <c r="AZ38" i="5"/>
  <c r="BA38" i="5" s="1"/>
  <c r="AQ38" i="5"/>
  <c r="AQ15" i="5"/>
  <c r="AZ15" i="5"/>
  <c r="BA15" i="5" s="1"/>
  <c r="AQ13" i="5"/>
  <c r="AZ13" i="5"/>
  <c r="BA13" i="5" s="1"/>
  <c r="AQ43" i="5"/>
  <c r="AZ43" i="5"/>
  <c r="BA43" i="5" s="1"/>
  <c r="BR18" i="5"/>
  <c r="BR17" i="5"/>
  <c r="AV22" i="5"/>
  <c r="AW22" i="5" s="1"/>
  <c r="AP22" i="5"/>
  <c r="BD22" i="5" s="1"/>
  <c r="AP28" i="5"/>
  <c r="AV28" i="5"/>
  <c r="AW28" i="5" s="1"/>
  <c r="AP50" i="5"/>
  <c r="AV50" i="5"/>
  <c r="AW50" i="5" s="1"/>
  <c r="AV52" i="5"/>
  <c r="AW52" i="5" s="1"/>
  <c r="AP52" i="5"/>
  <c r="AV29" i="5"/>
  <c r="AW29" i="5" s="1"/>
  <c r="AP29" i="5"/>
  <c r="BR16" i="5"/>
  <c r="BR15" i="5"/>
  <c r="AV14" i="5"/>
  <c r="AW14" i="5" s="1"/>
  <c r="AP14" i="5"/>
  <c r="AV20" i="5"/>
  <c r="AW20" i="5" s="1"/>
  <c r="AP20" i="5"/>
  <c r="AQ48" i="5"/>
  <c r="AZ48" i="5"/>
  <c r="BA48" i="5" s="1"/>
  <c r="AZ28" i="5"/>
  <c r="BA28" i="5" s="1"/>
  <c r="AQ28" i="5"/>
  <c r="BK4" i="5"/>
  <c r="AP39" i="5"/>
  <c r="BR5" i="5"/>
  <c r="BK3" i="5"/>
  <c r="AV39" i="5"/>
  <c r="AW39" i="5" s="1"/>
  <c r="BR6" i="5"/>
  <c r="AZ62" i="5"/>
  <c r="BA62" i="5" s="1"/>
  <c r="AQ62" i="5"/>
  <c r="AZ20" i="5"/>
  <c r="BA20" i="5" s="1"/>
  <c r="AQ20" i="5"/>
  <c r="AP48" i="5"/>
  <c r="AV48" i="5"/>
  <c r="AW48" i="5" s="1"/>
  <c r="AV49" i="5"/>
  <c r="AW49" i="5" s="1"/>
  <c r="AP49" i="5"/>
  <c r="AP95" i="5"/>
  <c r="BK16" i="5"/>
  <c r="BK15" i="5"/>
  <c r="AQ83" i="5"/>
  <c r="AZ83" i="5"/>
  <c r="BA83" i="5" s="1"/>
  <c r="AQ45" i="5"/>
  <c r="AZ45" i="5"/>
  <c r="BA45" i="5" s="1"/>
  <c r="AP13" i="5"/>
  <c r="AV13" i="5"/>
  <c r="AW13" i="5" s="1"/>
  <c r="AQ19" i="5"/>
  <c r="AZ19" i="5"/>
  <c r="BA19" i="5" s="1"/>
  <c r="AZ44" i="5"/>
  <c r="BA44" i="5" s="1"/>
  <c r="AQ44" i="5"/>
  <c r="AP45" i="5"/>
  <c r="AV45" i="5"/>
  <c r="AW45" i="5" s="1"/>
  <c r="AV47" i="5"/>
  <c r="AW47" i="5" s="1"/>
  <c r="AP47" i="5"/>
  <c r="BR10" i="5"/>
  <c r="BR9" i="5"/>
  <c r="BK5" i="5"/>
  <c r="BK6" i="5"/>
  <c r="AV44" i="5"/>
  <c r="AW44" i="5" s="1"/>
  <c r="AP44" i="5"/>
  <c r="AV61" i="5"/>
  <c r="AW61" i="5" s="1"/>
  <c r="AP61" i="5"/>
  <c r="AQ72" i="5"/>
  <c r="BL10" i="5"/>
  <c r="BL11" i="5"/>
  <c r="AQ27" i="5"/>
  <c r="AZ27" i="5"/>
  <c r="BA27" i="5" s="1"/>
  <c r="BS8" i="5"/>
  <c r="AZ82" i="5"/>
  <c r="BA82" i="5" s="1"/>
  <c r="AQ82" i="5"/>
  <c r="BS7" i="5"/>
  <c r="AZ26" i="5"/>
  <c r="BA26" i="5" s="1"/>
  <c r="AQ26" i="5"/>
  <c r="AZ47" i="5"/>
  <c r="BA47" i="5" s="1"/>
  <c r="AQ47" i="5"/>
  <c r="BS10" i="5"/>
  <c r="BL6" i="5"/>
  <c r="BS9" i="5"/>
  <c r="BL5" i="5"/>
  <c r="AV38" i="5"/>
  <c r="AW38" i="5" s="1"/>
  <c r="AP38" i="5"/>
  <c r="AP17" i="5"/>
  <c r="AV17" i="5"/>
  <c r="AW17" i="5" s="1"/>
  <c r="AP19" i="5"/>
  <c r="AV19" i="5"/>
  <c r="AW19" i="5" s="1"/>
  <c r="AQ88" i="5"/>
  <c r="BL14" i="5"/>
  <c r="BL13" i="5"/>
  <c r="AZ16" i="5"/>
  <c r="BA16" i="5" s="1"/>
  <c r="AQ16" i="5"/>
  <c r="AZ18" i="5"/>
  <c r="BA18" i="5" s="1"/>
  <c r="AQ18" i="5"/>
  <c r="AQ59" i="5"/>
  <c r="AZ59" i="5"/>
  <c r="BA59" i="5" s="1"/>
  <c r="BS3" i="5"/>
  <c r="BS4" i="5"/>
  <c r="AZ40" i="5"/>
  <c r="BA40" i="5" s="1"/>
  <c r="AQ40" i="5"/>
  <c r="AZ14" i="5"/>
  <c r="BA14" i="5" s="1"/>
  <c r="BS15" i="5"/>
  <c r="AQ14" i="5"/>
  <c r="BS16" i="5"/>
  <c r="AQ95" i="5"/>
  <c r="BL16" i="5"/>
  <c r="BL15" i="5"/>
  <c r="BK11" i="5"/>
  <c r="BK10" i="5"/>
  <c r="AP72" i="5"/>
  <c r="AP24" i="5"/>
  <c r="AV24" i="5"/>
  <c r="AW24" i="5" s="1"/>
  <c r="AP27" i="5"/>
  <c r="AV27" i="5"/>
  <c r="AW27" i="5" s="1"/>
  <c r="AV51" i="5"/>
  <c r="AW51" i="5" s="1"/>
  <c r="AP51" i="5"/>
  <c r="AV84" i="5"/>
  <c r="AW84" i="5" s="1"/>
  <c r="AP84" i="5"/>
  <c r="AP83" i="5"/>
  <c r="AV83" i="5"/>
  <c r="AW83" i="5" s="1"/>
  <c r="AP37" i="5"/>
  <c r="AV37" i="5"/>
  <c r="AW37" i="5" s="1"/>
  <c r="AQ65" i="5"/>
  <c r="BL8" i="5"/>
  <c r="BL9" i="5"/>
  <c r="AV41" i="5"/>
  <c r="AW41" i="5" s="1"/>
  <c r="AP41" i="5"/>
  <c r="BL4" i="3"/>
  <c r="BL3" i="3"/>
  <c r="BK4" i="3"/>
  <c r="AQ88" i="3"/>
  <c r="BL14" i="3"/>
  <c r="BL13" i="3"/>
  <c r="AP65" i="3"/>
  <c r="BK8" i="3"/>
  <c r="BK9" i="3"/>
  <c r="BK6" i="3"/>
  <c r="AQ95" i="3"/>
  <c r="BL15" i="3"/>
  <c r="BL16" i="3"/>
  <c r="BL5" i="3"/>
  <c r="BL6" i="3"/>
  <c r="AP88" i="3"/>
  <c r="BK13" i="3"/>
  <c r="BK14" i="3"/>
  <c r="AP95" i="3"/>
  <c r="BK16" i="3"/>
  <c r="BK15" i="3"/>
  <c r="AQ65" i="3"/>
  <c r="BL8" i="3"/>
  <c r="BL9" i="3"/>
  <c r="AP72" i="3"/>
  <c r="BK10" i="3"/>
  <c r="BK11" i="3"/>
  <c r="AQ72" i="3"/>
  <c r="BL11" i="3"/>
  <c r="BL10" i="3"/>
  <c r="AV20" i="3"/>
  <c r="AW20" i="3" s="1"/>
  <c r="AP20" i="3"/>
  <c r="BC20" i="3" s="1"/>
  <c r="AQ84" i="3"/>
  <c r="BE84" i="3" s="1"/>
  <c r="AZ84" i="3"/>
  <c r="BA84" i="3" s="1"/>
  <c r="AZ13" i="3"/>
  <c r="BA13" i="3" s="1"/>
  <c r="AQ13" i="3"/>
  <c r="BE13" i="3" s="1"/>
  <c r="AZ38" i="3"/>
  <c r="BA38" i="3" s="1"/>
  <c r="AQ38" i="3"/>
  <c r="AV21" i="3"/>
  <c r="AW21" i="3" s="1"/>
  <c r="AP21" i="3"/>
  <c r="BC21" i="3" s="1"/>
  <c r="AP84" i="3"/>
  <c r="BC84" i="3" s="1"/>
  <c r="AV84" i="3"/>
  <c r="AW84" i="3" s="1"/>
  <c r="AP37" i="3"/>
  <c r="AV37" i="3"/>
  <c r="AW37" i="3" s="1"/>
  <c r="AV59" i="3"/>
  <c r="AW59" i="3" s="1"/>
  <c r="AP59" i="3"/>
  <c r="AP17" i="3"/>
  <c r="BC17" i="3" s="1"/>
  <c r="AV17" i="3"/>
  <c r="AW17" i="3" s="1"/>
  <c r="AV16" i="3"/>
  <c r="AW16" i="3" s="1"/>
  <c r="AP16" i="3"/>
  <c r="BC16" i="3" s="1"/>
  <c r="AP19" i="3"/>
  <c r="BC19" i="3" s="1"/>
  <c r="AV19" i="3"/>
  <c r="AW19" i="3" s="1"/>
  <c r="AV61" i="3"/>
  <c r="AW61" i="3" s="1"/>
  <c r="AP61" i="3"/>
  <c r="BC61" i="3" s="1"/>
  <c r="AZ47" i="3"/>
  <c r="BA47" i="3" s="1"/>
  <c r="AQ47" i="3"/>
  <c r="AQ50" i="3"/>
  <c r="BE50" i="3" s="1"/>
  <c r="AZ50" i="3"/>
  <c r="BA50" i="3" s="1"/>
  <c r="AZ49" i="3"/>
  <c r="BA49" i="3" s="1"/>
  <c r="AQ49" i="3"/>
  <c r="BE49" i="3" s="1"/>
  <c r="AZ21" i="3"/>
  <c r="BA21" i="3" s="1"/>
  <c r="AQ21" i="3"/>
  <c r="BE21" i="3" s="1"/>
  <c r="AZ20" i="3"/>
  <c r="BA20" i="3" s="1"/>
  <c r="AQ20" i="3"/>
  <c r="BE20" i="3" s="1"/>
  <c r="AQ39" i="3"/>
  <c r="AZ39" i="3"/>
  <c r="BA39" i="3" s="1"/>
  <c r="AQ15" i="3"/>
  <c r="BE15" i="3" s="1"/>
  <c r="AZ15" i="3"/>
  <c r="BA15" i="3" s="1"/>
  <c r="AZ18" i="3"/>
  <c r="BA18" i="3" s="1"/>
  <c r="AQ18" i="3"/>
  <c r="BE18" i="3" s="1"/>
  <c r="AZ42" i="3"/>
  <c r="BA42" i="3" s="1"/>
  <c r="AQ42" i="3"/>
  <c r="BE42" i="3" s="1"/>
  <c r="AZ62" i="3"/>
  <c r="BA62" i="3" s="1"/>
  <c r="AQ62" i="3"/>
  <c r="BE62" i="3" s="1"/>
  <c r="AV49" i="3"/>
  <c r="AW49" i="3" s="1"/>
  <c r="AP49" i="3"/>
  <c r="BC49" i="3" s="1"/>
  <c r="AV82" i="3"/>
  <c r="AW82" i="3" s="1"/>
  <c r="AP82" i="3"/>
  <c r="AV25" i="3"/>
  <c r="AW25" i="3" s="1"/>
  <c r="AP25" i="3"/>
  <c r="BC25" i="3" s="1"/>
  <c r="AP28" i="3"/>
  <c r="BC28" i="3" s="1"/>
  <c r="AV28" i="3"/>
  <c r="AW28" i="3" s="1"/>
  <c r="AV83" i="3"/>
  <c r="AW83" i="3" s="1"/>
  <c r="AP83" i="3"/>
  <c r="BC83" i="3" s="1"/>
  <c r="AP13" i="3"/>
  <c r="AP38" i="3"/>
  <c r="AV38" i="3"/>
  <c r="AW38" i="3" s="1"/>
  <c r="AZ26" i="3"/>
  <c r="BA26" i="3" s="1"/>
  <c r="AQ26" i="3"/>
  <c r="BE26" i="3" s="1"/>
  <c r="AZ24" i="3"/>
  <c r="BA24" i="3" s="1"/>
  <c r="AQ24" i="3"/>
  <c r="BE24" i="3" s="1"/>
  <c r="AZ61" i="3"/>
  <c r="BA61" i="3" s="1"/>
  <c r="AQ61" i="3"/>
  <c r="BE61" i="3" s="1"/>
  <c r="AV26" i="3"/>
  <c r="AW26" i="3" s="1"/>
  <c r="AP26" i="3"/>
  <c r="BC26" i="3" s="1"/>
  <c r="AV18" i="3"/>
  <c r="AW18" i="3" s="1"/>
  <c r="AP18" i="3"/>
  <c r="BC18" i="3" s="1"/>
  <c r="AV36" i="3"/>
  <c r="AW36" i="3" s="1"/>
  <c r="AP36" i="3"/>
  <c r="AP15" i="3"/>
  <c r="BC15" i="3" s="1"/>
  <c r="AV15" i="3"/>
  <c r="AW15" i="3" s="1"/>
  <c r="AV39" i="3"/>
  <c r="AP39" i="3"/>
  <c r="AZ37" i="3"/>
  <c r="BA37" i="3" s="1"/>
  <c r="AQ37" i="3"/>
  <c r="AZ22" i="3"/>
  <c r="BA22" i="3" s="1"/>
  <c r="AQ22" i="3"/>
  <c r="AQ83" i="3"/>
  <c r="BE83" i="3" s="1"/>
  <c r="AZ83" i="3"/>
  <c r="BA83" i="3" s="1"/>
  <c r="AZ82" i="3"/>
  <c r="BA82" i="3" s="1"/>
  <c r="AQ82" i="3"/>
  <c r="AZ52" i="3"/>
  <c r="BA52" i="3" s="1"/>
  <c r="AQ52" i="3"/>
  <c r="BE52" i="3" s="1"/>
  <c r="AZ40" i="3"/>
  <c r="BA40" i="3" s="1"/>
  <c r="AQ40" i="3"/>
  <c r="BE40" i="3" s="1"/>
  <c r="AQ16" i="3"/>
  <c r="BE16" i="3" s="1"/>
  <c r="AZ16" i="3"/>
  <c r="BA16" i="3" s="1"/>
  <c r="AQ29" i="3"/>
  <c r="BE29" i="3" s="1"/>
  <c r="AZ29" i="3"/>
  <c r="BA29" i="3" s="1"/>
  <c r="AQ14" i="3"/>
  <c r="AQ59" i="3"/>
  <c r="AZ59" i="3"/>
  <c r="BA59" i="3" s="1"/>
  <c r="AP27" i="3"/>
  <c r="BC27" i="3" s="1"/>
  <c r="AV27" i="3"/>
  <c r="AW27" i="3" s="1"/>
  <c r="AP45" i="3"/>
  <c r="BC45" i="3" s="1"/>
  <c r="AV45" i="3"/>
  <c r="AW45" i="3" s="1"/>
  <c r="AV47" i="3"/>
  <c r="AP47" i="3"/>
  <c r="AP24" i="3"/>
  <c r="BC24" i="3" s="1"/>
  <c r="AV24" i="3"/>
  <c r="AW24" i="3" s="1"/>
  <c r="AP60" i="3"/>
  <c r="BC60" i="3" s="1"/>
  <c r="AV60" i="3"/>
  <c r="AW60" i="3" s="1"/>
  <c r="AP62" i="3"/>
  <c r="BC62" i="3" s="1"/>
  <c r="AV62" i="3"/>
  <c r="AW62" i="3" s="1"/>
  <c r="AZ45" i="3"/>
  <c r="BA45" i="3" s="1"/>
  <c r="AQ45" i="3"/>
  <c r="BE45" i="3" s="1"/>
  <c r="AQ85" i="3"/>
  <c r="BE85" i="3" s="1"/>
  <c r="AZ85" i="3"/>
  <c r="BA85" i="3" s="1"/>
  <c r="AQ60" i="3"/>
  <c r="BE60" i="3" s="1"/>
  <c r="AZ60" i="3"/>
  <c r="BA60" i="3" s="1"/>
  <c r="AZ41" i="3"/>
  <c r="BA41" i="3" s="1"/>
  <c r="AQ41" i="3"/>
  <c r="BE41" i="3" s="1"/>
  <c r="AP22" i="3"/>
  <c r="AV22" i="3"/>
  <c r="AW22" i="3" s="1"/>
  <c r="AP52" i="3"/>
  <c r="BC52" i="3" s="1"/>
  <c r="AV52" i="3"/>
  <c r="AW52" i="3" s="1"/>
  <c r="AV29" i="3"/>
  <c r="AW29" i="3" s="1"/>
  <c r="AP29" i="3"/>
  <c r="BC29" i="3" s="1"/>
  <c r="AP41" i="3"/>
  <c r="BC41" i="3" s="1"/>
  <c r="AV41" i="3"/>
  <c r="AW41" i="3" s="1"/>
  <c r="AP14" i="3"/>
  <c r="AP42" i="3"/>
  <c r="BC42" i="3" s="1"/>
  <c r="AV42" i="3"/>
  <c r="AW42" i="3" s="1"/>
  <c r="AV44" i="3"/>
  <c r="AW44" i="3" s="1"/>
  <c r="AP44" i="3"/>
  <c r="BC44" i="3" s="1"/>
  <c r="AV40" i="3"/>
  <c r="AW40" i="3" s="1"/>
  <c r="AP40" i="3"/>
  <c r="BC40" i="3" s="1"/>
  <c r="AV43" i="3"/>
  <c r="AW43" i="3" s="1"/>
  <c r="AP43" i="3"/>
  <c r="BC43" i="3" s="1"/>
  <c r="AZ27" i="3"/>
  <c r="BA27" i="3" s="1"/>
  <c r="AQ27" i="3"/>
  <c r="BE27" i="3" s="1"/>
  <c r="AQ51" i="3"/>
  <c r="BE51" i="3" s="1"/>
  <c r="AZ51" i="3"/>
  <c r="BA51" i="3" s="1"/>
  <c r="AQ25" i="3"/>
  <c r="BE25" i="3" s="1"/>
  <c r="AZ25" i="3"/>
  <c r="BA25" i="3" s="1"/>
  <c r="AZ28" i="3"/>
  <c r="BA28" i="3" s="1"/>
  <c r="AQ28" i="3"/>
  <c r="BE28" i="3" s="1"/>
  <c r="AZ48" i="3"/>
  <c r="BA48" i="3" s="1"/>
  <c r="AQ48" i="3"/>
  <c r="BE48" i="3" s="1"/>
  <c r="AQ19" i="3"/>
  <c r="BE19" i="3" s="1"/>
  <c r="AZ19" i="3"/>
  <c r="BA19" i="3" s="1"/>
  <c r="AZ44" i="3"/>
  <c r="BA44" i="3" s="1"/>
  <c r="AQ44" i="3"/>
  <c r="BE44" i="3" s="1"/>
  <c r="AQ43" i="3"/>
  <c r="BE43" i="3" s="1"/>
  <c r="AZ43" i="3"/>
  <c r="BA43" i="3" s="1"/>
  <c r="AZ36" i="3"/>
  <c r="BA36" i="3" s="1"/>
  <c r="AQ36" i="3"/>
  <c r="AZ17" i="3"/>
  <c r="BA17" i="3" s="1"/>
  <c r="BE17" i="3"/>
  <c r="AP50" i="3"/>
  <c r="BC50" i="3" s="1"/>
  <c r="AV50" i="3"/>
  <c r="AW50" i="3" s="1"/>
  <c r="AV85" i="3"/>
  <c r="AW85" i="3" s="1"/>
  <c r="AP85" i="3"/>
  <c r="BC85" i="3" s="1"/>
  <c r="AV51" i="3"/>
  <c r="AW51" i="3" s="1"/>
  <c r="AP51" i="3"/>
  <c r="BC51" i="3" s="1"/>
  <c r="AP48" i="3"/>
  <c r="BC48" i="3" s="1"/>
  <c r="AV48" i="3"/>
  <c r="AW48" i="3" s="1"/>
  <c r="AE13" i="2"/>
  <c r="AE17" i="2"/>
  <c r="AC49" i="2"/>
  <c r="AE49" i="2" s="1"/>
  <c r="AA49" i="2"/>
  <c r="AA51" i="2"/>
  <c r="AC51" i="2"/>
  <c r="AE51" i="2" s="1"/>
  <c r="AA15" i="2"/>
  <c r="AC15" i="2"/>
  <c r="AE15" i="2" s="1"/>
  <c r="AA55" i="2"/>
  <c r="AC55" i="2"/>
  <c r="AE55" i="2" s="1"/>
  <c r="AA19" i="2"/>
  <c r="AC19" i="2"/>
  <c r="AE19" i="2" s="1"/>
  <c r="AA48" i="2"/>
  <c r="AC48" i="2"/>
  <c r="AE48" i="2" s="1"/>
  <c r="AA29" i="2"/>
  <c r="AC29" i="2"/>
  <c r="AE29" i="2" s="1"/>
  <c r="AA59" i="2"/>
  <c r="AC59" i="2"/>
  <c r="AE59" i="2" s="1"/>
  <c r="AC53" i="2"/>
  <c r="AE53" i="2" s="1"/>
  <c r="AA53" i="2"/>
  <c r="AC31" i="2"/>
  <c r="AE31" i="2" s="1"/>
  <c r="AA31" i="2"/>
  <c r="AA52" i="2"/>
  <c r="AC52" i="2"/>
  <c r="AE52" i="2" s="1"/>
  <c r="AA16" i="2"/>
  <c r="AC16" i="2"/>
  <c r="AE16" i="2" s="1"/>
  <c r="AA60" i="2"/>
  <c r="AC60" i="2"/>
  <c r="AE60" i="2" s="1"/>
  <c r="AA20" i="2"/>
  <c r="AC20" i="2"/>
  <c r="AE20" i="2" s="1"/>
  <c r="AC61" i="2"/>
  <c r="AE61" i="2" s="1"/>
  <c r="AA61" i="2"/>
  <c r="AC25" i="2"/>
  <c r="AE25" i="2" s="1"/>
  <c r="AA25" i="2"/>
  <c r="AA30" i="2"/>
  <c r="AC30" i="2"/>
  <c r="AE30" i="2" s="1"/>
  <c r="AA38" i="2"/>
  <c r="AC38" i="2"/>
  <c r="AE38" i="2" s="1"/>
  <c r="AA33" i="2"/>
  <c r="AC33" i="2"/>
  <c r="AE33" i="2" s="1"/>
  <c r="AC57" i="2"/>
  <c r="AE57" i="2" s="1"/>
  <c r="AA57" i="2"/>
  <c r="AA23" i="2"/>
  <c r="AC23" i="2"/>
  <c r="AE23" i="2" s="1"/>
  <c r="AA37" i="2"/>
  <c r="AC37" i="2"/>
  <c r="AE37" i="2" s="1"/>
  <c r="AC47" i="2"/>
  <c r="AE47" i="2" s="1"/>
  <c r="AA47" i="2"/>
  <c r="AA11" i="2"/>
  <c r="AC11" i="2"/>
  <c r="AE11" i="2" s="1"/>
  <c r="AA24" i="2"/>
  <c r="AC24" i="2"/>
  <c r="AE24" i="2" s="1"/>
  <c r="AA41" i="2"/>
  <c r="AC41" i="2"/>
  <c r="AE41" i="2" s="1"/>
  <c r="AC35" i="2"/>
  <c r="AE35" i="2" s="1"/>
  <c r="AA35" i="2"/>
  <c r="AA34" i="2"/>
  <c r="AC34" i="2"/>
  <c r="AE34" i="2" s="1"/>
  <c r="AC39" i="2"/>
  <c r="AE39" i="2" s="1"/>
  <c r="AA39" i="2"/>
  <c r="AA42" i="2"/>
  <c r="AC42" i="2"/>
  <c r="AE42" i="2" s="1"/>
  <c r="AC43" i="2"/>
  <c r="AE43" i="2" s="1"/>
  <c r="AA43" i="2"/>
  <c r="AC12" i="2"/>
  <c r="AE12" i="2" s="1"/>
  <c r="AC21" i="2"/>
  <c r="AE21" i="2" s="1"/>
  <c r="AA21" i="2"/>
  <c r="AA56" i="2"/>
  <c r="AC56" i="2"/>
  <c r="AE56" i="2" s="1"/>
  <c r="BN68" i="3" l="1"/>
  <c r="BC98" i="3"/>
  <c r="BC22" i="5"/>
  <c r="BF22" i="5"/>
  <c r="BE22" i="5"/>
  <c r="BD24" i="5"/>
  <c r="BC24" i="5"/>
  <c r="BN84" i="3"/>
  <c r="BC65" i="3"/>
  <c r="BM77" i="3"/>
  <c r="AG37" i="2"/>
  <c r="AD57" i="2"/>
  <c r="AH57" i="2"/>
  <c r="AD25" i="2"/>
  <c r="AH25" i="2"/>
  <c r="AD31" i="2"/>
  <c r="AH31" i="2"/>
  <c r="BM74" i="3"/>
  <c r="BM70" i="3"/>
  <c r="BM68" i="3"/>
  <c r="BE65" i="3"/>
  <c r="BN77" i="3"/>
  <c r="AD21" i="2"/>
  <c r="AH21" i="2"/>
  <c r="AD24" i="2"/>
  <c r="AH24" i="2"/>
  <c r="AD23" i="2"/>
  <c r="AH23" i="2"/>
  <c r="AD33" i="2"/>
  <c r="AH33" i="2"/>
  <c r="AD30" i="2"/>
  <c r="AH30" i="2"/>
  <c r="AD60" i="2"/>
  <c r="AH60" i="2"/>
  <c r="AD52" i="2"/>
  <c r="AF55" i="2" s="1"/>
  <c r="AH52" i="2"/>
  <c r="AD29" i="2"/>
  <c r="AH29" i="2"/>
  <c r="AD19" i="2"/>
  <c r="AH19" i="2"/>
  <c r="AD15" i="2"/>
  <c r="AF18" i="2" s="1"/>
  <c r="AH15" i="2"/>
  <c r="AD42" i="2"/>
  <c r="AH42" i="2"/>
  <c r="AD34" i="2"/>
  <c r="AH34" i="2"/>
  <c r="AD41" i="2"/>
  <c r="AF43" i="2" s="1"/>
  <c r="AH41" i="2"/>
  <c r="AD37" i="2"/>
  <c r="AH37" i="2"/>
  <c r="AD38" i="2"/>
  <c r="AH38" i="2"/>
  <c r="AD20" i="2"/>
  <c r="AH20" i="2"/>
  <c r="AD16" i="2"/>
  <c r="AH16" i="2"/>
  <c r="AD59" i="2"/>
  <c r="AH59" i="2"/>
  <c r="AD48" i="2"/>
  <c r="AH48" i="2"/>
  <c r="AD55" i="2"/>
  <c r="AH55" i="2"/>
  <c r="AD51" i="2"/>
  <c r="AH51" i="2"/>
  <c r="BN72" i="3"/>
  <c r="BC72" i="3"/>
  <c r="BM79" i="3"/>
  <c r="BC95" i="3"/>
  <c r="BM84" i="3"/>
  <c r="AD56" i="2"/>
  <c r="AH56" i="2"/>
  <c r="AD43" i="2"/>
  <c r="AH43" i="2"/>
  <c r="AD39" i="2"/>
  <c r="AH39" i="2"/>
  <c r="AD35" i="2"/>
  <c r="AH35" i="2"/>
  <c r="AD47" i="2"/>
  <c r="AH47" i="2"/>
  <c r="AD61" i="2"/>
  <c r="AH61" i="2"/>
  <c r="AD53" i="2"/>
  <c r="AH53" i="2"/>
  <c r="AD49" i="2"/>
  <c r="AH49" i="2"/>
  <c r="BN70" i="3"/>
  <c r="BM72" i="3"/>
  <c r="BN74" i="3"/>
  <c r="BE72" i="3"/>
  <c r="BN79" i="3"/>
  <c r="BC88" i="3"/>
  <c r="BM82" i="3"/>
  <c r="BN82" i="3"/>
  <c r="BC97" i="3"/>
  <c r="AF61" i="2"/>
  <c r="BC90" i="3"/>
  <c r="BE14" i="3"/>
  <c r="BE82" i="3"/>
  <c r="BC14" i="3"/>
  <c r="BD21" i="3"/>
  <c r="BC67" i="3"/>
  <c r="BC86" i="3"/>
  <c r="BC74" i="3"/>
  <c r="BE59" i="3"/>
  <c r="BM47" i="3" s="1"/>
  <c r="BE47" i="3"/>
  <c r="BM53" i="3" s="1"/>
  <c r="BM49" i="3"/>
  <c r="BK51" i="3"/>
  <c r="BM51" i="3"/>
  <c r="BE64" i="3"/>
  <c r="BD50" i="3"/>
  <c r="BF25" i="3"/>
  <c r="BD42" i="3"/>
  <c r="BD41" i="3"/>
  <c r="BD52" i="3"/>
  <c r="BF85" i="3"/>
  <c r="BD62" i="3"/>
  <c r="BD24" i="3"/>
  <c r="BU8" i="3"/>
  <c r="BU7" i="3"/>
  <c r="BU17" i="3"/>
  <c r="BU18" i="3"/>
  <c r="BT5" i="3"/>
  <c r="BT6" i="3"/>
  <c r="BU10" i="3"/>
  <c r="BU9" i="3"/>
  <c r="BF13" i="3"/>
  <c r="BE74" i="3"/>
  <c r="BC66" i="3"/>
  <c r="BC91" i="3"/>
  <c r="BE39" i="3"/>
  <c r="BC70" i="3"/>
  <c r="BE67" i="3"/>
  <c r="AW89" i="3"/>
  <c r="BD89" i="3" s="1"/>
  <c r="AY89" i="3"/>
  <c r="BE89" i="3" s="1"/>
  <c r="AY93" i="3"/>
  <c r="BE93" i="3" s="1"/>
  <c r="AW93" i="3"/>
  <c r="BD93" i="3" s="1"/>
  <c r="BE22" i="3"/>
  <c r="BE88" i="3"/>
  <c r="AY96" i="3"/>
  <c r="BE96" i="3" s="1"/>
  <c r="AW96" i="3"/>
  <c r="BD96" i="3" s="1"/>
  <c r="BC94" i="3"/>
  <c r="BC64" i="3"/>
  <c r="BC71" i="3"/>
  <c r="AY91" i="3"/>
  <c r="BE91" i="3" s="1"/>
  <c r="AW91" i="3"/>
  <c r="BD91" i="3" s="1"/>
  <c r="BE73" i="3"/>
  <c r="BU4" i="3"/>
  <c r="BU3" i="3"/>
  <c r="BC82" i="3"/>
  <c r="BC59" i="3"/>
  <c r="BK47" i="3" s="1"/>
  <c r="BE70" i="3"/>
  <c r="BC93" i="3"/>
  <c r="BC63" i="3"/>
  <c r="AY87" i="3"/>
  <c r="BE87" i="3" s="1"/>
  <c r="AW87" i="3"/>
  <c r="BD87" i="3" s="1"/>
  <c r="BC87" i="3"/>
  <c r="BC73" i="3"/>
  <c r="BE66" i="3"/>
  <c r="BE95" i="3"/>
  <c r="BC47" i="3"/>
  <c r="BK53" i="3" s="1"/>
  <c r="BT18" i="3"/>
  <c r="BT17" i="3"/>
  <c r="BU5" i="3"/>
  <c r="BU6" i="3"/>
  <c r="BC22" i="3"/>
  <c r="BD48" i="3"/>
  <c r="BF43" i="3"/>
  <c r="BF19" i="3"/>
  <c r="BF51" i="3"/>
  <c r="BT15" i="3"/>
  <c r="BT16" i="3"/>
  <c r="BD22" i="3"/>
  <c r="BF60" i="3"/>
  <c r="BD60" i="3"/>
  <c r="BT9" i="3"/>
  <c r="BT10" i="3"/>
  <c r="BD27" i="3"/>
  <c r="BU16" i="3"/>
  <c r="BU15" i="3"/>
  <c r="BF16" i="3"/>
  <c r="BF83" i="3"/>
  <c r="BD15" i="3"/>
  <c r="BD13" i="3"/>
  <c r="BD28" i="3"/>
  <c r="BT8" i="3"/>
  <c r="BT7" i="3"/>
  <c r="BF39" i="3"/>
  <c r="BF50" i="3"/>
  <c r="BT4" i="3"/>
  <c r="BT3" i="3"/>
  <c r="BD84" i="3"/>
  <c r="BF84" i="3"/>
  <c r="AW98" i="3"/>
  <c r="BD98" i="3" s="1"/>
  <c r="AY98" i="3"/>
  <c r="BE98" i="3" s="1"/>
  <c r="BC68" i="3"/>
  <c r="BE68" i="3"/>
  <c r="AW86" i="3"/>
  <c r="BD86" i="3" s="1"/>
  <c r="AY86" i="3"/>
  <c r="BE86" i="3" s="1"/>
  <c r="BC13" i="3"/>
  <c r="BC39" i="3"/>
  <c r="BE75" i="3"/>
  <c r="AW94" i="3"/>
  <c r="BD94" i="3" s="1"/>
  <c r="AY94" i="3"/>
  <c r="BE94" i="3" s="1"/>
  <c r="BC96" i="3"/>
  <c r="BK63" i="3" s="1"/>
  <c r="BC89" i="3"/>
  <c r="BC75" i="3"/>
  <c r="BE63" i="3"/>
  <c r="AW90" i="3"/>
  <c r="BD90" i="3" s="1"/>
  <c r="AY90" i="3"/>
  <c r="BE90" i="3" s="1"/>
  <c r="AY97" i="3"/>
  <c r="BE97" i="3" s="1"/>
  <c r="AW97" i="3"/>
  <c r="BD97" i="3" s="1"/>
  <c r="BT3" i="5"/>
  <c r="BN16" i="5"/>
  <c r="BN15" i="5"/>
  <c r="BN13" i="5"/>
  <c r="BN14" i="5"/>
  <c r="BT10" i="5"/>
  <c r="BM6" i="5"/>
  <c r="BT9" i="5"/>
  <c r="BM5" i="5"/>
  <c r="BM15" i="5"/>
  <c r="BM16" i="5"/>
  <c r="BT7" i="5"/>
  <c r="BT8" i="5"/>
  <c r="BT4" i="5"/>
  <c r="BM4" i="5"/>
  <c r="BM3" i="5"/>
  <c r="BT6" i="5"/>
  <c r="BT5" i="5"/>
  <c r="BT15" i="5"/>
  <c r="BT16" i="5"/>
  <c r="BT17" i="5"/>
  <c r="BT18" i="5"/>
  <c r="BM13" i="5"/>
  <c r="BM14" i="5"/>
  <c r="BU6" i="5"/>
  <c r="BU5" i="5"/>
  <c r="BN3" i="5"/>
  <c r="BN4" i="5"/>
  <c r="BM9" i="5"/>
  <c r="BM8" i="5"/>
  <c r="BU7" i="5"/>
  <c r="BU8" i="5"/>
  <c r="BN8" i="5"/>
  <c r="BN9" i="5"/>
  <c r="BU16" i="5"/>
  <c r="BU15" i="5"/>
  <c r="BU3" i="5"/>
  <c r="BU4" i="5"/>
  <c r="BM10" i="5"/>
  <c r="BM11" i="5"/>
  <c r="BN6" i="5"/>
  <c r="BN5" i="5"/>
  <c r="BU9" i="5"/>
  <c r="BU10" i="5"/>
  <c r="BN11" i="5"/>
  <c r="BN10" i="5"/>
  <c r="BL28" i="5"/>
  <c r="BU17" i="5"/>
  <c r="BU18" i="5"/>
  <c r="BD45" i="3"/>
  <c r="BD20" i="3"/>
  <c r="BF59" i="3"/>
  <c r="BF29" i="3"/>
  <c r="BF15" i="3"/>
  <c r="BD19" i="3"/>
  <c r="BM6" i="3"/>
  <c r="BM5" i="3"/>
  <c r="BM9" i="3"/>
  <c r="BM8" i="3"/>
  <c r="BD65" i="3"/>
  <c r="BD85" i="3"/>
  <c r="BF17" i="3"/>
  <c r="BF28" i="3"/>
  <c r="BD43" i="3"/>
  <c r="BD44" i="3"/>
  <c r="BD14" i="3"/>
  <c r="BD29" i="3"/>
  <c r="BF45" i="3"/>
  <c r="AW47" i="3"/>
  <c r="BF14" i="3"/>
  <c r="BF52" i="3"/>
  <c r="BD18" i="3"/>
  <c r="BF61" i="3"/>
  <c r="BF26" i="3"/>
  <c r="BD82" i="3"/>
  <c r="BF62" i="3"/>
  <c r="BF18" i="3"/>
  <c r="BN4" i="3"/>
  <c r="BN3" i="3"/>
  <c r="BF21" i="3"/>
  <c r="BD61" i="3"/>
  <c r="BD16" i="3"/>
  <c r="BD59" i="3"/>
  <c r="BM11" i="3"/>
  <c r="BD72" i="3"/>
  <c r="BM10" i="3"/>
  <c r="BM3" i="3"/>
  <c r="BM4" i="3"/>
  <c r="BN6" i="3"/>
  <c r="BN5" i="3"/>
  <c r="BD17" i="3"/>
  <c r="BN11" i="3"/>
  <c r="BN10" i="3"/>
  <c r="BF72" i="3"/>
  <c r="BM14" i="3"/>
  <c r="BD88" i="3"/>
  <c r="BM13" i="3"/>
  <c r="BN9" i="3"/>
  <c r="BN8" i="3"/>
  <c r="BF65" i="3"/>
  <c r="BD51" i="3"/>
  <c r="BF44" i="3"/>
  <c r="BF48" i="3"/>
  <c r="BF27" i="3"/>
  <c r="BD40" i="3"/>
  <c r="BF41" i="3"/>
  <c r="BF40" i="3"/>
  <c r="BF82" i="3"/>
  <c r="BF22" i="3"/>
  <c r="AW39" i="3"/>
  <c r="BD26" i="3"/>
  <c r="BF24" i="3"/>
  <c r="BD83" i="3"/>
  <c r="BD25" i="3"/>
  <c r="BD49" i="3"/>
  <c r="BF42" i="3"/>
  <c r="BF20" i="3"/>
  <c r="BF49" i="3"/>
  <c r="BF47" i="3"/>
  <c r="BM15" i="3"/>
  <c r="BM16" i="3"/>
  <c r="BD95" i="3"/>
  <c r="BN16" i="3"/>
  <c r="BN15" i="3"/>
  <c r="BF95" i="3"/>
  <c r="BN13" i="3"/>
  <c r="BN14" i="3"/>
  <c r="BF88" i="3"/>
  <c r="AD11" i="2"/>
  <c r="AH11" i="2"/>
  <c r="AG61" i="2"/>
  <c r="AG43" i="2"/>
  <c r="AG55" i="2"/>
  <c r="AG25" i="2"/>
  <c r="AG18" i="2"/>
  <c r="BK61" i="3" l="1"/>
  <c r="AF25" i="2"/>
  <c r="AF37" i="2"/>
  <c r="BO32" i="3"/>
  <c r="BK58" i="3"/>
  <c r="BM58" i="3"/>
  <c r="BN49" i="3"/>
  <c r="BK49" i="3"/>
  <c r="BK56" i="3"/>
  <c r="BM31" i="3"/>
  <c r="BM56" i="3"/>
  <c r="BO33" i="3"/>
  <c r="BN53" i="3"/>
  <c r="BN51" i="3"/>
  <c r="BM32" i="3"/>
  <c r="BL47" i="3"/>
  <c r="BM33" i="3"/>
  <c r="BL49" i="3"/>
  <c r="BM63" i="3"/>
  <c r="BM61" i="3"/>
  <c r="BN47" i="3"/>
  <c r="BO34" i="3"/>
  <c r="BO31" i="3"/>
  <c r="BL51" i="3"/>
  <c r="BL29" i="5"/>
  <c r="BL34" i="5"/>
  <c r="BL35" i="5"/>
  <c r="BN35" i="5"/>
  <c r="BN34" i="5"/>
  <c r="BN33" i="5"/>
  <c r="BN32" i="5"/>
  <c r="BL33" i="5"/>
  <c r="BL32" i="5"/>
  <c r="BN28" i="5"/>
  <c r="BN29" i="5"/>
  <c r="BN31" i="5"/>
  <c r="BN30" i="5"/>
  <c r="BL30" i="5"/>
  <c r="BL31" i="5"/>
  <c r="BO38" i="3"/>
  <c r="BO35" i="3"/>
  <c r="BM34" i="3"/>
  <c r="BD39" i="3"/>
  <c r="BM36" i="3" s="1"/>
  <c r="BD47" i="3"/>
  <c r="BL53" i="3" s="1"/>
  <c r="BO36" i="3"/>
  <c r="BO37" i="3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23" i="1"/>
  <c r="BM35" i="3" l="1"/>
  <c r="BM38" i="3"/>
  <c r="BM37" i="3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24" i="1"/>
  <c r="P123" i="1"/>
  <c r="N92" i="1" l="1"/>
  <c r="N93" i="1"/>
  <c r="N94" i="1"/>
  <c r="N95" i="1"/>
  <c r="N96" i="1"/>
  <c r="N97" i="1"/>
  <c r="N98" i="1"/>
  <c r="N99" i="1"/>
  <c r="N100" i="1"/>
  <c r="N101" i="1"/>
  <c r="N102" i="1"/>
  <c r="N103" i="1"/>
  <c r="N104" i="1"/>
  <c r="N82" i="1"/>
  <c r="N83" i="1"/>
  <c r="N84" i="1"/>
  <c r="N85" i="1"/>
  <c r="N86" i="1"/>
  <c r="N87" i="1"/>
  <c r="N88" i="1"/>
  <c r="N89" i="1"/>
  <c r="N90" i="1"/>
  <c r="N91" i="1"/>
  <c r="N81" i="1"/>
  <c r="P99" i="1"/>
  <c r="P98" i="1"/>
  <c r="P100" i="1"/>
  <c r="P101" i="1"/>
  <c r="P102" i="1"/>
  <c r="P103" i="1"/>
  <c r="P104" i="1"/>
  <c r="P93" i="1"/>
  <c r="P92" i="1"/>
  <c r="P89" i="1" l="1"/>
  <c r="P90" i="1"/>
  <c r="P91" i="1"/>
  <c r="P94" i="1"/>
  <c r="P95" i="1"/>
  <c r="P96" i="1"/>
  <c r="P97" i="1"/>
  <c r="P88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52" i="1"/>
  <c r="P5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43" i="1"/>
  <c r="P54" i="1"/>
  <c r="P58" i="1"/>
  <c r="P59" i="1"/>
  <c r="P60" i="1"/>
  <c r="P61" i="1"/>
  <c r="P62" i="1"/>
  <c r="P63" i="1"/>
  <c r="P64" i="1"/>
  <c r="P65" i="1"/>
  <c r="P66" i="1"/>
  <c r="P67" i="1"/>
  <c r="P68" i="1"/>
  <c r="P69" i="1"/>
  <c r="P55" i="1"/>
  <c r="P56" i="1"/>
  <c r="P57" i="1"/>
  <c r="Q30" i="1"/>
  <c r="Q31" i="1"/>
  <c r="Q3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4" i="1"/>
  <c r="Q14" i="1"/>
</calcChain>
</file>

<file path=xl/sharedStrings.xml><?xml version="1.0" encoding="utf-8"?>
<sst xmlns="http://schemas.openxmlformats.org/spreadsheetml/2006/main" count="1755" uniqueCount="309">
  <si>
    <t>Int.Std.: PCNB</t>
  </si>
  <si>
    <t>5 ul of 10 ng/ul</t>
  </si>
  <si>
    <t>Method: PFAS_Li-Sun.m</t>
  </si>
  <si>
    <t xml:space="preserve">Integration by </t>
  </si>
  <si>
    <t>Injection vol. 1ul</t>
  </si>
  <si>
    <t>Theor. Conc [ppm]</t>
  </si>
  <si>
    <t>m/z 293</t>
  </si>
  <si>
    <t>Int. Std.</t>
  </si>
  <si>
    <t>m/z 525</t>
  </si>
  <si>
    <t>m/z 526</t>
  </si>
  <si>
    <t>PFOA</t>
  </si>
  <si>
    <t>Run no.</t>
  </si>
  <si>
    <t>Sample ID</t>
  </si>
  <si>
    <t>RT</t>
  </si>
  <si>
    <t>SIM_293</t>
  </si>
  <si>
    <t>SIM_293_auto</t>
  </si>
  <si>
    <t>SIM_525</t>
  </si>
  <si>
    <t>SIM_525_auto</t>
  </si>
  <si>
    <t>SIM_526</t>
  </si>
  <si>
    <t>SIM_526_auto</t>
  </si>
  <si>
    <t>in n-Hex</t>
  </si>
  <si>
    <t>init. aq. Sol</t>
  </si>
  <si>
    <t>Computed Conc</t>
  </si>
  <si>
    <t>n.hex [ppm]</t>
  </si>
  <si>
    <t>11.08.21 GC-MS Measurement</t>
  </si>
  <si>
    <t>IE from 28.07.21, Derivatization of IE_1 to IE_8, C_Std_1/2/3 and PostBlk 10.08.21</t>
  </si>
  <si>
    <t>ChemStation, Auto, RTE</t>
  </si>
  <si>
    <t>IE_PFAS_10.08.21_12_Blk.0</t>
  </si>
  <si>
    <t>IE_PFAS_10.08.21_12_Blk.1</t>
  </si>
  <si>
    <t>IE_PFAS_10.08.21_1_C_Std_1.1</t>
  </si>
  <si>
    <t>IE_PFAS_10.08.21_1_C_Std_1.2</t>
  </si>
  <si>
    <t>IE_PFAS_10.08.21_2_C_Std_2.1</t>
  </si>
  <si>
    <t>IE_PFAS_10.08.21_2_C_Std_2.2</t>
  </si>
  <si>
    <t>IE_PFAS_10.08.21_3_C_Std_3.1</t>
  </si>
  <si>
    <t>IE_PFAS_10.08.21_3_C_Std_3.2</t>
  </si>
  <si>
    <t>IE_PFAS_10.08.21_12_Blk.2</t>
  </si>
  <si>
    <t>IE_PFAS_10.08.21_4_IE_1.1</t>
  </si>
  <si>
    <t>IE_PFAS_10.08.21_12_Blk.3</t>
  </si>
  <si>
    <t>signal double as expected - probabaly w/o n-hex dilution - repeat after add 0.5ml n-hex</t>
  </si>
  <si>
    <t>IE_PFAS_10.08.21_5_IE_2.2</t>
  </si>
  <si>
    <t>IE_PFAS_10.08.21_5_IE_2.1</t>
  </si>
  <si>
    <t>IE_PFAS_10.08.21_6_IE_3.1</t>
  </si>
  <si>
    <t>IE_PFAS_10.08.21_6_IE_3.2</t>
  </si>
  <si>
    <t>IE_PFAS_10.08.21_7_IE_4.1</t>
  </si>
  <si>
    <t>IE_PFAS_10.08.21_7_IE_4.2</t>
  </si>
  <si>
    <t>IE_PFAS_10.08.21_8_IE_5.1</t>
  </si>
  <si>
    <t>IE_PFAS_10.08.21_9_IE_6.1</t>
  </si>
  <si>
    <t>IE_PFAS_10.08.21_9_IE_6.2</t>
  </si>
  <si>
    <t>IE_PFAS_10.08.21_10_IE_7.1</t>
  </si>
  <si>
    <t>IE_PFAS_10.08.21_10_IE_7.2</t>
  </si>
  <si>
    <t>IE_PFAS_10.08.21_11_IE_8.1</t>
  </si>
  <si>
    <t>IE_PFAS_10.08.21_11_IE_8.2</t>
  </si>
  <si>
    <t>IE_PFAS_10.08.21_5_IE_2.3</t>
  </si>
  <si>
    <t>IE_PFAS_10.08.21_7_IE_4.3</t>
  </si>
  <si>
    <t>Comments</t>
  </si>
  <si>
    <t>Vol. =&lt; 0.5ml</t>
  </si>
  <si>
    <t>Add. Of 0.5ml n-hexane</t>
  </si>
  <si>
    <t>(Forgot to add. After derivatization?)</t>
  </si>
  <si>
    <t>Maybe Derivatization mistake (forgot 1st step - add. Of init. 0.5ml 1N HCl)</t>
  </si>
  <si>
    <t>Samples repeated step by step with remaining analysis of IE</t>
  </si>
  <si>
    <t>13.08.21 GC-MS Measurement</t>
  </si>
  <si>
    <t>IE from 28.07.21, Derivatization of IE_1 to IE_8, C_Std_1/2/3 and PostBlk 12.08.21</t>
  </si>
  <si>
    <t>IE_PFAS_12.08.21_1_C_Std_1.1</t>
  </si>
  <si>
    <t>IE_PFAS_12.08.21_1_C_Std_1.2</t>
  </si>
  <si>
    <t>IE_PFAS_12.08.21_2_C_Std_2.1</t>
  </si>
  <si>
    <t>IE_PFAS_12.08.21_2_C_Std_2.2</t>
  </si>
  <si>
    <t>IE_PFAS_12.08.21_14_Blk.0</t>
  </si>
  <si>
    <t>IE_PFAS_12.08.21_14_Blk.1</t>
  </si>
  <si>
    <t>IE_PFAS_12.08.21_3_C_Std_3.1</t>
  </si>
  <si>
    <t>IE_PFAS_12.08.21_3_C_Std_3.2</t>
  </si>
  <si>
    <t>IE_PFAS_12.08.21_14_Blk.2</t>
  </si>
  <si>
    <t>IE_PFAS_12.08.21_4_IE_1.1</t>
  </si>
  <si>
    <t>IE_PFAS_12.08.21_5_IE_5.1</t>
  </si>
  <si>
    <t>IE_PFAS_12.08.21_6_IE_9.1</t>
  </si>
  <si>
    <t>IE_PFAS_12.08.21_7_IE_10.1</t>
  </si>
  <si>
    <t>IE_PFAS_12.08.21_7_IE_10.2</t>
  </si>
  <si>
    <t>IE_PFAS_12.08.21_8_IE_11.1</t>
  </si>
  <si>
    <t>IE_PFAS_12.08.21_8_IE_11.2</t>
  </si>
  <si>
    <t>IE_PFAS_12.08.21_9_IE_12.1</t>
  </si>
  <si>
    <t>IE_PFAS_12.08.21_9_IE_12.2</t>
  </si>
  <si>
    <t>IE_PFAS_12.08.21_10_IE_13.1</t>
  </si>
  <si>
    <t>IE_PFAS_12.08.21_11_IE_14.1</t>
  </si>
  <si>
    <t>IE_PFAS_12.08.21_11_IE_14.2</t>
  </si>
  <si>
    <t>IE_PFAS_12.08.21_12_IE_15.1</t>
  </si>
  <si>
    <t>IE_PFAS_12.08.21_12_IE_15.2</t>
  </si>
  <si>
    <t>IE_PFAS_12.08.21_13_IE_16.1</t>
  </si>
  <si>
    <t>IE_PFAS_12.08.21_13_IE_16.2</t>
  </si>
  <si>
    <t>IE_PFAS_12.08.21_3_C_Std_3.3</t>
  </si>
  <si>
    <t>IE_PFAS_12.08.21_14_Blk.3</t>
  </si>
  <si>
    <t>Auto-Area-Ratio</t>
  </si>
  <si>
    <t>526/525 [x10^3]</t>
  </si>
  <si>
    <t>16.08.21 GC-MS Measurement</t>
  </si>
  <si>
    <t>IE from 28.07.21, Derivatization of IE_2 + IE_3 + IE_17 to IE_24, C_Std_1/2/3 and PostBlk 15.08.21</t>
  </si>
  <si>
    <t>IE_PFAS_15.08.21_14_Blk.0</t>
  </si>
  <si>
    <t>IE_PFAS_15.08.21_14_Blk.1</t>
  </si>
  <si>
    <t>IE_PFAS_15.08.21_1_C_Std_1.1</t>
  </si>
  <si>
    <t>IE_PFAS_15.08.21_1_C_Std_1.2</t>
  </si>
  <si>
    <t>IE_PFAS_15.08.21_2_C_Std_2.1</t>
  </si>
  <si>
    <t>IE_PFAS_15.08.21_2_C_Std_2.2</t>
  </si>
  <si>
    <t>IE_PFAS_15.08.21_3_C_Std_3.1</t>
  </si>
  <si>
    <t>IE_PFAS_15.08.21_3_C_Std_3.2</t>
  </si>
  <si>
    <t>IE_PFAS_15.08.21_14_Blk.2</t>
  </si>
  <si>
    <t>IE_PFAS_15.08.21_4_IE_2.1</t>
  </si>
  <si>
    <t>IE_PFAS_15.08.21_4_IE_2.2</t>
  </si>
  <si>
    <t>IE_PFAS_15.08.21_5_IE_3.1</t>
  </si>
  <si>
    <t>IE_PFAS_15.08.21_5_IE_3.2</t>
  </si>
  <si>
    <t>IE_PFAS_15.08.21_6_IE_17.1</t>
  </si>
  <si>
    <t>IE_PFAS_15.08.21_7_IE_18.1</t>
  </si>
  <si>
    <t>IE_PFAS_15.08.21_8_IE_19.1</t>
  </si>
  <si>
    <t>IE_PFAS_15.08.21_8_IE_19.2</t>
  </si>
  <si>
    <t>IE_PFAS_15.08.21_9_IE_20.1</t>
  </si>
  <si>
    <t>IE_PFAS_15.08.21_9_IE_20.2</t>
  </si>
  <si>
    <t>IE_PFAS_15.08.21_10_IE_21.1</t>
  </si>
  <si>
    <t>IE_PFAS_15.08.21_11_IE_22.1</t>
  </si>
  <si>
    <t>IE_PFAS_15.08.21_12_IE_23.1</t>
  </si>
  <si>
    <t>IE_PFAS_15.08.21_12_IE_23.2</t>
  </si>
  <si>
    <t>IE_PFAS_15.08.21_13_IE_24.1</t>
  </si>
  <si>
    <t>IE_PFAS_15.08.21_13_IE_24.2</t>
  </si>
  <si>
    <t>IE_PFAS_15.08.21_14_Blk.3</t>
  </si>
  <si>
    <t>18.08.21 GC-MS Measurement</t>
  </si>
  <si>
    <t>IE from 28.07.21, Derivatization of IE_2 + IE_3 + IE_17 to IE_24, C_Std_1/2/3 and PostBlk 17.08.21</t>
  </si>
  <si>
    <t>IE_PFAS_17.08.21_14_Blk.0</t>
  </si>
  <si>
    <t>IE_PFAS_17.08.21_14_Blk.1</t>
  </si>
  <si>
    <t>IE_PFAS_17.08.21_1_C_Std_1.1</t>
  </si>
  <si>
    <t>IE_PFAS_17.08.21_1_C_Std_1.2</t>
  </si>
  <si>
    <t>IE_PFAS_17.08.21_2_C_Std_2.1</t>
  </si>
  <si>
    <t>IE_PFAS_17.08.21_2_C_Std_2.2</t>
  </si>
  <si>
    <t>IE_PFAS_17.08.21_3_C_Std_3.1</t>
  </si>
  <si>
    <t>IE_PFAS_17.08.21_3_C_Std_3.2</t>
  </si>
  <si>
    <t>IE_PFAS_17.08.21_14_Blk.2</t>
  </si>
  <si>
    <t>IE_PFAS_17.08.21_4_IE_6.1</t>
  </si>
  <si>
    <t>IE_PFAS_17.08.21_4_IE_6.2</t>
  </si>
  <si>
    <t>IE_PFAS_17.08.21_5_IE_7.1</t>
  </si>
  <si>
    <t>IE_PFAS_17.08.21_5_IE_7.2</t>
  </si>
  <si>
    <t>IE_PFAS_17.08.21_14_Blk.3</t>
  </si>
  <si>
    <t>IE_PFAS_17.08.21_6_IE_25.1</t>
  </si>
  <si>
    <t>IE_PFAS_17.08.21_7_IE_26.1</t>
  </si>
  <si>
    <t>IE_PFAS_17.08.21_8_IE_27.1</t>
  </si>
  <si>
    <t>IE_PFAS_17.08.21_8_IE_27.2</t>
  </si>
  <si>
    <t>IE_PFAS_17.08.21_9_IE_28.1</t>
  </si>
  <si>
    <t>IE_PFAS_17.08.21_9_IE_28.2</t>
  </si>
  <si>
    <t>IE_PFAS_17.08.21_10_IE_29.1</t>
  </si>
  <si>
    <t>IE_PFAS_17.08.21_11_IE_30.1</t>
  </si>
  <si>
    <t>IE_PFAS_17.08.21_12_IE_31.1</t>
  </si>
  <si>
    <t>IE_PFAS_17.08.21_12_IE_31.2</t>
  </si>
  <si>
    <t>IE_PFAS_17.08.21_13_IE_32.1</t>
  </si>
  <si>
    <t>IE_PFAS_17.08.21_13_IE_32.2</t>
  </si>
  <si>
    <t>Calibration Standards</t>
  </si>
  <si>
    <t>Area</t>
  </si>
  <si>
    <t xml:space="preserve">Init. Conc. Aq. </t>
  </si>
  <si>
    <t>Init. Mass Aq.</t>
  </si>
  <si>
    <t>Conc. n-Hex</t>
  </si>
  <si>
    <t>PFOA [ppm]</t>
  </si>
  <si>
    <t>PFOA [ug]</t>
  </si>
  <si>
    <t>GC-MS meas</t>
  </si>
  <si>
    <t>Samples</t>
  </si>
  <si>
    <t>Calc Conc</t>
  </si>
  <si>
    <t>n-Hex [ppm]</t>
  </si>
  <si>
    <t>Mass [ug]</t>
  </si>
  <si>
    <t>Conc [ppm]</t>
  </si>
  <si>
    <t>Corrected calibration used</t>
  </si>
  <si>
    <t>in Extract.</t>
  </si>
  <si>
    <t>sol. Aq.[ppm]</t>
  </si>
  <si>
    <t>Mass Extract.</t>
  </si>
  <si>
    <t>sol. Aq. [ug]</t>
  </si>
  <si>
    <t>Correct. Dilution from Extract.</t>
  </si>
  <si>
    <t>conc. aq [ppm]</t>
  </si>
  <si>
    <t>mass aq. [ug]</t>
  </si>
  <si>
    <t>Computed Sorption</t>
  </si>
  <si>
    <t>Soil 1</t>
  </si>
  <si>
    <t>Soil 2</t>
  </si>
  <si>
    <t>Soil 3</t>
  </si>
  <si>
    <t>Kd</t>
  </si>
  <si>
    <t>PE_C meas.</t>
  </si>
  <si>
    <t>Theo. By K_oc</t>
  </si>
  <si>
    <t>Loss</t>
  </si>
  <si>
    <t>Kd by K_oc</t>
  </si>
  <si>
    <t>Kd by PE_C</t>
  </si>
  <si>
    <t>Excluded in corrected series</t>
  </si>
  <si>
    <t>Measured Kd</t>
  </si>
  <si>
    <t>Extract. Factor 1</t>
  </si>
  <si>
    <t>(Means)</t>
  </si>
  <si>
    <t>Calibration</t>
  </si>
  <si>
    <t>"All"</t>
  </si>
  <si>
    <t>"Corrected"</t>
  </si>
  <si>
    <t>Theoret. Kd</t>
  </si>
  <si>
    <t>by K_oc</t>
  </si>
  <si>
    <t>f_oc</t>
  </si>
  <si>
    <t>K_oc max.</t>
  </si>
  <si>
    <t>K_oc min.</t>
  </si>
  <si>
    <t>K_oc mean</t>
  </si>
  <si>
    <t>Extraction</t>
  </si>
  <si>
    <t>Vol. added</t>
  </si>
  <si>
    <t>Vol. original</t>
  </si>
  <si>
    <t>Vol. total</t>
  </si>
  <si>
    <t>Corr. Fact.</t>
  </si>
  <si>
    <t>Correct for added extract vol</t>
  </si>
  <si>
    <t>Before Filtr.</t>
  </si>
  <si>
    <t>Extract.</t>
  </si>
  <si>
    <t>vol [ml]</t>
  </si>
  <si>
    <t>Mean</t>
  </si>
  <si>
    <t>Mass sum</t>
  </si>
  <si>
    <t>All Phases</t>
  </si>
  <si>
    <t>Blk</t>
  </si>
  <si>
    <t>Further corrections to apply</t>
  </si>
  <si>
    <t>A) Blank correction</t>
  </si>
  <si>
    <t>B) Instrumental trend correction</t>
  </si>
  <si>
    <t>C) Int. Std. correction?</t>
  </si>
  <si>
    <t>Further calibration approach</t>
  </si>
  <si>
    <t>I) Int. Std. Calibration</t>
  </si>
  <si>
    <t>525/526</t>
  </si>
  <si>
    <t>(auto/auto)</t>
  </si>
  <si>
    <t>Correction:</t>
  </si>
  <si>
    <t>Drift Correction</t>
  </si>
  <si>
    <t>Blank correction</t>
  </si>
  <si>
    <t>Original</t>
  </si>
  <si>
    <t>Instr. Drift</t>
  </si>
  <si>
    <t>Blank (mean)</t>
  </si>
  <si>
    <t>GC-MS measurement</t>
  </si>
  <si>
    <t>Correction</t>
  </si>
  <si>
    <t>Soil mass [g]</t>
  </si>
  <si>
    <t>1st</t>
  </si>
  <si>
    <t>(Instrument)</t>
  </si>
  <si>
    <t>Apply on area</t>
  </si>
  <si>
    <t>Orig. Vol.</t>
  </si>
  <si>
    <t>2nd</t>
  </si>
  <si>
    <t>(Instr.+Derivat.)</t>
  </si>
  <si>
    <t>Added Vol.</t>
  </si>
  <si>
    <t>3rd</t>
  </si>
  <si>
    <t>Sample Blk correction</t>
  </si>
  <si>
    <t>(Background)</t>
  </si>
  <si>
    <t>Apply on conc.</t>
  </si>
  <si>
    <t>Max or Mean of Blank????</t>
  </si>
  <si>
    <t>Total Vol</t>
  </si>
  <si>
    <t>4th</t>
  </si>
  <si>
    <t>Extraction Dilution</t>
  </si>
  <si>
    <t>Max</t>
  </si>
  <si>
    <t>Corr. Factor</t>
  </si>
  <si>
    <t>in Extract</t>
  </si>
  <si>
    <t>Extract Correct</t>
  </si>
  <si>
    <t>Sorption</t>
  </si>
  <si>
    <t>Blank Correct</t>
  </si>
  <si>
    <t>Correted for</t>
  </si>
  <si>
    <t>Sample Blk correct</t>
  </si>
  <si>
    <t>Solution</t>
  </si>
  <si>
    <t>Orig. Aq. Conc.</t>
  </si>
  <si>
    <t>Aq. Mass</t>
  </si>
  <si>
    <t>Initial</t>
  </si>
  <si>
    <t>Calibr. A)</t>
  </si>
  <si>
    <t>Calibr. B)</t>
  </si>
  <si>
    <t>A) Drift</t>
  </si>
  <si>
    <t>B) Drift+Blk</t>
  </si>
  <si>
    <t>Conc.</t>
  </si>
  <si>
    <t>Mass</t>
  </si>
  <si>
    <t>Conc</t>
  </si>
  <si>
    <t>n-hex [ppm]</t>
  </si>
  <si>
    <t>PFOA [µg]</t>
  </si>
  <si>
    <t xml:space="preserve">Adjust for </t>
  </si>
  <si>
    <t>OG-soil moist.</t>
  </si>
  <si>
    <t>Set 1)</t>
  </si>
  <si>
    <t>Set 2)</t>
  </si>
  <si>
    <t>K_d</t>
  </si>
  <si>
    <t>Solid Conc.</t>
  </si>
  <si>
    <t>K_F</t>
  </si>
  <si>
    <t>1/n</t>
  </si>
  <si>
    <t>Freundlich</t>
  </si>
  <si>
    <t>Linear</t>
  </si>
  <si>
    <t>Max sorpt</t>
  </si>
  <si>
    <t>Min sorpt</t>
  </si>
  <si>
    <t>Calibr. A</t>
  </si>
  <si>
    <t>SorpSet 1)</t>
  </si>
  <si>
    <t>SorpSet2)</t>
  </si>
  <si>
    <t>Calibr. B</t>
  </si>
  <si>
    <t>A</t>
  </si>
  <si>
    <t>B</t>
  </si>
  <si>
    <t>Freund</t>
  </si>
  <si>
    <t>w/o CH4</t>
  </si>
  <si>
    <t>w/ CH4</t>
  </si>
  <si>
    <t>IE_10-12</t>
  </si>
  <si>
    <t>IE_14-16</t>
  </si>
  <si>
    <t>Std. Dev.</t>
  </si>
  <si>
    <t>IE_2-3</t>
  </si>
  <si>
    <t>IE_6-7</t>
  </si>
  <si>
    <t>Means</t>
  </si>
  <si>
    <t>IE_19-20</t>
  </si>
  <si>
    <t>IE_23-24</t>
  </si>
  <si>
    <t>IE_27-28</t>
  </si>
  <si>
    <t>IE_31-32</t>
  </si>
  <si>
    <t>A)</t>
  </si>
  <si>
    <t>B)</t>
  </si>
  <si>
    <t>Aq. Conc</t>
  </si>
  <si>
    <t>(13.08.21)</t>
  </si>
  <si>
    <t>(16.08.21)</t>
  </si>
  <si>
    <t>(18.08.21)</t>
  </si>
  <si>
    <t>Critical Data</t>
  </si>
  <si>
    <t>IE_2-4</t>
  </si>
  <si>
    <t>IE_6-8</t>
  </si>
  <si>
    <t>A) Original</t>
  </si>
  <si>
    <t>B) Blk</t>
  </si>
  <si>
    <t>PE_C</t>
  </si>
  <si>
    <t>Calibr A</t>
  </si>
  <si>
    <t>Calibr B</t>
  </si>
  <si>
    <t>MeanMeans</t>
  </si>
  <si>
    <t>Drift (A)</t>
  </si>
  <si>
    <t>Drift+Blk (B)</t>
  </si>
  <si>
    <t>Aqueous</t>
  </si>
  <si>
    <t>Original (A)</t>
  </si>
  <si>
    <t>Blank (B)</t>
  </si>
  <si>
    <t>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</si>
</sst>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0" xfId="0" applyFill="1"/>
    <xf numFmtId="0" fontId="0" fillId="3" borderId="8" xfId="0" applyFill="1" applyBorder="1"/>
    <xf numFmtId="0" fontId="0" fillId="2" borderId="0" xfId="0" applyFill="1"/>
    <xf numFmtId="0" fontId="1" fillId="4" borderId="0" xfId="0" applyFont="1" applyFill="1"/>
    <xf numFmtId="0" fontId="0" fillId="0" borderId="6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14" fontId="0" fillId="0" borderId="0" xfId="0" applyNumberFormat="1"/>
    <xf numFmtId="0" fontId="0" fillId="0" borderId="14" xfId="0" applyBorder="1"/>
    <xf numFmtId="0" fontId="1" fillId="0" borderId="12" xfId="0" applyFont="1" applyBorder="1"/>
    <xf numFmtId="0" fontId="1" fillId="0" borderId="14" xfId="0" applyFont="1" applyBorder="1"/>
    <xf numFmtId="0" fontId="0" fillId="3" borderId="0" xfId="0" applyFill="1" applyBorder="1"/>
    <xf numFmtId="0" fontId="0" fillId="5" borderId="0" xfId="0" applyFill="1"/>
    <xf numFmtId="0" fontId="0" fillId="6" borderId="3" xfId="0" applyFill="1" applyBorder="1"/>
    <xf numFmtId="0" fontId="0" fillId="6" borderId="4" xfId="0" applyFill="1" applyBorder="1"/>
    <xf numFmtId="0" fontId="1" fillId="0" borderId="11" xfId="0" applyFont="1" applyBorder="1"/>
    <xf numFmtId="0" fontId="0" fillId="0" borderId="11" xfId="0" applyBorder="1"/>
    <xf numFmtId="0" fontId="2" fillId="7" borderId="11" xfId="0" applyFont="1" applyFill="1" applyBorder="1"/>
    <xf numFmtId="0" fontId="3" fillId="7" borderId="9" xfId="0" applyFont="1" applyFill="1" applyBorder="1"/>
    <xf numFmtId="0" fontId="3" fillId="7" borderId="5" xfId="0" applyFont="1" applyFill="1" applyBorder="1"/>
    <xf numFmtId="0" fontId="3" fillId="7" borderId="12" xfId="0" applyFont="1" applyFill="1" applyBorder="1"/>
    <xf numFmtId="0" fontId="3" fillId="7" borderId="4" xfId="0" applyFont="1" applyFill="1" applyBorder="1"/>
    <xf numFmtId="164" fontId="0" fillId="0" borderId="0" xfId="0" applyNumberFormat="1" applyBorder="1"/>
    <xf numFmtId="0" fontId="1" fillId="0" borderId="5" xfId="0" applyFont="1" applyBorder="1"/>
    <xf numFmtId="0" fontId="1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9" xfId="0" applyFont="1" applyBorder="1"/>
    <xf numFmtId="164" fontId="0" fillId="0" borderId="0" xfId="0" applyNumberFormat="1"/>
    <xf numFmtId="164" fontId="0" fillId="0" borderId="7" xfId="0" applyNumberFormat="1" applyBorder="1"/>
    <xf numFmtId="0" fontId="1" fillId="6" borderId="0" xfId="0" applyFont="1" applyFill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2" xfId="0" applyFill="1" applyBorder="1"/>
    <xf numFmtId="0" fontId="0" fillId="8" borderId="0" xfId="0" applyFill="1"/>
    <xf numFmtId="0" fontId="0" fillId="0" borderId="25" xfId="0" applyBorder="1"/>
    <xf numFmtId="0" fontId="0" fillId="8" borderId="4" xfId="0" applyFill="1" applyBorder="1"/>
    <xf numFmtId="0" fontId="0" fillId="8" borderId="8" xfId="0" applyFill="1" applyBorder="1"/>
    <xf numFmtId="0" fontId="0" fillId="8" borderId="6" xfId="0" applyFill="1" applyBorder="1"/>
    <xf numFmtId="0" fontId="0" fillId="8" borderId="2" xfId="0" applyFill="1" applyBorder="1"/>
    <xf numFmtId="0" fontId="1" fillId="0" borderId="26" xfId="0" applyFont="1" applyBorder="1"/>
    <xf numFmtId="0" fontId="2" fillId="0" borderId="0" xfId="0" applyFont="1"/>
    <xf numFmtId="0" fontId="1" fillId="4" borderId="27" xfId="0" applyFont="1" applyFill="1" applyBorder="1"/>
    <xf numFmtId="0" fontId="1" fillId="8" borderId="28" xfId="0" applyFont="1" applyFill="1" applyBorder="1"/>
    <xf numFmtId="0" fontId="0" fillId="7" borderId="0" xfId="0" applyFill="1"/>
    <xf numFmtId="0" fontId="0" fillId="4" borderId="0" xfId="0" applyFill="1"/>
    <xf numFmtId="0" fontId="0" fillId="8" borderId="5" xfId="0" applyFill="1" applyBorder="1"/>
    <xf numFmtId="14" fontId="0" fillId="0" borderId="0" xfId="0" applyNumberFormat="1" applyBorder="1"/>
    <xf numFmtId="0" fontId="0" fillId="9" borderId="0" xfId="0" applyFill="1"/>
    <xf numFmtId="0" fontId="0" fillId="9" borderId="8" xfId="0" applyFill="1" applyBorder="1"/>
    <xf numFmtId="0" fontId="0" fillId="9" borderId="0" xfId="0" applyFill="1" applyBorder="1"/>
    <xf numFmtId="0" fontId="1" fillId="0" borderId="0" xfId="0" applyFont="1" applyAlignment="1">
      <alignment horizontal="right"/>
    </xf>
    <xf numFmtId="0" fontId="1" fillId="8" borderId="27" xfId="0" applyFont="1" applyFill="1" applyBorder="1"/>
    <xf numFmtId="0" fontId="1" fillId="10" borderId="28" xfId="0" applyFont="1" applyFill="1" applyBorder="1"/>
    <xf numFmtId="0" fontId="1" fillId="7" borderId="0" xfId="0" applyFont="1" applyFill="1"/>
    <xf numFmtId="0" fontId="1" fillId="3" borderId="0" xfId="0" applyFont="1" applyFill="1"/>
    <xf numFmtId="0" fontId="1" fillId="7" borderId="8" xfId="0" applyFont="1" applyFill="1" applyBorder="1"/>
    <xf numFmtId="0" fontId="1" fillId="0" borderId="8" xfId="0" applyFont="1" applyBorder="1"/>
    <xf numFmtId="0" fontId="0" fillId="4" borderId="8" xfId="0" applyFill="1" applyBorder="1"/>
    <xf numFmtId="0" fontId="1" fillId="10" borderId="0" xfId="0" applyFont="1" applyFill="1"/>
    <xf numFmtId="0" fontId="0" fillId="11" borderId="8" xfId="0" applyFill="1" applyBorder="1"/>
    <xf numFmtId="0" fontId="0" fillId="11" borderId="0" xfId="0" applyFill="1"/>
    <xf numFmtId="0" fontId="0" fillId="11" borderId="25" xfId="0" applyFill="1" applyBorder="1"/>
    <xf numFmtId="0" fontId="0" fillId="11" borderId="6" xfId="0" applyFill="1" applyBorder="1"/>
    <xf numFmtId="0" fontId="0" fillId="11" borderId="9" xfId="0" applyFill="1" applyBorder="1"/>
    <xf numFmtId="0" fontId="0" fillId="0" borderId="9" xfId="0" applyFill="1" applyBorder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ont="1"/>
    <xf numFmtId="164" fontId="0" fillId="0" borderId="0" xfId="0" applyNumberFormat="1" applyFont="1"/>
    <xf numFmtId="0" fontId="0" fillId="12" borderId="0" xfId="0" applyFill="1"/>
    <xf numFmtId="0" fontId="0" fillId="12" borderId="8" xfId="0" applyFill="1" applyBorder="1"/>
    <xf numFmtId="164" fontId="0" fillId="11" borderId="0" xfId="0" applyNumberFormat="1" applyFill="1" applyAlignment="1">
      <alignment horizontal="right"/>
    </xf>
    <xf numFmtId="0" fontId="0" fillId="0" borderId="5" xfId="0" applyFill="1" applyBorder="1"/>
    <xf numFmtId="0" fontId="0" fillId="0" borderId="13" xfId="0" applyFill="1" applyBorder="1"/>
    <xf numFmtId="0" fontId="0" fillId="0" borderId="8" xfId="0" applyBorder="1" applyAlignment="1">
      <alignment horizontal="right"/>
    </xf>
    <xf numFmtId="164" fontId="0" fillId="11" borderId="8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33" xfId="0" applyNumberFormat="1" applyBorder="1"/>
    <xf numFmtId="0" fontId="0" fillId="0" borderId="34" xfId="0" applyBorder="1"/>
    <xf numFmtId="0" fontId="0" fillId="0" borderId="35" xfId="0" applyBorder="1"/>
    <xf numFmtId="164" fontId="0" fillId="0" borderId="35" xfId="0" applyNumberFormat="1" applyBorder="1"/>
    <xf numFmtId="164" fontId="0" fillId="0" borderId="36" xfId="0" applyNumberFormat="1" applyBorder="1"/>
    <xf numFmtId="0" fontId="0" fillId="0" borderId="33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0" xfId="0" applyFill="1" applyBorder="1"/>
    <xf numFmtId="0" fontId="0" fillId="0" borderId="41" xfId="0" applyFill="1" applyBorder="1"/>
    <xf numFmtId="0" fontId="0" fillId="0" borderId="42" xfId="0" applyBorder="1"/>
    <xf numFmtId="0" fontId="0" fillId="0" borderId="43" xfId="0" applyBorder="1"/>
    <xf numFmtId="0" fontId="0" fillId="0" borderId="24" xfId="0" applyBorder="1"/>
    <xf numFmtId="0" fontId="0" fillId="0" borderId="23" xfId="0" applyBorder="1"/>
    <xf numFmtId="0" fontId="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11.08.21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Raw!$G$6</c:f>
              <c:strCache>
                <c:ptCount val="1"/>
                <c:pt idx="0">
                  <c:v>SIM_525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131658335239216"/>
                  <c:y val="0.3028162133056879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Raw!$L$9:$L$13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Raw!$G$9:$G$13</c:f>
              <c:numCache>
                <c:formatCode>General</c:formatCode>
                <c:ptCount val="5"/>
                <c:pt idx="0">
                  <c:v>143771</c:v>
                </c:pt>
                <c:pt idx="1">
                  <c:v>168486</c:v>
                </c:pt>
                <c:pt idx="2">
                  <c:v>1072490</c:v>
                </c:pt>
                <c:pt idx="3">
                  <c:v>918453</c:v>
                </c:pt>
                <c:pt idx="4">
                  <c:v>3853856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5-46E7-9E87-B6DDE28A441E}"/>
            </c:ext>
          </c:extLst>
        </c:ser>
        <c:ser>
          <c:idx val="1"/>
          <c:order val="1"/>
          <c:tx>
            <c:strRef>
              <c:f>Raw!$H$6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2845536424131"/>
                  <c:y val="-0.28340368264985583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Raw!$L$7:$L$12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</c:numCache>
            </c:numRef>
          </c:xVal>
          <c:yVal>
            <c:numRef>
              <c:f>Raw!$H$7:$H$12</c:f>
              <c:numCache>
                <c:formatCode>General</c:formatCode>
                <c:ptCount val="6"/>
                <c:pt idx="0">
                  <c:v>58071</c:v>
                </c:pt>
                <c:pt idx="1">
                  <c:v>50070</c:v>
                </c:pt>
                <c:pt idx="2">
                  <c:v>144925</c:v>
                </c:pt>
                <c:pt idx="3">
                  <c:v>169101</c:v>
                </c:pt>
                <c:pt idx="4">
                  <c:v>1072490</c:v>
                </c:pt>
                <c:pt idx="5">
                  <c:v>918453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5-46E7-9E87-B6DDE28A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13.08.21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SIM_525_original_corr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89908495425524E-2"/>
                  <c:y val="0.14260072711677479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(Processing_final!$S$22:$S$27,Processing_final!$S$29:$S$32)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  <c:pt idx="9">
                  <c:v>0</c:v>
                </c:pt>
              </c:numCache>
            </c:numRef>
          </c:xVal>
          <c:yVal>
            <c:numRef>
              <c:f>(Processing_final!$N$22:$N$27,Processing_final!$N$29:$N$32)</c:f>
              <c:numCache>
                <c:formatCode>General</c:formatCode>
                <c:ptCount val="10"/>
                <c:pt idx="0">
                  <c:v>74437</c:v>
                </c:pt>
                <c:pt idx="1">
                  <c:v>106760</c:v>
                </c:pt>
                <c:pt idx="2">
                  <c:v>350796</c:v>
                </c:pt>
                <c:pt idx="3">
                  <c:v>286253</c:v>
                </c:pt>
                <c:pt idx="4">
                  <c:v>2047550</c:v>
                </c:pt>
                <c:pt idx="5">
                  <c:v>1640308</c:v>
                </c:pt>
                <c:pt idx="6">
                  <c:v>4934748</c:v>
                </c:pt>
                <c:pt idx="7">
                  <c:v>196373</c:v>
                </c:pt>
                <c:pt idx="8">
                  <c:v>5374327</c:v>
                </c:pt>
                <c:pt idx="9">
                  <c:v>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DA-4615-9159-12D03CA60D61}"/>
            </c:ext>
          </c:extLst>
        </c:ser>
        <c:ser>
          <c:idx val="4"/>
          <c:order val="4"/>
          <c:tx>
            <c:v>SIM_525_drift_corr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70308450787315"/>
                  <c:y val="-0.250127320618487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(Processing_final!$S$22:$S$27,Processing_final!$S$29:$S$32)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  <c:pt idx="9">
                  <c:v>0</c:v>
                </c:pt>
              </c:numCache>
            </c:numRef>
          </c:xVal>
          <c:yVal>
            <c:numRef>
              <c:f>(Processing_final!$O$22:$O$27,Processing_final!$O$29:$O$32)</c:f>
              <c:numCache>
                <c:formatCode>General</c:formatCode>
                <c:ptCount val="10"/>
                <c:pt idx="0">
                  <c:v>60253.062204405869</c:v>
                </c:pt>
                <c:pt idx="1">
                  <c:v>72585.746449437531</c:v>
                </c:pt>
                <c:pt idx="2">
                  <c:v>205598.54858545683</c:v>
                </c:pt>
                <c:pt idx="3">
                  <c:v>147429.65003136327</c:v>
                </c:pt>
                <c:pt idx="4">
                  <c:v>940524.28118322929</c:v>
                </c:pt>
                <c:pt idx="5">
                  <c:v>679938.29973220697</c:v>
                </c:pt>
                <c:pt idx="6">
                  <c:v>1711523.5196845199</c:v>
                </c:pt>
                <c:pt idx="7">
                  <c:v>62967.212421811084</c:v>
                </c:pt>
                <c:pt idx="8">
                  <c:v>1497249.3163529166</c:v>
                </c:pt>
                <c:pt idx="9">
                  <c:v>3409.4228817190337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DA-4615-9159-12D03CA60D61}"/>
            </c:ext>
          </c:extLst>
        </c:ser>
        <c:ser>
          <c:idx val="5"/>
          <c:order val="5"/>
          <c:tx>
            <c:v>SIM_525_drift+blk_corr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86097940292262"/>
                  <c:y val="-0.1252452433736074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(Processing_final!$S$22:$S$27,Processing_final!$S$29:$S$32)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  <c:pt idx="9">
                  <c:v>0</c:v>
                </c:pt>
              </c:numCache>
            </c:numRef>
          </c:xVal>
          <c:yVal>
            <c:numRef>
              <c:f>(Processing_final!$P$22:$P$27,Processing_final!$P$29:$P$32)</c:f>
              <c:numCache>
                <c:formatCode>General</c:formatCode>
                <c:ptCount val="10"/>
                <c:pt idx="0">
                  <c:v>10449.201215062487</c:v>
                </c:pt>
                <c:pt idx="1">
                  <c:v>22781.885460094149</c:v>
                </c:pt>
                <c:pt idx="2">
                  <c:v>155794.68759611345</c:v>
                </c:pt>
                <c:pt idx="3">
                  <c:v>97625.789042019896</c:v>
                </c:pt>
                <c:pt idx="4">
                  <c:v>890720.42019388592</c:v>
                </c:pt>
                <c:pt idx="5">
                  <c:v>630134.4387428636</c:v>
                </c:pt>
                <c:pt idx="6">
                  <c:v>1661719.6586951765</c:v>
                </c:pt>
                <c:pt idx="7">
                  <c:v>13163.351432467702</c:v>
                </c:pt>
                <c:pt idx="8">
                  <c:v>1447445.4553635733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DA-4615-9159-12D03CA6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SIM_525_auto_original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1.6717535940710838E-2"/>
                        <c:y val="-5.9149007945198853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Processing_final!$S$22:$S$32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7.5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Processing_final!$N$22:$N$32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74437</c:v>
                      </c:pt>
                      <c:pt idx="1">
                        <c:v>106760</c:v>
                      </c:pt>
                      <c:pt idx="2">
                        <c:v>350796</c:v>
                      </c:pt>
                      <c:pt idx="3">
                        <c:v>286253</c:v>
                      </c:pt>
                      <c:pt idx="4">
                        <c:v>2047550</c:v>
                      </c:pt>
                      <c:pt idx="5">
                        <c:v>1640308</c:v>
                      </c:pt>
                      <c:pt idx="6">
                        <c:v>8429272</c:v>
                      </c:pt>
                      <c:pt idx="7">
                        <c:v>4934748</c:v>
                      </c:pt>
                      <c:pt idx="8">
                        <c:v>196373</c:v>
                      </c:pt>
                      <c:pt idx="9">
                        <c:v>5374327</c:v>
                      </c:pt>
                      <c:pt idx="10">
                        <c:v>20264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DA-4615-9159-12D03CA60D6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SIM_525_auto_drift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7285079978672853"/>
                        <c:y val="-0.33598652722307681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Processing_final!$S$22:$S$32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7.5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Processing_final!$O$22:$O$32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60253.062204405869</c:v>
                      </c:pt>
                      <c:pt idx="1">
                        <c:v>72585.746449437531</c:v>
                      </c:pt>
                      <c:pt idx="2">
                        <c:v>205598.54858545683</c:v>
                      </c:pt>
                      <c:pt idx="3">
                        <c:v>147429.65003136327</c:v>
                      </c:pt>
                      <c:pt idx="4">
                        <c:v>940524.28118322929</c:v>
                      </c:pt>
                      <c:pt idx="5">
                        <c:v>679938.29973220697</c:v>
                      </c:pt>
                      <c:pt idx="6">
                        <c:v>3183449.0087261712</c:v>
                      </c:pt>
                      <c:pt idx="7">
                        <c:v>1711523.5196845199</c:v>
                      </c:pt>
                      <c:pt idx="8">
                        <c:v>62967.212421811084</c:v>
                      </c:pt>
                      <c:pt idx="9">
                        <c:v>1497249.3163529166</c:v>
                      </c:pt>
                      <c:pt idx="10">
                        <c:v>3409.4228817190337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DA-4615-9159-12D03CA60D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SIM_525_auto_drift+blk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0864027426197597"/>
                        <c:y val="-0.14005006527837616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3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Processing_final!$S$22:$S$32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7.5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Processing_final!$P$22:$P$32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10449.201215062487</c:v>
                      </c:pt>
                      <c:pt idx="1">
                        <c:v>22781.885460094149</c:v>
                      </c:pt>
                      <c:pt idx="2">
                        <c:v>155794.68759611345</c:v>
                      </c:pt>
                      <c:pt idx="3">
                        <c:v>97625.789042019896</c:v>
                      </c:pt>
                      <c:pt idx="4">
                        <c:v>890720.42019388592</c:v>
                      </c:pt>
                      <c:pt idx="5">
                        <c:v>630134.4387428636</c:v>
                      </c:pt>
                      <c:pt idx="6">
                        <c:v>3133645.1477368278</c:v>
                      </c:pt>
                      <c:pt idx="7">
                        <c:v>1661719.6586951765</c:v>
                      </c:pt>
                      <c:pt idx="8">
                        <c:v>13163.351432467702</c:v>
                      </c:pt>
                      <c:pt idx="9">
                        <c:v>1447445.4553635733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DA-4615-9159-12D03CA60D61}"/>
                  </c:ext>
                </c:extLst>
              </c15:ser>
            </c15:filteredScatterSeries>
          </c:ext>
        </c:extLst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16.08.21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16067388668429E-3"/>
                  <c:y val="-2.7826501386307427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Processing_final!$S$37:$S$46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Processing_final!$N$37:$N$46</c:f>
              <c:numCache>
                <c:formatCode>General</c:formatCode>
                <c:ptCount val="10"/>
                <c:pt idx="0">
                  <c:v>17881</c:v>
                </c:pt>
                <c:pt idx="1">
                  <c:v>29907</c:v>
                </c:pt>
                <c:pt idx="2">
                  <c:v>165906</c:v>
                </c:pt>
                <c:pt idx="3">
                  <c:v>185386</c:v>
                </c:pt>
                <c:pt idx="4">
                  <c:v>1864943</c:v>
                </c:pt>
                <c:pt idx="5">
                  <c:v>1991144</c:v>
                </c:pt>
                <c:pt idx="6">
                  <c:v>4449364</c:v>
                </c:pt>
                <c:pt idx="7">
                  <c:v>3387624</c:v>
                </c:pt>
                <c:pt idx="8">
                  <c:v>79262</c:v>
                </c:pt>
                <c:pt idx="9">
                  <c:v>40579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0-46A5-A92E-1E65752CB897}"/>
            </c:ext>
          </c:extLst>
        </c:ser>
        <c:ser>
          <c:idx val="1"/>
          <c:order val="1"/>
          <c:tx>
            <c:v>SIM_525_auto_drift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11717304859063"/>
                  <c:y val="-0.218974139041306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Processing_final!$S$37:$S$46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Processing_final!$O$37:$O$46</c:f>
              <c:numCache>
                <c:formatCode>General</c:formatCode>
                <c:ptCount val="10"/>
                <c:pt idx="0">
                  <c:v>16183.684417240094</c:v>
                </c:pt>
                <c:pt idx="1">
                  <c:v>24721.506189868578</c:v>
                </c:pt>
                <c:pt idx="2">
                  <c:v>126199.32757990331</c:v>
                </c:pt>
                <c:pt idx="3">
                  <c:v>130598.33169199934</c:v>
                </c:pt>
                <c:pt idx="4">
                  <c:v>1223402.0280427684</c:v>
                </c:pt>
                <c:pt idx="5">
                  <c:v>1222108.6908561513</c:v>
                </c:pt>
                <c:pt idx="6">
                  <c:v>2565735.8308613086</c:v>
                </c:pt>
                <c:pt idx="7">
                  <c:v>1842075.5527305228</c:v>
                </c:pt>
                <c:pt idx="8">
                  <c:v>40774.652765986953</c:v>
                </c:pt>
                <c:pt idx="9">
                  <c:v>13100.294861747523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40-46A5-A92E-1E65752CB897}"/>
            </c:ext>
          </c:extLst>
        </c:ser>
        <c:ser>
          <c:idx val="2"/>
          <c:order val="2"/>
          <c:tx>
            <c:v>SIM_525_auto_drift+blk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34524311855769"/>
                  <c:y val="-7.6489455106978743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Processing_final!$S$37:$S$46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Processing_final!$P$37:$P$46</c:f>
              <c:numCache>
                <c:formatCode>General</c:formatCode>
                <c:ptCount val="10"/>
                <c:pt idx="0">
                  <c:v>0</c:v>
                </c:pt>
                <c:pt idx="1">
                  <c:v>1026.471631157794</c:v>
                </c:pt>
                <c:pt idx="2">
                  <c:v>102504.29302119253</c:v>
                </c:pt>
                <c:pt idx="3">
                  <c:v>106903.29713328855</c:v>
                </c:pt>
                <c:pt idx="4">
                  <c:v>1199706.9934840575</c:v>
                </c:pt>
                <c:pt idx="5">
                  <c:v>1198413.6562974404</c:v>
                </c:pt>
                <c:pt idx="6">
                  <c:v>2542040.796302598</c:v>
                </c:pt>
                <c:pt idx="7">
                  <c:v>1818380.5181718119</c:v>
                </c:pt>
                <c:pt idx="8">
                  <c:v>17079.618207276169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40-46A5-A92E-1E65752C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18.08.21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752900074660038E-2"/>
                  <c:y val="-6.8498165863953124E-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Processing_final!$S$51:$S$60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Processing_final!$N$51:$N$60</c:f>
              <c:numCache>
                <c:formatCode>General</c:formatCode>
                <c:ptCount val="10"/>
                <c:pt idx="0">
                  <c:v>15880</c:v>
                </c:pt>
                <c:pt idx="1">
                  <c:v>24957</c:v>
                </c:pt>
                <c:pt idx="2">
                  <c:v>387228</c:v>
                </c:pt>
                <c:pt idx="3">
                  <c:v>369283</c:v>
                </c:pt>
                <c:pt idx="4">
                  <c:v>1914527</c:v>
                </c:pt>
                <c:pt idx="5">
                  <c:v>2039245</c:v>
                </c:pt>
                <c:pt idx="6">
                  <c:v>4252537</c:v>
                </c:pt>
                <c:pt idx="7">
                  <c:v>4610723</c:v>
                </c:pt>
                <c:pt idx="8">
                  <c:v>105093</c:v>
                </c:pt>
                <c:pt idx="9">
                  <c:v>95715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C-42D9-A169-1551993B8D58}"/>
            </c:ext>
          </c:extLst>
        </c:ser>
        <c:ser>
          <c:idx val="1"/>
          <c:order val="1"/>
          <c:tx>
            <c:v>SIM_525_auto_drift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19150468719999"/>
                  <c:y val="-0.15635952596850294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Processing_final!$S$51:$S$60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Processing_final!$O$51:$O$60</c:f>
              <c:numCache>
                <c:formatCode>General</c:formatCode>
                <c:ptCount val="10"/>
                <c:pt idx="0">
                  <c:v>14570.114285821064</c:v>
                </c:pt>
                <c:pt idx="1">
                  <c:v>21153.505513495187</c:v>
                </c:pt>
                <c:pt idx="2">
                  <c:v>304974.37422505097</c:v>
                </c:pt>
                <c:pt idx="3">
                  <c:v>271609.72424189263</c:v>
                </c:pt>
                <c:pt idx="4">
                  <c:v>1320808.7590977347</c:v>
                </c:pt>
                <c:pt idx="5">
                  <c:v>1324689.6867156345</c:v>
                </c:pt>
                <c:pt idx="6">
                  <c:v>2610014.3142567826</c:v>
                </c:pt>
                <c:pt idx="7">
                  <c:v>2681872.5169773214</c:v>
                </c:pt>
                <c:pt idx="8">
                  <c:v>58090.672692017884</c:v>
                </c:pt>
                <c:pt idx="9">
                  <c:v>34207.81870914092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C-42D9-A169-1551993B8D58}"/>
            </c:ext>
          </c:extLst>
        </c:ser>
        <c:ser>
          <c:idx val="2"/>
          <c:order val="2"/>
          <c:tx>
            <c:v>SIM_525_auto_drift+blk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05115433736495"/>
                  <c:y val="-1.072990834876762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Processing_final!$S$51:$S$60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Processing_final!$P$51:$P$60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272968.84642493218</c:v>
                </c:pt>
                <c:pt idx="3">
                  <c:v>239604.19644177388</c:v>
                </c:pt>
                <c:pt idx="4">
                  <c:v>1288803.2312976159</c:v>
                </c:pt>
                <c:pt idx="5">
                  <c:v>1292684.1589155158</c:v>
                </c:pt>
                <c:pt idx="6">
                  <c:v>2578008.7864566641</c:v>
                </c:pt>
                <c:pt idx="7">
                  <c:v>2649866.9891772028</c:v>
                </c:pt>
                <c:pt idx="8">
                  <c:v>26085.144891899119</c:v>
                </c:pt>
                <c:pt idx="9">
                  <c:v>2202.2909090221547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C-42D9-A169-1551993B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n-hex conc. 13.08.21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132265806219562E-2"/>
                  <c:y val="0.19545384951881015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(Processing1!$M$10:$M$15,Processing1!$M$17:$M$20)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  <c:pt idx="9">
                  <c:v>0</c:v>
                </c:pt>
              </c:numCache>
            </c:numRef>
          </c:xVal>
          <c:yVal>
            <c:numRef>
              <c:f>(Processing1!$J$10:$J$15,Processing1!$J$17:$J$20)</c:f>
              <c:numCache>
                <c:formatCode>General</c:formatCode>
                <c:ptCount val="10"/>
                <c:pt idx="0">
                  <c:v>74437</c:v>
                </c:pt>
                <c:pt idx="1">
                  <c:v>106760</c:v>
                </c:pt>
                <c:pt idx="2">
                  <c:v>350796</c:v>
                </c:pt>
                <c:pt idx="3">
                  <c:v>286253</c:v>
                </c:pt>
                <c:pt idx="4">
                  <c:v>2047550</c:v>
                </c:pt>
                <c:pt idx="5">
                  <c:v>1640308</c:v>
                </c:pt>
                <c:pt idx="6">
                  <c:v>4934748</c:v>
                </c:pt>
                <c:pt idx="7">
                  <c:v>196373</c:v>
                </c:pt>
                <c:pt idx="8">
                  <c:v>5374327</c:v>
                </c:pt>
                <c:pt idx="9">
                  <c:v>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4271-83C8-F1598FDB8F71}"/>
            </c:ext>
          </c:extLst>
        </c:ser>
        <c:ser>
          <c:idx val="1"/>
          <c:order val="1"/>
          <c:tx>
            <c:v>SIM_525_auto_all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2065823854533"/>
                  <c:y val="-8.20330271216098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Processing1!$M$10:$M$20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7.5</c:v>
                </c:pt>
                <c:pt idx="10">
                  <c:v>0</c:v>
                </c:pt>
              </c:numCache>
            </c:numRef>
          </c:xVal>
          <c:yVal>
            <c:numRef>
              <c:f>Processing1!$J$10:$J$20</c:f>
              <c:numCache>
                <c:formatCode>General</c:formatCode>
                <c:ptCount val="11"/>
                <c:pt idx="0">
                  <c:v>74437</c:v>
                </c:pt>
                <c:pt idx="1">
                  <c:v>106760</c:v>
                </c:pt>
                <c:pt idx="2">
                  <c:v>350796</c:v>
                </c:pt>
                <c:pt idx="3">
                  <c:v>286253</c:v>
                </c:pt>
                <c:pt idx="4">
                  <c:v>2047550</c:v>
                </c:pt>
                <c:pt idx="5">
                  <c:v>1640308</c:v>
                </c:pt>
                <c:pt idx="6">
                  <c:v>8429272</c:v>
                </c:pt>
                <c:pt idx="7">
                  <c:v>4934748</c:v>
                </c:pt>
                <c:pt idx="8">
                  <c:v>196373</c:v>
                </c:pt>
                <c:pt idx="9">
                  <c:v>5374327</c:v>
                </c:pt>
                <c:pt idx="10">
                  <c:v>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F-4271-83C8-F1598FDB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93608"/>
        <c:axId val="735589344"/>
      </c:scatterChart>
      <c:valAx>
        <c:axId val="7355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89344"/>
        <c:crosses val="autoZero"/>
        <c:crossBetween val="midCat"/>
      </c:valAx>
      <c:valAx>
        <c:axId val="735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n-hex conc. 16.08.21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57613900550963"/>
                  <c:y val="0.26246062992125985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(Processing1!$M$22:$M$27,Processing1!$M$29:$M$31)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(Processing1!$J$22:$J$27,Processing1!$J$29:$J$31)</c:f>
              <c:numCache>
                <c:formatCode>General</c:formatCode>
                <c:ptCount val="9"/>
                <c:pt idx="0">
                  <c:v>17881</c:v>
                </c:pt>
                <c:pt idx="1">
                  <c:v>29907</c:v>
                </c:pt>
                <c:pt idx="2">
                  <c:v>165906</c:v>
                </c:pt>
                <c:pt idx="3">
                  <c:v>185386</c:v>
                </c:pt>
                <c:pt idx="4">
                  <c:v>1864943</c:v>
                </c:pt>
                <c:pt idx="5">
                  <c:v>1991144</c:v>
                </c:pt>
                <c:pt idx="6">
                  <c:v>3387624</c:v>
                </c:pt>
                <c:pt idx="7">
                  <c:v>79262</c:v>
                </c:pt>
                <c:pt idx="8">
                  <c:v>40579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B-488C-955D-D3CE66A9258F}"/>
            </c:ext>
          </c:extLst>
        </c:ser>
        <c:ser>
          <c:idx val="1"/>
          <c:order val="1"/>
          <c:tx>
            <c:v>SIM_525_auto_all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97015236793192"/>
                  <c:y val="-5.47488334791484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Processing1!$M$22:$M$31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Processing1!$J$22:$J$31</c:f>
              <c:numCache>
                <c:formatCode>General</c:formatCode>
                <c:ptCount val="10"/>
                <c:pt idx="0">
                  <c:v>17881</c:v>
                </c:pt>
                <c:pt idx="1">
                  <c:v>29907</c:v>
                </c:pt>
                <c:pt idx="2">
                  <c:v>165906</c:v>
                </c:pt>
                <c:pt idx="3">
                  <c:v>185386</c:v>
                </c:pt>
                <c:pt idx="4">
                  <c:v>1864943</c:v>
                </c:pt>
                <c:pt idx="5">
                  <c:v>1991144</c:v>
                </c:pt>
                <c:pt idx="6">
                  <c:v>4449364</c:v>
                </c:pt>
                <c:pt idx="7">
                  <c:v>3387624</c:v>
                </c:pt>
                <c:pt idx="8">
                  <c:v>79262</c:v>
                </c:pt>
                <c:pt idx="9">
                  <c:v>40579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9B-488C-955D-D3CE66A9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93608"/>
        <c:axId val="735589344"/>
      </c:scatterChart>
      <c:valAx>
        <c:axId val="7355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89344"/>
        <c:crosses val="autoZero"/>
        <c:crossBetween val="midCat"/>
      </c:valAx>
      <c:valAx>
        <c:axId val="735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n-hex conc. 18.08.21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Processing1!$J$9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46408619836203E-2"/>
                  <c:y val="0.25884259259259257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Processing1!$M$33:$M$42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Processing1!$J$33:$J$42</c:f>
              <c:numCache>
                <c:formatCode>General</c:formatCode>
                <c:ptCount val="10"/>
                <c:pt idx="0">
                  <c:v>15880</c:v>
                </c:pt>
                <c:pt idx="1">
                  <c:v>24957</c:v>
                </c:pt>
                <c:pt idx="2">
                  <c:v>387228</c:v>
                </c:pt>
                <c:pt idx="3">
                  <c:v>369283</c:v>
                </c:pt>
                <c:pt idx="4">
                  <c:v>1914527</c:v>
                </c:pt>
                <c:pt idx="5">
                  <c:v>2039245</c:v>
                </c:pt>
                <c:pt idx="6">
                  <c:v>4252537</c:v>
                </c:pt>
                <c:pt idx="7">
                  <c:v>4610723</c:v>
                </c:pt>
                <c:pt idx="8">
                  <c:v>105093</c:v>
                </c:pt>
                <c:pt idx="9">
                  <c:v>95715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5-42AE-B8C8-EB07148C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93608"/>
        <c:axId val="735589344"/>
      </c:scatterChart>
      <c:valAx>
        <c:axId val="7355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89344"/>
        <c:crosses val="autoZero"/>
        <c:crossBetween val="midCat"/>
      </c:valAx>
      <c:valAx>
        <c:axId val="735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3051808"/>
        <c:axId val="583051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SIM_293_11.08.21_all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605263910717394"/>
                        <c:y val="-8.685768445610965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(Processing_final!$A$7:$A$8,Processing_final!$A$14,Processing_final!$A$25)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(Processing_final!$H$7:$H$8,Processing_final!$H$14,Processing_final!$H$25)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142133</c:v>
                      </c:pt>
                      <c:pt idx="1">
                        <c:v>377181</c:v>
                      </c:pt>
                      <c:pt idx="2">
                        <c:v>445076</c:v>
                      </c:pt>
                      <c:pt idx="3">
                        <c:v>260587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F89-4761-AEC9-8A0856745393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SIM_293_11.08.21_corr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4691388618710334"/>
                        <c:y val="-0.20748699527600251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5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(Processing_final!$A$8,Processing_final!$A$14,Processing_final!$A$25)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8</c:v>
                      </c:pt>
                      <c:pt idx="2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(Processing_final!$H$8,Processing_final!$H$14,Processing_final!$H$25)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377181</c:v>
                      </c:pt>
                      <c:pt idx="1">
                        <c:v>445076</c:v>
                      </c:pt>
                      <c:pt idx="2">
                        <c:v>260587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89-4761-AEC9-8A0856745393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SIM_293_13.08.21_all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2792095583654126"/>
                        <c:y val="-0.1010220889207735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(Processing_final!$A$43:$A$44,Processing_final!$A$51,Processing_final!$A$63)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(Processing_final!$H$43:$H$44,Processing_final!$H$51,Processing_final!$H$63)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55367</c:v>
                      </c:pt>
                      <c:pt idx="1">
                        <c:v>48985</c:v>
                      </c:pt>
                      <c:pt idx="2">
                        <c:v>169443</c:v>
                      </c:pt>
                      <c:pt idx="3">
                        <c:v>258120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89-4761-AEC9-8A0856745393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SIM_293_16.08.21_all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7259864110814579"/>
                        <c:y val="6.8675191340866679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3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(Processing_final!$A$79:$A$80,Processing_final!$A$87,Processing_final!$A$98)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(Processing_final!$H$79:$H$80,Processing_final!$H$87,Processing_final!$H$98)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68853</c:v>
                      </c:pt>
                      <c:pt idx="1">
                        <c:v>81970</c:v>
                      </c:pt>
                      <c:pt idx="2">
                        <c:v>135593</c:v>
                      </c:pt>
                      <c:pt idx="3">
                        <c:v>203812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89-4761-AEC9-8A0856745393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SIM_293_18.08.21_corr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0351748493035477"/>
                        <c:y val="-1.4705657529150587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(Processing_final!$A$115,Processing_final!$A$122,Processing_final!$A$133)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9</c:v>
                      </c:pt>
                      <c:pt idx="2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(Processing_final!$H$115,Processing_final!$H$122,Processing_final!$H$133)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258956</c:v>
                      </c:pt>
                      <c:pt idx="1">
                        <c:v>758785</c:v>
                      </c:pt>
                      <c:pt idx="2">
                        <c:v>812153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89-4761-AEC9-8A0856745393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SIM_293_18.08.21_all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(Processing_final!$A$114:$A$115,Processing_final!$A$122,Processing_final!$A$133)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(Processing_final!$H$114:$H$115,Processing_final!$H$122,Processing_final!$H$133)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66842</c:v>
                      </c:pt>
                      <c:pt idx="1">
                        <c:v>258956</c:v>
                      </c:pt>
                      <c:pt idx="2">
                        <c:v>758785</c:v>
                      </c:pt>
                      <c:pt idx="3">
                        <c:v>812153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89-4761-AEC9-8A0856745393}"/>
                  </c:ext>
                </c:extLst>
              </c15:ser>
            </c15:filteredScatterSeries>
          </c:ext>
        </c:extLst>
      </c:scatterChart>
      <c:valAx>
        <c:axId val="5830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1152"/>
        <c:crosses val="autoZero"/>
        <c:crossBetween val="midCat"/>
      </c:valAx>
      <c:valAx>
        <c:axId val="5830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SIM_293_auto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11.08.21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SIM_525_original_corr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91792505965852"/>
                  <c:y val="0.19585156649987037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(Processing_final!$S$8:$S$13,Processing_final!$S$15:$S$17)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xVal>
          <c:yVal>
            <c:numRef>
              <c:f>(Processing_final!$N$8:$N$13,Processing_final!$N$15:$N$17)</c:f>
              <c:numCache>
                <c:formatCode>General</c:formatCode>
                <c:ptCount val="9"/>
                <c:pt idx="0">
                  <c:v>58071</c:v>
                </c:pt>
                <c:pt idx="1">
                  <c:v>50070</c:v>
                </c:pt>
                <c:pt idx="2">
                  <c:v>144925</c:v>
                </c:pt>
                <c:pt idx="3">
                  <c:v>169101</c:v>
                </c:pt>
                <c:pt idx="4">
                  <c:v>1072490</c:v>
                </c:pt>
                <c:pt idx="5">
                  <c:v>918453</c:v>
                </c:pt>
                <c:pt idx="6">
                  <c:v>108062</c:v>
                </c:pt>
                <c:pt idx="7">
                  <c:v>119458</c:v>
                </c:pt>
                <c:pt idx="8">
                  <c:v>1828086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9-4343-A98F-25AD3BD5D94E}"/>
            </c:ext>
          </c:extLst>
        </c:ser>
        <c:ser>
          <c:idx val="5"/>
          <c:order val="5"/>
          <c:tx>
            <c:v>SIM_525_blk_corr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50205099051358E-2"/>
                  <c:y val="0.3488929173023034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(Proces_final_wo_drift!$S$8:$S$13,Proces_final_wo_drift!$S$15:$S$17)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xVal>
          <c:yVal>
            <c:numRef>
              <c:f>(Proces_final_wo_drift!$P$8:$P$13,Proces_final_wo_drift!$P$15:$P$17)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61009.75</c:v>
                </c:pt>
                <c:pt idx="3">
                  <c:v>85185.75</c:v>
                </c:pt>
                <c:pt idx="4">
                  <c:v>988574.75</c:v>
                </c:pt>
                <c:pt idx="5">
                  <c:v>834537.75</c:v>
                </c:pt>
                <c:pt idx="6">
                  <c:v>24146.75</c:v>
                </c:pt>
                <c:pt idx="7">
                  <c:v>35542.75</c:v>
                </c:pt>
                <c:pt idx="8">
                  <c:v>1744170.75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9-4343-A98F-25AD3BD5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SIM_525_auto_original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1292434011160302E-2"/>
                        <c:y val="0.22309710428130697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Processing_final!$S$8:$S$17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Processing_final!$N$8:$N$17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58071</c:v>
                      </c:pt>
                      <c:pt idx="1">
                        <c:v>50070</c:v>
                      </c:pt>
                      <c:pt idx="2">
                        <c:v>144925</c:v>
                      </c:pt>
                      <c:pt idx="3">
                        <c:v>169101</c:v>
                      </c:pt>
                      <c:pt idx="4">
                        <c:v>1072490</c:v>
                      </c:pt>
                      <c:pt idx="5">
                        <c:v>918453</c:v>
                      </c:pt>
                      <c:pt idx="6">
                        <c:v>3846642</c:v>
                      </c:pt>
                      <c:pt idx="7">
                        <c:v>108062</c:v>
                      </c:pt>
                      <c:pt idx="8">
                        <c:v>119458</c:v>
                      </c:pt>
                      <c:pt idx="9">
                        <c:v>1828086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C9-4343-A98F-25AD3BD5D9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SIM_525_auto_drift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5145203815890676"/>
                        <c:y val="-8.9373844062805838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Processing_final!$O$8:$O$17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59159.83480799989</c:v>
                      </c:pt>
                      <c:pt idx="1">
                        <c:v>51983.509556994111</c:v>
                      </c:pt>
                      <c:pt idx="2">
                        <c:v>153394.67161190428</c:v>
                      </c:pt>
                      <c:pt idx="3">
                        <c:v>182539.53659685687</c:v>
                      </c:pt>
                      <c:pt idx="4">
                        <c:v>1181188.6948066615</c:v>
                      </c:pt>
                      <c:pt idx="5">
                        <c:v>1032468.2662832469</c:v>
                      </c:pt>
                      <c:pt idx="6">
                        <c:v>4415513.6860952424</c:v>
                      </c:pt>
                      <c:pt idx="7">
                        <c:v>126720.25723146333</c:v>
                      </c:pt>
                      <c:pt idx="8">
                        <c:v>183695.16589982805</c:v>
                      </c:pt>
                      <c:pt idx="9">
                        <c:v>3386123.0976698506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C9-4343-A98F-25AD3BD5D94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SIM_525_auto_drift+blk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24316853141414072"/>
                        <c:y val="2.7442741678723171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3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Processing_final!$P$8:$P$17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48004.979737832939</c:v>
                      </c:pt>
                      <c:pt idx="3">
                        <c:v>77149.844722785521</c:v>
                      </c:pt>
                      <c:pt idx="4">
                        <c:v>1075799.0029325902</c:v>
                      </c:pt>
                      <c:pt idx="5">
                        <c:v>927078.57440917555</c:v>
                      </c:pt>
                      <c:pt idx="6">
                        <c:v>4310123.9942211714</c:v>
                      </c:pt>
                      <c:pt idx="7">
                        <c:v>21330.565357391984</c:v>
                      </c:pt>
                      <c:pt idx="8">
                        <c:v>78305.474025756703</c:v>
                      </c:pt>
                      <c:pt idx="9">
                        <c:v>3280733.4057957791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C9-4343-A98F-25AD3BD5D94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SIM_525_drift_corr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3.6486476839043554E-2"/>
                        <c:y val="-5.7321736424418623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Proces_final_wo_drift!$S$8:$S$17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(Proces_final_wo_drift!$O$8:$O$13,Proces_final_wo_drift!$O$15:$O$17)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58071</c:v>
                      </c:pt>
                      <c:pt idx="1">
                        <c:v>50070</c:v>
                      </c:pt>
                      <c:pt idx="2">
                        <c:v>144925</c:v>
                      </c:pt>
                      <c:pt idx="3">
                        <c:v>169101</c:v>
                      </c:pt>
                      <c:pt idx="4">
                        <c:v>1072490</c:v>
                      </c:pt>
                      <c:pt idx="5">
                        <c:v>918453</c:v>
                      </c:pt>
                      <c:pt idx="6">
                        <c:v>108062</c:v>
                      </c:pt>
                      <c:pt idx="7">
                        <c:v>119458</c:v>
                      </c:pt>
                      <c:pt idx="8">
                        <c:v>1828086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C9-4343-A98F-25AD3BD5D94E}"/>
                  </c:ext>
                </c:extLst>
              </c15:ser>
            </c15:filteredScatterSeries>
          </c:ext>
        </c:extLst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13.08.21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SIM_525_original_corr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079034056174258E-2"/>
                  <c:y val="0.24586412291293885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(Processing_final!$S$22:$S$27,Processing_final!$S$29:$S$32)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  <c:pt idx="9">
                  <c:v>0</c:v>
                </c:pt>
              </c:numCache>
            </c:numRef>
          </c:xVal>
          <c:yVal>
            <c:numRef>
              <c:f>(Processing_final!$N$22:$N$27,Processing_final!$N$29:$N$32)</c:f>
              <c:numCache>
                <c:formatCode>General</c:formatCode>
                <c:ptCount val="10"/>
                <c:pt idx="0">
                  <c:v>74437</c:v>
                </c:pt>
                <c:pt idx="1">
                  <c:v>106760</c:v>
                </c:pt>
                <c:pt idx="2">
                  <c:v>350796</c:v>
                </c:pt>
                <c:pt idx="3">
                  <c:v>286253</c:v>
                </c:pt>
                <c:pt idx="4">
                  <c:v>2047550</c:v>
                </c:pt>
                <c:pt idx="5">
                  <c:v>1640308</c:v>
                </c:pt>
                <c:pt idx="6">
                  <c:v>4934748</c:v>
                </c:pt>
                <c:pt idx="7">
                  <c:v>196373</c:v>
                </c:pt>
                <c:pt idx="8">
                  <c:v>5374327</c:v>
                </c:pt>
                <c:pt idx="9">
                  <c:v>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8-4BF7-97A1-7D93B936AA0B}"/>
            </c:ext>
          </c:extLst>
        </c:ser>
        <c:ser>
          <c:idx val="5"/>
          <c:order val="5"/>
          <c:tx>
            <c:v>SIM_525_blk_corr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241045210466535E-2"/>
                  <c:y val="0.38981454665033999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(Proces_final_wo_drift!$S$22:$S$27,Proces_final_wo_drift!$S$29:$S$32)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  <c:pt idx="9">
                  <c:v>0</c:v>
                </c:pt>
              </c:numCache>
            </c:numRef>
          </c:xVal>
          <c:yVal>
            <c:numRef>
              <c:f>(Proces_final_wo_drift!$P$22:$P$27,Proces_final_wo_drift!$P$29:$P$32)</c:f>
              <c:numCache>
                <c:formatCode>General</c:formatCode>
                <c:ptCount val="10"/>
                <c:pt idx="0">
                  <c:v>0</c:v>
                </c:pt>
                <c:pt idx="1">
                  <c:v>7301.5</c:v>
                </c:pt>
                <c:pt idx="2">
                  <c:v>251337.5</c:v>
                </c:pt>
                <c:pt idx="3">
                  <c:v>186794.5</c:v>
                </c:pt>
                <c:pt idx="4">
                  <c:v>1948091.5</c:v>
                </c:pt>
                <c:pt idx="5">
                  <c:v>1540849.5</c:v>
                </c:pt>
                <c:pt idx="6">
                  <c:v>4835289.5</c:v>
                </c:pt>
                <c:pt idx="7">
                  <c:v>96914.5</c:v>
                </c:pt>
                <c:pt idx="8">
                  <c:v>5274868.5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78-4BF7-97A1-7D93B936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SIM_525_auto_original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1.6717535940710838E-2"/>
                        <c:y val="-5.9149007945198853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Processing_final!$S$22:$S$32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7.5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Processing_final!$N$22:$N$32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74437</c:v>
                      </c:pt>
                      <c:pt idx="1">
                        <c:v>106760</c:v>
                      </c:pt>
                      <c:pt idx="2">
                        <c:v>350796</c:v>
                      </c:pt>
                      <c:pt idx="3">
                        <c:v>286253</c:v>
                      </c:pt>
                      <c:pt idx="4">
                        <c:v>2047550</c:v>
                      </c:pt>
                      <c:pt idx="5">
                        <c:v>1640308</c:v>
                      </c:pt>
                      <c:pt idx="6">
                        <c:v>8429272</c:v>
                      </c:pt>
                      <c:pt idx="7">
                        <c:v>4934748</c:v>
                      </c:pt>
                      <c:pt idx="8">
                        <c:v>196373</c:v>
                      </c:pt>
                      <c:pt idx="9">
                        <c:v>5374327</c:v>
                      </c:pt>
                      <c:pt idx="10">
                        <c:v>20264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A78-4BF7-97A1-7D93B936AA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SIM_525_auto_drift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7285079978672853"/>
                        <c:y val="-0.33598652722307681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Processing_final!$S$22:$S$32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7.5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Processing_final!$O$22:$O$32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60253.062204405869</c:v>
                      </c:pt>
                      <c:pt idx="1">
                        <c:v>72585.746449437531</c:v>
                      </c:pt>
                      <c:pt idx="2">
                        <c:v>205598.54858545683</c:v>
                      </c:pt>
                      <c:pt idx="3">
                        <c:v>147429.65003136327</c:v>
                      </c:pt>
                      <c:pt idx="4">
                        <c:v>940524.28118322929</c:v>
                      </c:pt>
                      <c:pt idx="5">
                        <c:v>679938.29973220697</c:v>
                      </c:pt>
                      <c:pt idx="6">
                        <c:v>3183449.0087261712</c:v>
                      </c:pt>
                      <c:pt idx="7">
                        <c:v>1711523.5196845199</c:v>
                      </c:pt>
                      <c:pt idx="8">
                        <c:v>62967.212421811084</c:v>
                      </c:pt>
                      <c:pt idx="9">
                        <c:v>1497249.3163529166</c:v>
                      </c:pt>
                      <c:pt idx="10">
                        <c:v>3409.4228817190337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78-4BF7-97A1-7D93B936AA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SIM_525_auto_drift+blk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0864027426197597"/>
                        <c:y val="-0.14005006527837616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3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Processing_final!$S$22:$S$32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7.5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Processing_final!$P$22:$P$32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10449.201215062487</c:v>
                      </c:pt>
                      <c:pt idx="1">
                        <c:v>22781.885460094149</c:v>
                      </c:pt>
                      <c:pt idx="2">
                        <c:v>155794.68759611345</c:v>
                      </c:pt>
                      <c:pt idx="3">
                        <c:v>97625.789042019896</c:v>
                      </c:pt>
                      <c:pt idx="4">
                        <c:v>890720.42019388592</c:v>
                      </c:pt>
                      <c:pt idx="5">
                        <c:v>630134.4387428636</c:v>
                      </c:pt>
                      <c:pt idx="6">
                        <c:v>3133645.1477368278</c:v>
                      </c:pt>
                      <c:pt idx="7">
                        <c:v>1661719.6586951765</c:v>
                      </c:pt>
                      <c:pt idx="8">
                        <c:v>13163.351432467702</c:v>
                      </c:pt>
                      <c:pt idx="9">
                        <c:v>1447445.4553635733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78-4BF7-97A1-7D93B936AA0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SIM_525_drift_corr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42970308450787315"/>
                        <c:y val="-0.2501273206184873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(Processing_final!$S$22:$S$27,Processing_final!$S$29:$S$32)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0</c:v>
                      </c:pt>
                      <c:pt idx="8">
                        <c:v>7.5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(Processing_final!$O$22:$O$27,Processing_final!$O$29:$O$32)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60253.062204405869</c:v>
                      </c:pt>
                      <c:pt idx="1">
                        <c:v>72585.746449437531</c:v>
                      </c:pt>
                      <c:pt idx="2">
                        <c:v>205598.54858545683</c:v>
                      </c:pt>
                      <c:pt idx="3">
                        <c:v>147429.65003136327</c:v>
                      </c:pt>
                      <c:pt idx="4">
                        <c:v>940524.28118322929</c:v>
                      </c:pt>
                      <c:pt idx="5">
                        <c:v>679938.29973220697</c:v>
                      </c:pt>
                      <c:pt idx="6">
                        <c:v>1711523.5196845199</c:v>
                      </c:pt>
                      <c:pt idx="7">
                        <c:v>62967.212421811084</c:v>
                      </c:pt>
                      <c:pt idx="8">
                        <c:v>1497249.3163529166</c:v>
                      </c:pt>
                      <c:pt idx="9">
                        <c:v>3409.4228817190337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78-4BF7-97A1-7D93B936AA0B}"/>
                  </c:ext>
                </c:extLst>
              </c15:ser>
            </c15:filteredScatterSeries>
          </c:ext>
        </c:extLst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16.08.21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16067388668429E-3"/>
                  <c:y val="-2.7826501386307427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Processing_final!$S$37:$S$46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Processing_final!$N$37:$N$46</c:f>
              <c:numCache>
                <c:formatCode>General</c:formatCode>
                <c:ptCount val="10"/>
                <c:pt idx="0">
                  <c:v>17881</c:v>
                </c:pt>
                <c:pt idx="1">
                  <c:v>29907</c:v>
                </c:pt>
                <c:pt idx="2">
                  <c:v>165906</c:v>
                </c:pt>
                <c:pt idx="3">
                  <c:v>185386</c:v>
                </c:pt>
                <c:pt idx="4">
                  <c:v>1864943</c:v>
                </c:pt>
                <c:pt idx="5">
                  <c:v>1991144</c:v>
                </c:pt>
                <c:pt idx="6">
                  <c:v>4449364</c:v>
                </c:pt>
                <c:pt idx="7">
                  <c:v>3387624</c:v>
                </c:pt>
                <c:pt idx="8">
                  <c:v>79262</c:v>
                </c:pt>
                <c:pt idx="9">
                  <c:v>40579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E-4BF0-A2E5-E16AEDF5A04F}"/>
            </c:ext>
          </c:extLst>
        </c:ser>
        <c:ser>
          <c:idx val="2"/>
          <c:order val="2"/>
          <c:tx>
            <c:v>SIM_525_auto_blk_corr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1607659436003"/>
                  <c:y val="0.19730577149757159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Proces_final_wo_drift!$S$37:$S$46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Proces_final_wo_drift!$P$37:$P$46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123998.75</c:v>
                </c:pt>
                <c:pt idx="3">
                  <c:v>143478.75</c:v>
                </c:pt>
                <c:pt idx="4">
                  <c:v>1823035.75</c:v>
                </c:pt>
                <c:pt idx="5">
                  <c:v>1949236.75</c:v>
                </c:pt>
                <c:pt idx="6">
                  <c:v>4407456.75</c:v>
                </c:pt>
                <c:pt idx="7">
                  <c:v>3345716.75</c:v>
                </c:pt>
                <c:pt idx="8">
                  <c:v>37354.75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E-4BF0-A2E5-E16AEDF5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SIM_525_auto_drift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4811717304859063"/>
                        <c:y val="-0.2189741390413068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Processing_final!$S$37:$S$46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Processing_final!$O$37:$O$46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16183.684417240094</c:v>
                      </c:pt>
                      <c:pt idx="1">
                        <c:v>24721.506189868578</c:v>
                      </c:pt>
                      <c:pt idx="2">
                        <c:v>126199.32757990331</c:v>
                      </c:pt>
                      <c:pt idx="3">
                        <c:v>130598.33169199934</c:v>
                      </c:pt>
                      <c:pt idx="4">
                        <c:v>1223402.0280427684</c:v>
                      </c:pt>
                      <c:pt idx="5">
                        <c:v>1222108.6908561513</c:v>
                      </c:pt>
                      <c:pt idx="6">
                        <c:v>2565735.8308613086</c:v>
                      </c:pt>
                      <c:pt idx="7">
                        <c:v>1842075.5527305228</c:v>
                      </c:pt>
                      <c:pt idx="8">
                        <c:v>40774.652765986953</c:v>
                      </c:pt>
                      <c:pt idx="9">
                        <c:v>13100.294861747523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A5E-4BF0-A2E5-E16AEDF5A04F}"/>
                  </c:ext>
                </c:extLst>
              </c15:ser>
            </c15:filteredScatterSeries>
          </c:ext>
        </c:extLst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Conc. Samples Computed 11.08.21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Raw!$H$6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(Raw!$Q$15:$Q$22,Raw!$Q$32)</c:f>
              <c:numCache>
                <c:formatCode>General</c:formatCode>
                <c:ptCount val="9"/>
                <c:pt idx="0">
                  <c:v>3.8188009482337942E-2</c:v>
                </c:pt>
                <c:pt idx="1">
                  <c:v>5.7700399719476394</c:v>
                </c:pt>
                <c:pt idx="2">
                  <c:v>3.668136837922952</c:v>
                </c:pt>
                <c:pt idx="3">
                  <c:v>8.8560529901630076</c:v>
                </c:pt>
                <c:pt idx="4">
                  <c:v>6.4092231469309064</c:v>
                </c:pt>
                <c:pt idx="5">
                  <c:v>4.3084559735262511</c:v>
                </c:pt>
                <c:pt idx="6">
                  <c:v>6.4714369901843405</c:v>
                </c:pt>
                <c:pt idx="7">
                  <c:v>3.6277169058139318</c:v>
                </c:pt>
                <c:pt idx="8">
                  <c:v>4.3490438998114733</c:v>
                </c:pt>
              </c:numCache>
            </c:numRef>
          </c:xVal>
          <c:yVal>
            <c:numRef>
              <c:f>(Raw!$H$15:$H$22,Raw!$H$32)</c:f>
              <c:numCache>
                <c:formatCode>General</c:formatCode>
                <c:ptCount val="9"/>
                <c:pt idx="0">
                  <c:v>72744</c:v>
                </c:pt>
                <c:pt idx="1">
                  <c:v>2222263</c:v>
                </c:pt>
                <c:pt idx="2">
                  <c:v>1434022</c:v>
                </c:pt>
                <c:pt idx="3">
                  <c:v>3379558</c:v>
                </c:pt>
                <c:pt idx="4">
                  <c:v>2461965</c:v>
                </c:pt>
                <c:pt idx="5">
                  <c:v>1674150</c:v>
                </c:pt>
                <c:pt idx="6">
                  <c:v>2485296</c:v>
                </c:pt>
                <c:pt idx="7">
                  <c:v>1418864</c:v>
                </c:pt>
                <c:pt idx="8">
                  <c:v>1689371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4-49B5-8D39-BDE028A098FF}"/>
            </c:ext>
          </c:extLst>
        </c:ser>
        <c:ser>
          <c:idx val="2"/>
          <c:order val="2"/>
          <c:tx>
            <c:strRef>
              <c:f>Raw!$H$6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(Raw!$Q$23:$Q$24,Raw!$Q$26:$Q$30)</c:f>
              <c:numCache>
                <c:formatCode>General</c:formatCode>
                <c:ptCount val="7"/>
                <c:pt idx="0">
                  <c:v>-8.9730222685613561E-3</c:v>
                </c:pt>
                <c:pt idx="1">
                  <c:v>6.7437208843426761</c:v>
                </c:pt>
                <c:pt idx="2">
                  <c:v>7.9318823614114713</c:v>
                </c:pt>
                <c:pt idx="3">
                  <c:v>7.9717929778434344</c:v>
                </c:pt>
                <c:pt idx="4">
                  <c:v>8.2864887350571852</c:v>
                </c:pt>
                <c:pt idx="5">
                  <c:v>4.9132056755365818</c:v>
                </c:pt>
                <c:pt idx="6">
                  <c:v>4.768690685389573</c:v>
                </c:pt>
              </c:numCache>
            </c:numRef>
          </c:xVal>
          <c:yVal>
            <c:numRef>
              <c:f>(Raw!$H$23:$H$24,Raw!$H$26:$H$30)</c:f>
              <c:numCache>
                <c:formatCode>General</c:formatCode>
                <c:ptCount val="7"/>
                <c:pt idx="0">
                  <c:v>55058</c:v>
                </c:pt>
                <c:pt idx="1">
                  <c:v>2587406</c:v>
                </c:pt>
                <c:pt idx="2">
                  <c:v>3032982</c:v>
                </c:pt>
                <c:pt idx="3">
                  <c:v>3047949</c:v>
                </c:pt>
                <c:pt idx="4">
                  <c:v>3165964</c:v>
                </c:pt>
                <c:pt idx="5">
                  <c:v>1900939</c:v>
                </c:pt>
                <c:pt idx="6">
                  <c:v>1846744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24-49B5-8D39-BDE028A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Raw!$G$6</c15:sqref>
                        </c15:formulaRef>
                      </c:ext>
                    </c:extLst>
                    <c:strCache>
                      <c:ptCount val="1"/>
                      <c:pt idx="0">
                        <c:v>SIM_525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Raw!$P$14:$P$32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-8.454863833568553E-2</c:v>
                      </c:pt>
                      <c:pt idx="1">
                        <c:v>-8.454863833568553E-2</c:v>
                      </c:pt>
                      <c:pt idx="2">
                        <c:v>5.7503449898071191</c:v>
                      </c:pt>
                      <c:pt idx="3">
                        <c:v>3.6714390256651508</c:v>
                      </c:pt>
                      <c:pt idx="4">
                        <c:v>8.7481260780931471</c:v>
                      </c:pt>
                      <c:pt idx="5">
                        <c:v>6.3751293711776693</c:v>
                      </c:pt>
                      <c:pt idx="6">
                        <c:v>4.2992342271705608</c:v>
                      </c:pt>
                      <c:pt idx="7">
                        <c:v>6.4252312999843184</c:v>
                      </c:pt>
                      <c:pt idx="8">
                        <c:v>3.6495164915582041</c:v>
                      </c:pt>
                      <c:pt idx="9">
                        <c:v>-8.454863833568553E-2</c:v>
                      </c:pt>
                      <c:pt idx="10">
                        <c:v>6.6980215357273538</c:v>
                      </c:pt>
                      <c:pt idx="11">
                        <c:v>-8.454863833568553E-2</c:v>
                      </c:pt>
                      <c:pt idx="12">
                        <c:v>7.8833464011290575</c:v>
                      </c:pt>
                      <c:pt idx="13">
                        <c:v>7.9036981861899536</c:v>
                      </c:pt>
                      <c:pt idx="14">
                        <c:v>8.2400658616904501</c:v>
                      </c:pt>
                      <c:pt idx="15">
                        <c:v>4.8954445664105375</c:v>
                      </c:pt>
                      <c:pt idx="16">
                        <c:v>4.7541111285348387</c:v>
                      </c:pt>
                      <c:pt idx="17">
                        <c:v>4.7109612670534737</c:v>
                      </c:pt>
                      <c:pt idx="18">
                        <c:v>4.3340572892164548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Raw!$G$14:$G$32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2232547</c:v>
                      </c:pt>
                      <c:pt idx="3">
                        <c:v>1437116</c:v>
                      </c:pt>
                      <c:pt idx="4">
                        <c:v>3379558</c:v>
                      </c:pt>
                      <c:pt idx="5">
                        <c:v>2471602</c:v>
                      </c:pt>
                      <c:pt idx="6">
                        <c:v>1677323</c:v>
                      </c:pt>
                      <c:pt idx="7">
                        <c:v>2490772</c:v>
                      </c:pt>
                      <c:pt idx="8">
                        <c:v>1428728</c:v>
                      </c:pt>
                      <c:pt idx="9">
                        <c:v>0</c:v>
                      </c:pt>
                      <c:pt idx="10">
                        <c:v>2595147</c:v>
                      </c:pt>
                      <c:pt idx="11">
                        <c:v>0</c:v>
                      </c:pt>
                      <c:pt idx="12">
                        <c:v>3048676</c:v>
                      </c:pt>
                      <c:pt idx="13">
                        <c:v>3056463</c:v>
                      </c:pt>
                      <c:pt idx="14">
                        <c:v>3185164</c:v>
                      </c:pt>
                      <c:pt idx="15">
                        <c:v>1905445</c:v>
                      </c:pt>
                      <c:pt idx="16">
                        <c:v>1851368</c:v>
                      </c:pt>
                      <c:pt idx="17">
                        <c:v>1834858</c:v>
                      </c:pt>
                      <c:pt idx="18">
                        <c:v>1690647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24-49B5-8D39-BDE028A098FF}"/>
                  </c:ext>
                </c:extLst>
              </c15:ser>
            </c15:filteredScatterSeries>
          </c:ext>
        </c:extLst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18.08.21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752900074660038E-2"/>
                  <c:y val="-6.8498165863953124E-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Processing_final!$S$51:$S$60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Processing_final!$N$51:$N$60</c:f>
              <c:numCache>
                <c:formatCode>General</c:formatCode>
                <c:ptCount val="10"/>
                <c:pt idx="0">
                  <c:v>15880</c:v>
                </c:pt>
                <c:pt idx="1">
                  <c:v>24957</c:v>
                </c:pt>
                <c:pt idx="2">
                  <c:v>387228</c:v>
                </c:pt>
                <c:pt idx="3">
                  <c:v>369283</c:v>
                </c:pt>
                <c:pt idx="4">
                  <c:v>1914527</c:v>
                </c:pt>
                <c:pt idx="5">
                  <c:v>2039245</c:v>
                </c:pt>
                <c:pt idx="6">
                  <c:v>4252537</c:v>
                </c:pt>
                <c:pt idx="7">
                  <c:v>4610723</c:v>
                </c:pt>
                <c:pt idx="8">
                  <c:v>105093</c:v>
                </c:pt>
                <c:pt idx="9">
                  <c:v>95715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7-40A1-BE2D-83F560D89E29}"/>
            </c:ext>
          </c:extLst>
        </c:ser>
        <c:ser>
          <c:idx val="2"/>
          <c:order val="2"/>
          <c:tx>
            <c:v>SIM_525_auto_blk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440083910818268E-2"/>
                  <c:y val="0.21732599896835977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Proces_final_wo_drift!$S$51:$S$60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Proces_final_wo_drift!$P$51:$P$60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326816.75</c:v>
                </c:pt>
                <c:pt idx="3">
                  <c:v>308871.75</c:v>
                </c:pt>
                <c:pt idx="4">
                  <c:v>1854115.75</c:v>
                </c:pt>
                <c:pt idx="5">
                  <c:v>1978833.75</c:v>
                </c:pt>
                <c:pt idx="6">
                  <c:v>4192125.75</c:v>
                </c:pt>
                <c:pt idx="7">
                  <c:v>4550311.75</c:v>
                </c:pt>
                <c:pt idx="8">
                  <c:v>44681.75</c:v>
                </c:pt>
                <c:pt idx="9">
                  <c:v>35303.75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D7-40A1-BE2D-83F560D8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SIM_525_auto_drift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9019150468719999"/>
                        <c:y val="-0.15635952596850294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Processing_final!$S$51:$S$60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Processing_final!$O$51:$O$60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14570.114285821064</c:v>
                      </c:pt>
                      <c:pt idx="1">
                        <c:v>21153.505513495187</c:v>
                      </c:pt>
                      <c:pt idx="2">
                        <c:v>304974.37422505097</c:v>
                      </c:pt>
                      <c:pt idx="3">
                        <c:v>271609.72424189263</c:v>
                      </c:pt>
                      <c:pt idx="4">
                        <c:v>1320808.7590977347</c:v>
                      </c:pt>
                      <c:pt idx="5">
                        <c:v>1324689.6867156345</c:v>
                      </c:pt>
                      <c:pt idx="6">
                        <c:v>2610014.3142567826</c:v>
                      </c:pt>
                      <c:pt idx="7">
                        <c:v>2681872.5169773214</c:v>
                      </c:pt>
                      <c:pt idx="8">
                        <c:v>58090.672692017884</c:v>
                      </c:pt>
                      <c:pt idx="9">
                        <c:v>34207.81870914092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ED7-40A1-BE2D-83F560D89E29}"/>
                  </c:ext>
                </c:extLst>
              </c15:ser>
            </c15:filteredScatterSeries>
          </c:ext>
        </c:extLst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13.08.21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Raw!$G$42</c:f>
              <c:strCache>
                <c:ptCount val="1"/>
                <c:pt idx="0">
                  <c:v>SIM_525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7581013157669"/>
                  <c:y val="5.9273086579995991E-2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(Raw!$L$43:$L$48,Raw!$L$50,Raw!$L$51,Raw!$L$53)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</c:numCache>
            </c:numRef>
          </c:xVal>
          <c:yVal>
            <c:numRef>
              <c:f>(Raw!$G$43:$G$48,Raw!$G$50,Raw!$G$51,Raw!$G$53)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349590</c:v>
                </c:pt>
                <c:pt idx="3">
                  <c:v>286253</c:v>
                </c:pt>
                <c:pt idx="4">
                  <c:v>2057396</c:v>
                </c:pt>
                <c:pt idx="5">
                  <c:v>1651055</c:v>
                </c:pt>
                <c:pt idx="6">
                  <c:v>4968377</c:v>
                </c:pt>
                <c:pt idx="7">
                  <c:v>196373</c:v>
                </c:pt>
                <c:pt idx="8">
                  <c:v>5413381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2-48FA-8457-A1512FE7E358}"/>
            </c:ext>
          </c:extLst>
        </c:ser>
        <c:ser>
          <c:idx val="1"/>
          <c:order val="1"/>
          <c:tx>
            <c:strRef>
              <c:f>Raw!$H$42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340346979449147E-2"/>
                  <c:y val="0.1784306292908636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(Raw!$L$43:$L$48,Raw!$L$50,Raw!$L$51,Raw!$L$53)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7.5</c:v>
                </c:pt>
              </c:numCache>
            </c:numRef>
          </c:xVal>
          <c:yVal>
            <c:numRef>
              <c:f>(Raw!$H$43:$H$48,Raw!$H$50:$H$51,Raw!$H$53)</c:f>
              <c:numCache>
                <c:formatCode>General</c:formatCode>
                <c:ptCount val="9"/>
                <c:pt idx="0">
                  <c:v>74437</c:v>
                </c:pt>
                <c:pt idx="1">
                  <c:v>106760</c:v>
                </c:pt>
                <c:pt idx="2">
                  <c:v>350796</c:v>
                </c:pt>
                <c:pt idx="3">
                  <c:v>286253</c:v>
                </c:pt>
                <c:pt idx="4">
                  <c:v>2047550</c:v>
                </c:pt>
                <c:pt idx="5">
                  <c:v>1640308</c:v>
                </c:pt>
                <c:pt idx="6">
                  <c:v>4934748</c:v>
                </c:pt>
                <c:pt idx="7">
                  <c:v>196373</c:v>
                </c:pt>
                <c:pt idx="8">
                  <c:v>5374327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2-48FA-8457-A1512FE7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16.08.21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Raw!$G$78</c:f>
              <c:strCache>
                <c:ptCount val="1"/>
                <c:pt idx="0">
                  <c:v>SIM_525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7581013157669"/>
                  <c:y val="5.9273086579995991E-2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Raw!$L$79:$L$87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Raw!$G$79:$G$87</c:f>
              <c:numCache>
                <c:formatCode>General</c:formatCode>
                <c:ptCount val="9"/>
                <c:pt idx="3">
                  <c:v>184189</c:v>
                </c:pt>
                <c:pt idx="4">
                  <c:v>1866416</c:v>
                </c:pt>
                <c:pt idx="5">
                  <c:v>1998748</c:v>
                </c:pt>
                <c:pt idx="6">
                  <c:v>4458414</c:v>
                </c:pt>
                <c:pt idx="7">
                  <c:v>3394771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1-4193-8CDF-DFA4BCC0A75B}"/>
            </c:ext>
          </c:extLst>
        </c:ser>
        <c:ser>
          <c:idx val="1"/>
          <c:order val="1"/>
          <c:tx>
            <c:strRef>
              <c:f>Raw!$H$78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396171066851939E-3"/>
                  <c:y val="0.27236392624861294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Raw!$L$79:$L$87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Raw!$H$79:$H$87</c:f>
              <c:numCache>
                <c:formatCode>General</c:formatCode>
                <c:ptCount val="9"/>
                <c:pt idx="0">
                  <c:v>17881</c:v>
                </c:pt>
                <c:pt idx="1">
                  <c:v>29907</c:v>
                </c:pt>
                <c:pt idx="2">
                  <c:v>165906</c:v>
                </c:pt>
                <c:pt idx="3">
                  <c:v>185386</c:v>
                </c:pt>
                <c:pt idx="4">
                  <c:v>1864943</c:v>
                </c:pt>
                <c:pt idx="5">
                  <c:v>1991144</c:v>
                </c:pt>
                <c:pt idx="6">
                  <c:v>4449364</c:v>
                </c:pt>
                <c:pt idx="7">
                  <c:v>3387624</c:v>
                </c:pt>
                <c:pt idx="8">
                  <c:v>79262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1-4193-8CDF-DFA4BCC0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Conc. Samples Computed 13.08.21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Soil 1 w/o 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Raw!$P$56:$P$61</c:f>
              <c:numCache>
                <c:formatCode>General</c:formatCode>
                <c:ptCount val="6"/>
                <c:pt idx="0">
                  <c:v>5.3564701176519209</c:v>
                </c:pt>
                <c:pt idx="1">
                  <c:v>4.0475552282116638</c:v>
                </c:pt>
                <c:pt idx="2">
                  <c:v>2.3946084689899885</c:v>
                </c:pt>
                <c:pt idx="3">
                  <c:v>3.5364667818930284</c:v>
                </c:pt>
                <c:pt idx="4">
                  <c:v>3.6406767752953106</c:v>
                </c:pt>
                <c:pt idx="5">
                  <c:v>4.0644524706017799</c:v>
                </c:pt>
              </c:numCache>
            </c:numRef>
          </c:xVal>
          <c:yVal>
            <c:numRef>
              <c:f>Raw!$H$56:$H$61</c:f>
              <c:numCache>
                <c:formatCode>General</c:formatCode>
                <c:ptCount val="6"/>
                <c:pt idx="0">
                  <c:v>3716147</c:v>
                </c:pt>
                <c:pt idx="1">
                  <c:v>2829348</c:v>
                </c:pt>
                <c:pt idx="2">
                  <c:v>1709465</c:v>
                </c:pt>
                <c:pt idx="3">
                  <c:v>2483082</c:v>
                </c:pt>
                <c:pt idx="4">
                  <c:v>2553685</c:v>
                </c:pt>
                <c:pt idx="5">
                  <c:v>2840796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72E-90FD-89BC276DDD00}"/>
            </c:ext>
          </c:extLst>
        </c:ser>
        <c:ser>
          <c:idx val="2"/>
          <c:order val="2"/>
          <c:tx>
            <c:v>Soil 1 w/ 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Raw!$P$64:$P$69</c:f>
              <c:numCache>
                <c:formatCode>General</c:formatCode>
                <c:ptCount val="6"/>
                <c:pt idx="0">
                  <c:v>3.0781305580606548</c:v>
                </c:pt>
                <c:pt idx="1">
                  <c:v>2.6673421824423955</c:v>
                </c:pt>
                <c:pt idx="2">
                  <c:v>4.1942813874985792</c:v>
                </c:pt>
                <c:pt idx="3">
                  <c:v>4.9081839744829203</c:v>
                </c:pt>
                <c:pt idx="4">
                  <c:v>3.8959848385330336</c:v>
                </c:pt>
                <c:pt idx="5">
                  <c:v>6.0641144667139972</c:v>
                </c:pt>
              </c:numCache>
            </c:numRef>
          </c:xVal>
          <c:yVal>
            <c:numRef>
              <c:f>Raw!$H$64:$H$69</c:f>
              <c:numCache>
                <c:formatCode>General</c:formatCode>
                <c:ptCount val="6"/>
                <c:pt idx="0">
                  <c:v>2172556</c:v>
                </c:pt>
                <c:pt idx="1">
                  <c:v>1894244</c:v>
                </c:pt>
                <c:pt idx="2">
                  <c:v>2928756</c:v>
                </c:pt>
                <c:pt idx="3">
                  <c:v>3412430</c:v>
                </c:pt>
                <c:pt idx="4">
                  <c:v>2726658</c:v>
                </c:pt>
                <c:pt idx="5">
                  <c:v>4195581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72E-90FD-89BC276D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Raw!$G$6</c15:sqref>
                        </c15:formulaRef>
                      </c:ext>
                    </c:extLst>
                    <c:strCache>
                      <c:ptCount val="1"/>
                      <c:pt idx="0">
                        <c:v>SIM_525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Raw!$P$14:$P$32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-8.454863833568553E-2</c:v>
                      </c:pt>
                      <c:pt idx="1">
                        <c:v>-8.454863833568553E-2</c:v>
                      </c:pt>
                      <c:pt idx="2">
                        <c:v>5.7503449898071191</c:v>
                      </c:pt>
                      <c:pt idx="3">
                        <c:v>3.6714390256651508</c:v>
                      </c:pt>
                      <c:pt idx="4">
                        <c:v>8.7481260780931471</c:v>
                      </c:pt>
                      <c:pt idx="5">
                        <c:v>6.3751293711776693</c:v>
                      </c:pt>
                      <c:pt idx="6">
                        <c:v>4.2992342271705608</c:v>
                      </c:pt>
                      <c:pt idx="7">
                        <c:v>6.4252312999843184</c:v>
                      </c:pt>
                      <c:pt idx="8">
                        <c:v>3.6495164915582041</c:v>
                      </c:pt>
                      <c:pt idx="9">
                        <c:v>-8.454863833568553E-2</c:v>
                      </c:pt>
                      <c:pt idx="10">
                        <c:v>6.6980215357273538</c:v>
                      </c:pt>
                      <c:pt idx="11">
                        <c:v>-8.454863833568553E-2</c:v>
                      </c:pt>
                      <c:pt idx="12">
                        <c:v>7.8833464011290575</c:v>
                      </c:pt>
                      <c:pt idx="13">
                        <c:v>7.9036981861899536</c:v>
                      </c:pt>
                      <c:pt idx="14">
                        <c:v>8.2400658616904501</c:v>
                      </c:pt>
                      <c:pt idx="15">
                        <c:v>4.8954445664105375</c:v>
                      </c:pt>
                      <c:pt idx="16">
                        <c:v>4.7541111285348387</c:v>
                      </c:pt>
                      <c:pt idx="17">
                        <c:v>4.7109612670534737</c:v>
                      </c:pt>
                      <c:pt idx="18">
                        <c:v>4.3340572892164548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Raw!$G$14:$G$32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2232547</c:v>
                      </c:pt>
                      <c:pt idx="3">
                        <c:v>1437116</c:v>
                      </c:pt>
                      <c:pt idx="4">
                        <c:v>3379558</c:v>
                      </c:pt>
                      <c:pt idx="5">
                        <c:v>2471602</c:v>
                      </c:pt>
                      <c:pt idx="6">
                        <c:v>1677323</c:v>
                      </c:pt>
                      <c:pt idx="7">
                        <c:v>2490772</c:v>
                      </c:pt>
                      <c:pt idx="8">
                        <c:v>1428728</c:v>
                      </c:pt>
                      <c:pt idx="9">
                        <c:v>0</c:v>
                      </c:pt>
                      <c:pt idx="10">
                        <c:v>2595147</c:v>
                      </c:pt>
                      <c:pt idx="11">
                        <c:v>0</c:v>
                      </c:pt>
                      <c:pt idx="12">
                        <c:v>3048676</c:v>
                      </c:pt>
                      <c:pt idx="13">
                        <c:v>3056463</c:v>
                      </c:pt>
                      <c:pt idx="14">
                        <c:v>3185164</c:v>
                      </c:pt>
                      <c:pt idx="15">
                        <c:v>1905445</c:v>
                      </c:pt>
                      <c:pt idx="16">
                        <c:v>1851368</c:v>
                      </c:pt>
                      <c:pt idx="17">
                        <c:v>1834858</c:v>
                      </c:pt>
                      <c:pt idx="18">
                        <c:v>1690647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63-472E-90FD-89BC276DDD00}"/>
                  </c:ext>
                </c:extLst>
              </c15:ser>
            </c15:filteredScatterSeries>
          </c:ext>
        </c:extLst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Conc. Samples Computed 16.08.21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Soil 2 w/o 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Raw!$P$94:$P$97</c:f>
              <c:numCache>
                <c:formatCode>General</c:formatCode>
                <c:ptCount val="4"/>
                <c:pt idx="0">
                  <c:v>1.8452604380913205</c:v>
                </c:pt>
                <c:pt idx="1">
                  <c:v>2.4902560674619498</c:v>
                </c:pt>
                <c:pt idx="2">
                  <c:v>0.91018870835047305</c:v>
                </c:pt>
                <c:pt idx="3">
                  <c:v>0.8833350473056355</c:v>
                </c:pt>
              </c:numCache>
            </c:numRef>
          </c:xVal>
          <c:yVal>
            <c:numRef>
              <c:f>Raw!$H$94:$H$97</c:f>
              <c:numCache>
                <c:formatCode>General</c:formatCode>
                <c:ptCount val="4"/>
                <c:pt idx="0">
                  <c:v>1448094</c:v>
                </c:pt>
                <c:pt idx="1">
                  <c:v>1949849</c:v>
                </c:pt>
                <c:pt idx="2">
                  <c:v>720683</c:v>
                </c:pt>
                <c:pt idx="3">
                  <c:v>699793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D-4300-AD94-22FA23B087CD}"/>
            </c:ext>
          </c:extLst>
        </c:ser>
        <c:ser>
          <c:idx val="2"/>
          <c:order val="2"/>
          <c:tx>
            <c:v>Soil 2 w/ 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Raw!$P$101:$P$104</c:f>
              <c:numCache>
                <c:formatCode>General</c:formatCode>
                <c:ptCount val="4"/>
                <c:pt idx="0">
                  <c:v>0.96866515837104072</c:v>
                </c:pt>
                <c:pt idx="1">
                  <c:v>0.87630476141505553</c:v>
                </c:pt>
                <c:pt idx="2">
                  <c:v>0.68438914027149322</c:v>
                </c:pt>
                <c:pt idx="3">
                  <c:v>0.55007198683669267</c:v>
                </c:pt>
              </c:numCache>
            </c:numRef>
          </c:xVal>
          <c:yVal>
            <c:numRef>
              <c:f>Raw!$H$101:$H$104</c:f>
              <c:numCache>
                <c:formatCode>General</c:formatCode>
                <c:ptCount val="4"/>
                <c:pt idx="0">
                  <c:v>766173</c:v>
                </c:pt>
                <c:pt idx="1">
                  <c:v>694324</c:v>
                </c:pt>
                <c:pt idx="2">
                  <c:v>545029</c:v>
                </c:pt>
                <c:pt idx="3">
                  <c:v>440541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D-4300-AD94-22FA23B0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Raw!$G$6</c15:sqref>
                        </c15:formulaRef>
                      </c:ext>
                    </c:extLst>
                    <c:strCache>
                      <c:ptCount val="1"/>
                      <c:pt idx="0">
                        <c:v>SIM_525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Raw!$P$14:$P$32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-8.454863833568553E-2</c:v>
                      </c:pt>
                      <c:pt idx="1">
                        <c:v>-8.454863833568553E-2</c:v>
                      </c:pt>
                      <c:pt idx="2">
                        <c:v>5.7503449898071191</c:v>
                      </c:pt>
                      <c:pt idx="3">
                        <c:v>3.6714390256651508</c:v>
                      </c:pt>
                      <c:pt idx="4">
                        <c:v>8.7481260780931471</c:v>
                      </c:pt>
                      <c:pt idx="5">
                        <c:v>6.3751293711776693</c:v>
                      </c:pt>
                      <c:pt idx="6">
                        <c:v>4.2992342271705608</c:v>
                      </c:pt>
                      <c:pt idx="7">
                        <c:v>6.4252312999843184</c:v>
                      </c:pt>
                      <c:pt idx="8">
                        <c:v>3.6495164915582041</c:v>
                      </c:pt>
                      <c:pt idx="9">
                        <c:v>-8.454863833568553E-2</c:v>
                      </c:pt>
                      <c:pt idx="10">
                        <c:v>6.6980215357273538</c:v>
                      </c:pt>
                      <c:pt idx="11">
                        <c:v>-8.454863833568553E-2</c:v>
                      </c:pt>
                      <c:pt idx="12">
                        <c:v>7.8833464011290575</c:v>
                      </c:pt>
                      <c:pt idx="13">
                        <c:v>7.9036981861899536</c:v>
                      </c:pt>
                      <c:pt idx="14">
                        <c:v>8.2400658616904501</c:v>
                      </c:pt>
                      <c:pt idx="15">
                        <c:v>4.8954445664105375</c:v>
                      </c:pt>
                      <c:pt idx="16">
                        <c:v>4.7541111285348387</c:v>
                      </c:pt>
                      <c:pt idx="17">
                        <c:v>4.7109612670534737</c:v>
                      </c:pt>
                      <c:pt idx="18">
                        <c:v>4.3340572892164548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Raw!$G$14:$G$32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2232547</c:v>
                      </c:pt>
                      <c:pt idx="3">
                        <c:v>1437116</c:v>
                      </c:pt>
                      <c:pt idx="4">
                        <c:v>3379558</c:v>
                      </c:pt>
                      <c:pt idx="5">
                        <c:v>2471602</c:v>
                      </c:pt>
                      <c:pt idx="6">
                        <c:v>1677323</c:v>
                      </c:pt>
                      <c:pt idx="7">
                        <c:v>2490772</c:v>
                      </c:pt>
                      <c:pt idx="8">
                        <c:v>1428728</c:v>
                      </c:pt>
                      <c:pt idx="9">
                        <c:v>0</c:v>
                      </c:pt>
                      <c:pt idx="10">
                        <c:v>2595147</c:v>
                      </c:pt>
                      <c:pt idx="11">
                        <c:v>0</c:v>
                      </c:pt>
                      <c:pt idx="12">
                        <c:v>3048676</c:v>
                      </c:pt>
                      <c:pt idx="13">
                        <c:v>3056463</c:v>
                      </c:pt>
                      <c:pt idx="14">
                        <c:v>3185164</c:v>
                      </c:pt>
                      <c:pt idx="15">
                        <c:v>1905445</c:v>
                      </c:pt>
                      <c:pt idx="16">
                        <c:v>1851368</c:v>
                      </c:pt>
                      <c:pt idx="17">
                        <c:v>1834858</c:v>
                      </c:pt>
                      <c:pt idx="18">
                        <c:v>1690647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DD-4300-AD94-22FA23B087CD}"/>
                  </c:ext>
                </c:extLst>
              </c15:ser>
            </c15:filteredScatterSeries>
          </c:ext>
        </c:extLst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16.08.21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Raw!$G$113</c:f>
              <c:strCache>
                <c:ptCount val="1"/>
                <c:pt idx="0">
                  <c:v>SIM_525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417614464858558"/>
                  <c:y val="-1.5235639299177791E-2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Raw!$L$114:$L$122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</c:numCache>
            </c:numRef>
          </c:xVal>
          <c:yVal>
            <c:numRef>
              <c:f>Raw!$G$114:$G$122</c:f>
              <c:numCache>
                <c:formatCode>General</c:formatCode>
                <c:ptCount val="9"/>
                <c:pt idx="2">
                  <c:v>387228</c:v>
                </c:pt>
                <c:pt idx="3">
                  <c:v>369283</c:v>
                </c:pt>
                <c:pt idx="4">
                  <c:v>1914527</c:v>
                </c:pt>
                <c:pt idx="5">
                  <c:v>2044957</c:v>
                </c:pt>
                <c:pt idx="6">
                  <c:v>4260749</c:v>
                </c:pt>
                <c:pt idx="7">
                  <c:v>4619125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4-4005-8885-1B3E77E261BD}"/>
            </c:ext>
          </c:extLst>
        </c:ser>
        <c:ser>
          <c:idx val="1"/>
          <c:order val="1"/>
          <c:tx>
            <c:strRef>
              <c:f>Raw!$H$113</c:f>
              <c:strCache>
                <c:ptCount val="1"/>
                <c:pt idx="0">
                  <c:v>SIM_525_auto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396171066851939E-3"/>
                  <c:y val="0.27236392624861294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Raw!$L$114:$L$122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7.5</c:v>
                </c:pt>
                <c:pt idx="8">
                  <c:v>0</c:v>
                </c:pt>
              </c:numCache>
            </c:numRef>
          </c:xVal>
          <c:yVal>
            <c:numRef>
              <c:f>Raw!$H$114:$H$122</c:f>
              <c:numCache>
                <c:formatCode>General</c:formatCode>
                <c:ptCount val="9"/>
                <c:pt idx="0">
                  <c:v>15880</c:v>
                </c:pt>
                <c:pt idx="1">
                  <c:v>24957</c:v>
                </c:pt>
                <c:pt idx="2">
                  <c:v>387228</c:v>
                </c:pt>
                <c:pt idx="3">
                  <c:v>369283</c:v>
                </c:pt>
                <c:pt idx="4">
                  <c:v>1914527</c:v>
                </c:pt>
                <c:pt idx="5">
                  <c:v>2039245</c:v>
                </c:pt>
                <c:pt idx="6">
                  <c:v>4252537</c:v>
                </c:pt>
                <c:pt idx="7">
                  <c:v>4610723</c:v>
                </c:pt>
                <c:pt idx="8">
                  <c:v>105093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B4-4005-8885-1B3E77E2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21960"/>
        <c:axId val="479228192"/>
      </c:scatterChart>
      <c:valAx>
        <c:axId val="479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8192"/>
        <c:crosses val="autoZero"/>
        <c:crossBetween val="midCat"/>
      </c:valAx>
      <c:valAx>
        <c:axId val="479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SIM_293_11.08.21_corr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91388618710334"/>
                  <c:y val="-0.20748699527600251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5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(Processing_final!$A$8,Processing_final!$A$14,Processing_final!$A$25)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19</c:v>
                </c:pt>
              </c:numCache>
            </c:numRef>
          </c:xVal>
          <c:yVal>
            <c:numRef>
              <c:f>(Processing_final!$H$8,Processing_final!$H$14,Processing_final!$H$25)</c:f>
              <c:numCache>
                <c:formatCode>General</c:formatCode>
                <c:ptCount val="3"/>
                <c:pt idx="0">
                  <c:v>377181</c:v>
                </c:pt>
                <c:pt idx="1">
                  <c:v>445076</c:v>
                </c:pt>
                <c:pt idx="2">
                  <c:v>260587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50-4495-AB57-E9152263DF39}"/>
            </c:ext>
          </c:extLst>
        </c:ser>
        <c:ser>
          <c:idx val="1"/>
          <c:order val="2"/>
          <c:tx>
            <c:v>SIM_293_13.08.21_all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92095583654126"/>
                  <c:y val="-0.1010220889207735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(Processing_final!$A$43:$A$44,Processing_final!$A$51,Processing_final!$A$63)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21</c:v>
                </c:pt>
              </c:numCache>
            </c:numRef>
          </c:xVal>
          <c:yVal>
            <c:numRef>
              <c:f>(Processing_final!$H$43:$H$44,Processing_final!$H$51,Processing_final!$H$63)</c:f>
              <c:numCache>
                <c:formatCode>General</c:formatCode>
                <c:ptCount val="4"/>
                <c:pt idx="0">
                  <c:v>55367</c:v>
                </c:pt>
                <c:pt idx="1">
                  <c:v>48985</c:v>
                </c:pt>
                <c:pt idx="2">
                  <c:v>169443</c:v>
                </c:pt>
                <c:pt idx="3">
                  <c:v>258120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0-4495-AB57-E9152263DF39}"/>
            </c:ext>
          </c:extLst>
        </c:ser>
        <c:ser>
          <c:idx val="2"/>
          <c:order val="3"/>
          <c:tx>
            <c:v>SIM_293_16.08.21_all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59864110814579"/>
                  <c:y val="6.8675191340866679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(Processing_final!$A$79:$A$80,Processing_final!$A$87,Processing_final!$A$98)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</c:numCache>
            </c:numRef>
          </c:xVal>
          <c:yVal>
            <c:numRef>
              <c:f>(Processing_final!$H$79:$H$80,Processing_final!$H$87,Processing_final!$H$98)</c:f>
              <c:numCache>
                <c:formatCode>General</c:formatCode>
                <c:ptCount val="4"/>
                <c:pt idx="0">
                  <c:v>68853</c:v>
                </c:pt>
                <c:pt idx="1">
                  <c:v>81970</c:v>
                </c:pt>
                <c:pt idx="2">
                  <c:v>135593</c:v>
                </c:pt>
                <c:pt idx="3">
                  <c:v>203812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0-4495-AB57-E9152263DF39}"/>
            </c:ext>
          </c:extLst>
        </c:ser>
        <c:ser>
          <c:idx val="5"/>
          <c:order val="4"/>
          <c:tx>
            <c:v>SIM_293_18.08.21_corr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51748493035477"/>
                  <c:y val="-1.4705657529150587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(Processing_final!$A$115,Processing_final!$A$122,Processing_final!$A$133)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20</c:v>
                </c:pt>
              </c:numCache>
            </c:numRef>
          </c:xVal>
          <c:yVal>
            <c:numRef>
              <c:f>(Processing_final!$H$115,Processing_final!$H$122,Processing_final!$H$133)</c:f>
              <c:numCache>
                <c:formatCode>General</c:formatCode>
                <c:ptCount val="3"/>
                <c:pt idx="0">
                  <c:v>258956</c:v>
                </c:pt>
                <c:pt idx="1">
                  <c:v>758785</c:v>
                </c:pt>
                <c:pt idx="2">
                  <c:v>812153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50-4495-AB57-E9152263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1808"/>
        <c:axId val="583051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SIM_293_11.08.21_all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605263910717394"/>
                        <c:y val="-8.685768445610965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(Processing_final!$A$7:$A$8,Processing_final!$A$14,Processing_final!$A$25)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(Processing_final!$H$7:$H$8,Processing_final!$H$14,Processing_final!$H$25)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142133</c:v>
                      </c:pt>
                      <c:pt idx="1">
                        <c:v>377181</c:v>
                      </c:pt>
                      <c:pt idx="2">
                        <c:v>445076</c:v>
                      </c:pt>
                      <c:pt idx="3">
                        <c:v>260587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950-4495-AB57-E9152263DF39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SIM_293_18.08.21_all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(Processing_final!$A$114:$A$115,Processing_final!$A$122,Processing_final!$A$133)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(Processing_final!$H$114:$H$115,Processing_final!$H$122,Processing_final!$H$133)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66842</c:v>
                      </c:pt>
                      <c:pt idx="1">
                        <c:v>258956</c:v>
                      </c:pt>
                      <c:pt idx="2">
                        <c:v>758785</c:v>
                      </c:pt>
                      <c:pt idx="3">
                        <c:v>812153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50-4495-AB57-E9152263DF39}"/>
                  </c:ext>
                </c:extLst>
              </c15:ser>
            </c15:filteredScatterSeries>
          </c:ext>
        </c:extLst>
      </c:scatterChart>
      <c:valAx>
        <c:axId val="5830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1152"/>
        <c:crosses val="autoZero"/>
        <c:crossBetween val="midCat"/>
      </c:valAx>
      <c:valAx>
        <c:axId val="5830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SIM_293_auto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Calibration PFOA</a:t>
            </a:r>
            <a:r>
              <a:rPr lang="en-US" sz="1200" baseline="0"/>
              <a:t> in n-hex [ppm] 11.08.21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SIM_525_original_corr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66156796599681E-2"/>
                  <c:y val="0.1285016438906042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(Processing_final!$S$8:$S$13,Processing_final!$S$15:$S$17)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xVal>
          <c:yVal>
            <c:numRef>
              <c:f>(Processing_final!$N$8:$N$13,Processing_final!$N$15:$N$17)</c:f>
              <c:numCache>
                <c:formatCode>General</c:formatCode>
                <c:ptCount val="9"/>
                <c:pt idx="0">
                  <c:v>58071</c:v>
                </c:pt>
                <c:pt idx="1">
                  <c:v>50070</c:v>
                </c:pt>
                <c:pt idx="2">
                  <c:v>144925</c:v>
                </c:pt>
                <c:pt idx="3">
                  <c:v>169101</c:v>
                </c:pt>
                <c:pt idx="4">
                  <c:v>1072490</c:v>
                </c:pt>
                <c:pt idx="5">
                  <c:v>918453</c:v>
                </c:pt>
                <c:pt idx="6">
                  <c:v>108062</c:v>
                </c:pt>
                <c:pt idx="7">
                  <c:v>119458</c:v>
                </c:pt>
                <c:pt idx="8">
                  <c:v>1828086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D0-4890-AF04-CC34244839F9}"/>
            </c:ext>
          </c:extLst>
        </c:ser>
        <c:ser>
          <c:idx val="4"/>
          <c:order val="4"/>
          <c:tx>
            <c:v>SIM_525_drift_corr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86476839043554E-2"/>
                  <c:y val="-5.7321736424418623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(Processing_final!$S$8:$S$13,Processing_final!$S$15:$S$17)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xVal>
          <c:yVal>
            <c:numRef>
              <c:f>(Processing_final!$O$8:$O$13,Processing_final!$O$15:$O$17)</c:f>
              <c:numCache>
                <c:formatCode>General</c:formatCode>
                <c:ptCount val="9"/>
                <c:pt idx="0">
                  <c:v>59159.83480799989</c:v>
                </c:pt>
                <c:pt idx="1">
                  <c:v>51983.509556994111</c:v>
                </c:pt>
                <c:pt idx="2">
                  <c:v>153394.67161190428</c:v>
                </c:pt>
                <c:pt idx="3">
                  <c:v>182539.53659685687</c:v>
                </c:pt>
                <c:pt idx="4">
                  <c:v>1181188.6948066615</c:v>
                </c:pt>
                <c:pt idx="5">
                  <c:v>1032468.2662832469</c:v>
                </c:pt>
                <c:pt idx="6">
                  <c:v>126720.25723146333</c:v>
                </c:pt>
                <c:pt idx="7">
                  <c:v>183695.16589982805</c:v>
                </c:pt>
                <c:pt idx="8">
                  <c:v>3386123.0976698506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D0-4890-AF04-CC34244839F9}"/>
            </c:ext>
          </c:extLst>
        </c:ser>
        <c:ser>
          <c:idx val="5"/>
          <c:order val="5"/>
          <c:tx>
            <c:v>SIM_525_drift+blk_corr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67235365486622"/>
                  <c:y val="-4.9305604133883109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(Processing_final!$S$8:$S$13,Processing_final!$S$15:$S$17)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xVal>
          <c:yVal>
            <c:numRef>
              <c:f>(Processing_final!$P$8:$P$13,Processing_final!$P$15:$P$17)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48004.979737832939</c:v>
                </c:pt>
                <c:pt idx="3">
                  <c:v>77149.844722785521</c:v>
                </c:pt>
                <c:pt idx="4">
                  <c:v>1075799.0029325902</c:v>
                </c:pt>
                <c:pt idx="5">
                  <c:v>927078.57440917555</c:v>
                </c:pt>
                <c:pt idx="6">
                  <c:v>21330.565357391984</c:v>
                </c:pt>
                <c:pt idx="7">
                  <c:v>78305.474025756703</c:v>
                </c:pt>
                <c:pt idx="8">
                  <c:v>3280733.4057957791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D0-4890-AF04-CC342448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9856"/>
        <c:axId val="730602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SIM_525_auto_original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6.1292434011160302E-2"/>
                        <c:y val="0.22309710428130697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Processing_final!$S$8:$S$17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Processing_final!$N$8:$N$17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58071</c:v>
                      </c:pt>
                      <c:pt idx="1">
                        <c:v>50070</c:v>
                      </c:pt>
                      <c:pt idx="2">
                        <c:v>144925</c:v>
                      </c:pt>
                      <c:pt idx="3">
                        <c:v>169101</c:v>
                      </c:pt>
                      <c:pt idx="4">
                        <c:v>1072490</c:v>
                      </c:pt>
                      <c:pt idx="5">
                        <c:v>918453</c:v>
                      </c:pt>
                      <c:pt idx="6">
                        <c:v>3846642</c:v>
                      </c:pt>
                      <c:pt idx="7">
                        <c:v>108062</c:v>
                      </c:pt>
                      <c:pt idx="8">
                        <c:v>119458</c:v>
                      </c:pt>
                      <c:pt idx="9">
                        <c:v>1828086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7D0-4890-AF04-CC34244839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SIM_525_auto_drift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5145203815890676"/>
                        <c:y val="-8.9373844062805838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Processing_final!$O$8:$O$17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59159.83480799989</c:v>
                      </c:pt>
                      <c:pt idx="1">
                        <c:v>51983.509556994111</c:v>
                      </c:pt>
                      <c:pt idx="2">
                        <c:v>153394.67161190428</c:v>
                      </c:pt>
                      <c:pt idx="3">
                        <c:v>182539.53659685687</c:v>
                      </c:pt>
                      <c:pt idx="4">
                        <c:v>1181188.6948066615</c:v>
                      </c:pt>
                      <c:pt idx="5">
                        <c:v>1032468.2662832469</c:v>
                      </c:pt>
                      <c:pt idx="6">
                        <c:v>4415513.6860952424</c:v>
                      </c:pt>
                      <c:pt idx="7">
                        <c:v>126720.25723146333</c:v>
                      </c:pt>
                      <c:pt idx="8">
                        <c:v>183695.16589982805</c:v>
                      </c:pt>
                      <c:pt idx="9">
                        <c:v>3386123.0976698506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D0-4890-AF04-CC34244839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SIM_525_auto_drift+blk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24316853141414072"/>
                        <c:y val="2.7442741678723171E-2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3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Processing_final!$S$8:$S$17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Processing_final!$P$8:$P$17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48004.979737832939</c:v>
                      </c:pt>
                      <c:pt idx="3">
                        <c:v>77149.844722785521</c:v>
                      </c:pt>
                      <c:pt idx="4">
                        <c:v>1075799.0029325902</c:v>
                      </c:pt>
                      <c:pt idx="5">
                        <c:v>927078.57440917555</c:v>
                      </c:pt>
                      <c:pt idx="6">
                        <c:v>4310123.9942211714</c:v>
                      </c:pt>
                      <c:pt idx="7">
                        <c:v>21330.565357391984</c:v>
                      </c:pt>
                      <c:pt idx="8">
                        <c:v>78305.474025756703</c:v>
                      </c:pt>
                      <c:pt idx="9">
                        <c:v>3280733.4057957791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D0-4890-AF04-CC34244839F9}"/>
                  </c:ext>
                </c:extLst>
              </c15:ser>
            </c15:filteredScatterSeries>
          </c:ext>
        </c:extLst>
      </c:scatterChart>
      <c:valAx>
        <c:axId val="73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 conc PFOA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2152"/>
        <c:crosses val="autoZero"/>
        <c:crossBetween val="midCat"/>
      </c:valAx>
      <c:valAx>
        <c:axId val="7306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SIM_525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464608</xdr:colOff>
      <xdr:row>0</xdr:row>
      <xdr:rowOff>0</xdr:rowOff>
    </xdr:from>
    <xdr:to>
      <xdr:col>23</xdr:col>
      <xdr:colOff>483658</xdr:colOff>
      <xdr:row>15</xdr:row>
      <xdr:rowOff>28574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4AC4E07-E6FD-45A8-AE02-E7199F5D3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368905</xdr:colOff>
      <xdr:row>15</xdr:row>
      <xdr:rowOff>149679</xdr:rowOff>
    </xdr:from>
    <xdr:to>
      <xdr:col>27</xdr:col>
      <xdr:colOff>11906</xdr:colOff>
      <xdr:row>32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FD2A33-D9C8-4ED0-A0D0-BAE98D183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702468</xdr:colOff>
      <xdr:row>31</xdr:row>
      <xdr:rowOff>83343</xdr:rowOff>
    </xdr:from>
    <xdr:to>
      <xdr:col>23</xdr:col>
      <xdr:colOff>435768</xdr:colOff>
      <xdr:row>49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E2E553-044D-45C4-BB4A-502E25B3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272143</xdr:colOff>
      <xdr:row>70</xdr:row>
      <xdr:rowOff>108857</xdr:rowOff>
    </xdr:from>
    <xdr:to>
      <xdr:col>24</xdr:col>
      <xdr:colOff>5443</xdr:colOff>
      <xdr:row>88</xdr:row>
      <xdr:rowOff>168388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F7E214-D9A0-4EA0-ACB2-AC34C1AC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51</xdr:row>
      <xdr:rowOff>178594</xdr:rowOff>
    </xdr:from>
    <xdr:to>
      <xdr:col>26</xdr:col>
      <xdr:colOff>405001</xdr:colOff>
      <xdr:row>68</xdr:row>
      <xdr:rowOff>147977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93FB0C6-413B-43F4-8CEF-6F0C0939B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90</xdr:row>
      <xdr:rowOff>0</xdr:rowOff>
    </xdr:from>
    <xdr:to>
      <xdr:col>27</xdr:col>
      <xdr:colOff>405001</xdr:colOff>
      <xdr:row>106</xdr:row>
      <xdr:rowOff>159883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4F1064A-B7E6-4B2F-BB62-251233C43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122464</xdr:colOff>
      <xdr:row>109</xdr:row>
      <xdr:rowOff>0</xdr:rowOff>
    </xdr:from>
    <xdr:to>
      <xdr:col>23</xdr:col>
      <xdr:colOff>617764</xdr:colOff>
      <xdr:row>127</xdr:row>
      <xdr:rowOff>59531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9591DAC-3123-4198-B3A8-F79ED1DA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559806</xdr:colOff>
      <xdr:row>60</xdr:row>
      <xdr:rowOff>117419</xdr:rowOff>
    </xdr:from>
    <xdr:to>
      <xdr:col>16</xdr:col>
      <xdr:colOff>744390</xdr:colOff>
      <xdr:row>79</xdr:row>
      <xdr:rowOff>30097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7626D4-0EE2-46F4-A13E-859DF27E9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750794</xdr:colOff>
      <xdr:row>17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A69155F-6302-4FEF-9B9C-750965B95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750794</xdr:colOff>
      <xdr:row>34</xdr:row>
      <xdr:rowOff>11206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4D0F225-20E9-48CC-9C71-53A77F33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26</xdr:col>
      <xdr:colOff>750794</xdr:colOff>
      <xdr:row>51</xdr:row>
      <xdr:rowOff>11206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FD86CA-6772-47A0-9C9B-31C35952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26</xdr:col>
      <xdr:colOff>750794</xdr:colOff>
      <xdr:row>68</xdr:row>
      <xdr:rowOff>11206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EA51CAB-F790-4692-B5CD-EC582FFE5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</xdr:colOff>
      <xdr:row>42</xdr:row>
      <xdr:rowOff>90766</xdr:rowOff>
    </xdr:from>
    <xdr:to>
      <xdr:col>12</xdr:col>
      <xdr:colOff>420219</xdr:colOff>
      <xdr:row>56</xdr:row>
      <xdr:rowOff>166966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056B66-4357-47C2-BCAD-42DAA93F5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12</xdr:col>
      <xdr:colOff>414617</xdr:colOff>
      <xdr:row>72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3BAFBB-33A6-4FBB-9569-1DAF9714E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12</xdr:col>
      <xdr:colOff>414617</xdr:colOff>
      <xdr:row>88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3A621E1-1526-43D8-998F-0A502B50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559806</xdr:colOff>
      <xdr:row>60</xdr:row>
      <xdr:rowOff>117419</xdr:rowOff>
    </xdr:from>
    <xdr:to>
      <xdr:col>16</xdr:col>
      <xdr:colOff>744390</xdr:colOff>
      <xdr:row>79</xdr:row>
      <xdr:rowOff>30097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DB6FAB-C748-46DF-BE93-8E39B8FA8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750794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364A12-AFA8-4D55-BFB5-686CDB7F1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750794</xdr:colOff>
      <xdr:row>34</xdr:row>
      <xdr:rowOff>11206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D5D0F0-FF75-4699-ABE2-6E71ECEB6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26</xdr:col>
      <xdr:colOff>750794</xdr:colOff>
      <xdr:row>51</xdr:row>
      <xdr:rowOff>11206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AB5464-7F96-4F41-832F-B728F73B5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26</xdr:col>
      <xdr:colOff>750794</xdr:colOff>
      <xdr:row>68</xdr:row>
      <xdr:rowOff>11206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2FE05CF-BA47-4DF3-BC96-33AA09ED3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F74A-96F1-4B67-840B-927514890B7C}">
  <dimension ref="A1:Q139"/>
  <sheetViews>
    <sheetView zoomScale="85" zoomScaleNormal="85" workbookViewId="0">
      <selection activeCell="D114" sqref="D114:E139"/>
    </sheetView>
  </sheetViews>
  <sheetFormatPr baseColWidth="10" defaultRowHeight="15" x14ac:dyDescent="0.25"/>
  <cols>
    <col min="2" max="2" width="33.140625" bestFit="1" customWidth="1"/>
    <col min="15" max="15" width="12.85546875" bestFit="1" customWidth="1"/>
  </cols>
  <sheetData>
    <row r="1" spans="1:17" x14ac:dyDescent="0.25">
      <c r="A1" t="s">
        <v>24</v>
      </c>
      <c r="E1" t="s">
        <v>0</v>
      </c>
      <c r="F1" t="s">
        <v>1</v>
      </c>
      <c r="I1" t="s">
        <v>54</v>
      </c>
      <c r="J1" s="16" t="s">
        <v>38</v>
      </c>
    </row>
    <row r="2" spans="1:17" x14ac:dyDescent="0.25">
      <c r="A2" t="s">
        <v>25</v>
      </c>
      <c r="J2" s="19" t="s">
        <v>58</v>
      </c>
    </row>
    <row r="3" spans="1:17" x14ac:dyDescent="0.25">
      <c r="A3" t="s">
        <v>2</v>
      </c>
      <c r="C3" t="s">
        <v>3</v>
      </c>
      <c r="J3" s="11" t="s">
        <v>59</v>
      </c>
    </row>
    <row r="4" spans="1:17" x14ac:dyDescent="0.25">
      <c r="A4" t="s">
        <v>4</v>
      </c>
      <c r="C4" t="s">
        <v>26</v>
      </c>
      <c r="L4" t="s">
        <v>5</v>
      </c>
    </row>
    <row r="5" spans="1:17" x14ac:dyDescent="0.25">
      <c r="A5" s="1"/>
      <c r="B5" s="2"/>
      <c r="C5" s="3" t="s">
        <v>6</v>
      </c>
      <c r="D5" s="3" t="s">
        <v>7</v>
      </c>
      <c r="E5" s="4"/>
      <c r="F5" s="3" t="s">
        <v>8</v>
      </c>
      <c r="G5" s="3"/>
      <c r="H5" s="4"/>
      <c r="I5" s="3" t="s">
        <v>9</v>
      </c>
      <c r="J5" s="3"/>
      <c r="K5" s="4"/>
      <c r="L5" t="s">
        <v>10</v>
      </c>
    </row>
    <row r="6" spans="1:17" x14ac:dyDescent="0.25">
      <c r="A6" s="5" t="s">
        <v>11</v>
      </c>
      <c r="B6" s="6" t="s">
        <v>12</v>
      </c>
      <c r="C6" s="7" t="s">
        <v>13</v>
      </c>
      <c r="D6" s="7" t="s">
        <v>14</v>
      </c>
      <c r="E6" s="6" t="s">
        <v>15</v>
      </c>
      <c r="F6" s="7" t="s">
        <v>13</v>
      </c>
      <c r="G6" s="7" t="s">
        <v>16</v>
      </c>
      <c r="H6" s="6" t="s">
        <v>17</v>
      </c>
      <c r="I6" s="7" t="s">
        <v>13</v>
      </c>
      <c r="J6" s="7" t="s">
        <v>18</v>
      </c>
      <c r="K6" s="6" t="s">
        <v>19</v>
      </c>
      <c r="L6" t="s">
        <v>20</v>
      </c>
      <c r="M6" t="s">
        <v>21</v>
      </c>
    </row>
    <row r="7" spans="1:17" x14ac:dyDescent="0.25">
      <c r="A7">
        <v>1</v>
      </c>
      <c r="B7" s="4" t="s">
        <v>27</v>
      </c>
      <c r="C7">
        <v>15.858000000000001</v>
      </c>
      <c r="D7">
        <v>138407</v>
      </c>
      <c r="E7" s="4">
        <v>142133</v>
      </c>
      <c r="F7" s="14">
        <v>10.801</v>
      </c>
      <c r="G7" s="14">
        <v>0</v>
      </c>
      <c r="H7" s="4">
        <v>58071</v>
      </c>
      <c r="I7" s="14">
        <v>0</v>
      </c>
      <c r="J7" s="14">
        <v>0</v>
      </c>
      <c r="K7" s="4">
        <v>0</v>
      </c>
      <c r="L7">
        <v>0</v>
      </c>
      <c r="M7">
        <v>0</v>
      </c>
    </row>
    <row r="8" spans="1:17" x14ac:dyDescent="0.25">
      <c r="A8">
        <v>2</v>
      </c>
      <c r="B8" s="8" t="s">
        <v>28</v>
      </c>
      <c r="C8">
        <v>15.856999999999999</v>
      </c>
      <c r="D8">
        <v>377181</v>
      </c>
      <c r="E8" s="8">
        <v>377181</v>
      </c>
      <c r="F8">
        <v>10.807</v>
      </c>
      <c r="G8">
        <v>0</v>
      </c>
      <c r="H8" s="8">
        <v>50070</v>
      </c>
      <c r="I8" s="14">
        <v>0</v>
      </c>
      <c r="J8" s="14">
        <v>0</v>
      </c>
      <c r="K8" s="8">
        <v>0</v>
      </c>
      <c r="L8">
        <v>0</v>
      </c>
      <c r="M8">
        <v>0</v>
      </c>
    </row>
    <row r="9" spans="1:17" x14ac:dyDescent="0.25">
      <c r="A9">
        <v>3</v>
      </c>
      <c r="B9" s="8" t="s">
        <v>29</v>
      </c>
      <c r="C9">
        <v>15.858000000000001</v>
      </c>
      <c r="D9">
        <v>114061</v>
      </c>
      <c r="E9" s="8">
        <v>116140</v>
      </c>
      <c r="F9">
        <v>10.805</v>
      </c>
      <c r="G9">
        <v>143771</v>
      </c>
      <c r="H9" s="8">
        <v>144925</v>
      </c>
      <c r="I9">
        <v>10.804</v>
      </c>
      <c r="J9">
        <v>0</v>
      </c>
      <c r="K9" s="8">
        <v>23711</v>
      </c>
      <c r="L9">
        <v>0.25</v>
      </c>
      <c r="M9">
        <v>0.05</v>
      </c>
    </row>
    <row r="10" spans="1:17" x14ac:dyDescent="0.25">
      <c r="A10">
        <v>4</v>
      </c>
      <c r="B10" s="8" t="s">
        <v>30</v>
      </c>
      <c r="C10">
        <v>15.856999999999999</v>
      </c>
      <c r="D10">
        <v>221562</v>
      </c>
      <c r="E10" s="8">
        <v>221562</v>
      </c>
      <c r="F10">
        <v>10.805999999999999</v>
      </c>
      <c r="G10">
        <v>168486</v>
      </c>
      <c r="H10" s="8">
        <v>169101</v>
      </c>
      <c r="I10">
        <v>10.805999999999999</v>
      </c>
      <c r="J10">
        <v>0</v>
      </c>
      <c r="K10" s="8">
        <v>25699</v>
      </c>
      <c r="L10">
        <v>0.25</v>
      </c>
      <c r="M10">
        <v>0.05</v>
      </c>
    </row>
    <row r="11" spans="1:17" x14ac:dyDescent="0.25">
      <c r="A11">
        <v>5</v>
      </c>
      <c r="B11" s="8" t="s">
        <v>31</v>
      </c>
      <c r="C11">
        <v>15.858000000000001</v>
      </c>
      <c r="D11">
        <v>209211</v>
      </c>
      <c r="E11" s="8">
        <v>214182</v>
      </c>
      <c r="F11">
        <v>10.808</v>
      </c>
      <c r="G11">
        <v>1072490</v>
      </c>
      <c r="H11" s="8">
        <v>1072490</v>
      </c>
      <c r="I11">
        <v>10.808</v>
      </c>
      <c r="J11">
        <v>161703</v>
      </c>
      <c r="K11" s="8">
        <v>161703</v>
      </c>
      <c r="L11">
        <v>2.5</v>
      </c>
      <c r="M11">
        <v>0.5</v>
      </c>
      <c r="P11" t="s">
        <v>22</v>
      </c>
    </row>
    <row r="12" spans="1:17" x14ac:dyDescent="0.25">
      <c r="A12">
        <v>6</v>
      </c>
      <c r="B12" s="8" t="s">
        <v>32</v>
      </c>
      <c r="C12">
        <v>15.858000000000001</v>
      </c>
      <c r="D12">
        <v>494028</v>
      </c>
      <c r="E12" s="8">
        <v>494028</v>
      </c>
      <c r="F12">
        <v>10.808</v>
      </c>
      <c r="G12">
        <v>918453</v>
      </c>
      <c r="H12" s="8">
        <v>918453</v>
      </c>
      <c r="I12">
        <v>10.807</v>
      </c>
      <c r="J12">
        <v>137659</v>
      </c>
      <c r="K12" s="8">
        <v>139199</v>
      </c>
      <c r="L12">
        <v>2.5</v>
      </c>
      <c r="M12">
        <v>0.5</v>
      </c>
      <c r="P12" t="s">
        <v>23</v>
      </c>
    </row>
    <row r="13" spans="1:17" x14ac:dyDescent="0.25">
      <c r="A13">
        <v>7</v>
      </c>
      <c r="B13" s="17" t="s">
        <v>33</v>
      </c>
      <c r="C13" s="16">
        <v>15.86</v>
      </c>
      <c r="D13" s="16">
        <v>1127402</v>
      </c>
      <c r="E13" s="17">
        <v>1125408</v>
      </c>
      <c r="F13" s="16">
        <v>10.811</v>
      </c>
      <c r="G13" s="16">
        <v>3853856</v>
      </c>
      <c r="H13" s="17">
        <v>3846642</v>
      </c>
      <c r="I13" s="16">
        <v>10.808999999999999</v>
      </c>
      <c r="J13" s="16">
        <v>577740</v>
      </c>
      <c r="K13" s="17">
        <v>578278</v>
      </c>
      <c r="L13">
        <v>5</v>
      </c>
      <c r="M13">
        <v>1</v>
      </c>
      <c r="N13" s="16" t="s">
        <v>55</v>
      </c>
      <c r="P13" t="s">
        <v>16</v>
      </c>
      <c r="Q13" t="s">
        <v>17</v>
      </c>
    </row>
    <row r="14" spans="1:17" x14ac:dyDescent="0.25">
      <c r="A14">
        <v>8</v>
      </c>
      <c r="B14" s="8" t="s">
        <v>35</v>
      </c>
      <c r="C14">
        <v>15.858000000000001</v>
      </c>
      <c r="D14">
        <v>445076</v>
      </c>
      <c r="E14" s="8">
        <v>445076</v>
      </c>
      <c r="F14">
        <v>10.808999999999999</v>
      </c>
      <c r="G14">
        <v>0</v>
      </c>
      <c r="H14" s="8">
        <v>108062</v>
      </c>
      <c r="I14">
        <v>10.808999999999999</v>
      </c>
      <c r="J14">
        <v>0</v>
      </c>
      <c r="K14" s="8">
        <v>16561</v>
      </c>
      <c r="P14" s="3">
        <f t="shared" ref="P14:P32" si="0">(G14-32350)/382620</f>
        <v>-8.454863833568553E-2</v>
      </c>
      <c r="Q14" s="4">
        <f t="shared" ref="Q14:Q32" si="1">(H14-58423)/375013</f>
        <v>0.1323660779759635</v>
      </c>
    </row>
    <row r="15" spans="1:17" x14ac:dyDescent="0.25">
      <c r="A15" s="13">
        <v>9</v>
      </c>
      <c r="B15" s="10" t="s">
        <v>36</v>
      </c>
      <c r="C15">
        <v>15.858000000000001</v>
      </c>
      <c r="D15">
        <v>415553</v>
      </c>
      <c r="E15" s="8">
        <v>415553</v>
      </c>
      <c r="F15">
        <v>10.811</v>
      </c>
      <c r="G15">
        <v>0</v>
      </c>
      <c r="H15" s="10">
        <v>72744</v>
      </c>
      <c r="I15">
        <v>10.811999999999999</v>
      </c>
      <c r="J15">
        <v>0</v>
      </c>
      <c r="K15" s="8">
        <v>11448</v>
      </c>
      <c r="P15" s="3">
        <f t="shared" si="0"/>
        <v>-8.454863833568553E-2</v>
      </c>
      <c r="Q15" s="4">
        <f t="shared" si="1"/>
        <v>3.8188009482337942E-2</v>
      </c>
    </row>
    <row r="16" spans="1:17" x14ac:dyDescent="0.25">
      <c r="A16" s="13">
        <v>10</v>
      </c>
      <c r="B16" s="14" t="s">
        <v>40</v>
      </c>
      <c r="C16" s="13">
        <v>15.859</v>
      </c>
      <c r="D16" s="13">
        <v>708801</v>
      </c>
      <c r="E16" s="8">
        <v>706253</v>
      </c>
      <c r="F16" s="13">
        <v>10.807</v>
      </c>
      <c r="G16" s="13">
        <v>2232547</v>
      </c>
      <c r="H16" s="8">
        <v>2222263</v>
      </c>
      <c r="I16" s="13">
        <v>10.807</v>
      </c>
      <c r="J16" s="13">
        <v>329490</v>
      </c>
      <c r="K16" s="8">
        <v>330191</v>
      </c>
      <c r="L16" s="13"/>
      <c r="M16" s="13"/>
      <c r="P16" s="3">
        <f t="shared" si="0"/>
        <v>5.7503449898071191</v>
      </c>
      <c r="Q16" s="4">
        <f t="shared" si="1"/>
        <v>5.7700399719476394</v>
      </c>
    </row>
    <row r="17" spans="1:17" x14ac:dyDescent="0.25">
      <c r="A17" s="13">
        <v>11</v>
      </c>
      <c r="B17" s="10" t="s">
        <v>39</v>
      </c>
      <c r="C17" s="14">
        <v>15.858000000000001</v>
      </c>
      <c r="D17" s="14">
        <v>211477</v>
      </c>
      <c r="E17" s="10">
        <v>213047</v>
      </c>
      <c r="F17" s="14">
        <v>10.808999999999999</v>
      </c>
      <c r="G17" s="14">
        <v>1437116</v>
      </c>
      <c r="H17" s="10">
        <v>1434022</v>
      </c>
      <c r="I17" s="14">
        <v>10.808</v>
      </c>
      <c r="J17" s="14">
        <v>214579</v>
      </c>
      <c r="K17" s="10">
        <v>215212</v>
      </c>
      <c r="L17" s="14"/>
      <c r="M17" s="13"/>
      <c r="N17" s="3"/>
      <c r="P17" s="3">
        <f t="shared" si="0"/>
        <v>3.6714390256651508</v>
      </c>
      <c r="Q17" s="4">
        <f t="shared" si="1"/>
        <v>3.668136837922952</v>
      </c>
    </row>
    <row r="18" spans="1:17" x14ac:dyDescent="0.25">
      <c r="A18" s="13">
        <v>12</v>
      </c>
      <c r="B18" s="17" t="s">
        <v>41</v>
      </c>
      <c r="C18" s="16">
        <v>15.86</v>
      </c>
      <c r="D18" s="16">
        <v>1130170</v>
      </c>
      <c r="E18" s="17">
        <v>1127167</v>
      </c>
      <c r="F18" s="16">
        <v>10.805</v>
      </c>
      <c r="G18" s="16">
        <v>3379558</v>
      </c>
      <c r="H18" s="17">
        <v>3379558</v>
      </c>
      <c r="I18" s="16">
        <v>10.804</v>
      </c>
      <c r="J18" s="16">
        <v>509819</v>
      </c>
      <c r="K18" s="17">
        <v>510359</v>
      </c>
      <c r="L18" s="11"/>
      <c r="N18" s="16" t="s">
        <v>55</v>
      </c>
      <c r="P18" s="3">
        <f t="shared" si="0"/>
        <v>8.7481260780931471</v>
      </c>
      <c r="Q18" s="4">
        <f t="shared" si="1"/>
        <v>8.8560529901630076</v>
      </c>
    </row>
    <row r="19" spans="1:17" x14ac:dyDescent="0.25">
      <c r="A19" s="13">
        <v>13</v>
      </c>
      <c r="B19" s="10" t="s">
        <v>43</v>
      </c>
      <c r="C19" s="11">
        <v>15.856999999999999</v>
      </c>
      <c r="D19" s="11">
        <v>173544</v>
      </c>
      <c r="E19" s="10">
        <v>173975</v>
      </c>
      <c r="F19" s="11">
        <v>10.808</v>
      </c>
      <c r="G19" s="11">
        <v>2471602</v>
      </c>
      <c r="H19" s="10">
        <v>2461965</v>
      </c>
      <c r="I19" s="11">
        <v>10.807</v>
      </c>
      <c r="J19" s="11">
        <v>375851</v>
      </c>
      <c r="K19" s="10">
        <v>375851</v>
      </c>
      <c r="L19" s="11"/>
      <c r="P19" s="3">
        <f t="shared" si="0"/>
        <v>6.3751293711776693</v>
      </c>
      <c r="Q19" s="4">
        <f t="shared" si="1"/>
        <v>6.4092231469309064</v>
      </c>
    </row>
    <row r="20" spans="1:17" x14ac:dyDescent="0.25">
      <c r="A20" s="13">
        <v>14</v>
      </c>
      <c r="B20" s="10" t="s">
        <v>44</v>
      </c>
      <c r="C20" s="11">
        <v>15.859</v>
      </c>
      <c r="D20" s="11">
        <v>698378</v>
      </c>
      <c r="E20" s="10">
        <v>698378</v>
      </c>
      <c r="F20" s="11">
        <v>10.814</v>
      </c>
      <c r="G20" s="11">
        <v>1677323</v>
      </c>
      <c r="H20" s="10">
        <v>1674150</v>
      </c>
      <c r="I20" s="11">
        <v>10.773999999999999</v>
      </c>
      <c r="J20" s="11">
        <v>81921</v>
      </c>
      <c r="K20" s="10">
        <v>82280</v>
      </c>
      <c r="L20" s="11"/>
      <c r="P20" s="3">
        <f t="shared" si="0"/>
        <v>4.2992342271705608</v>
      </c>
      <c r="Q20" s="4">
        <f t="shared" si="1"/>
        <v>4.3084559735262511</v>
      </c>
    </row>
    <row r="21" spans="1:17" x14ac:dyDescent="0.25">
      <c r="A21" s="13">
        <v>15</v>
      </c>
      <c r="B21" s="10" t="s">
        <v>53</v>
      </c>
      <c r="C21" s="11">
        <v>15.859</v>
      </c>
      <c r="D21" s="11">
        <v>704231</v>
      </c>
      <c r="E21" s="10">
        <v>702516</v>
      </c>
      <c r="F21" s="11">
        <v>10.805999999999999</v>
      </c>
      <c r="G21" s="11">
        <v>2490772</v>
      </c>
      <c r="H21" s="10">
        <v>2485296</v>
      </c>
      <c r="I21" s="11">
        <v>10.805</v>
      </c>
      <c r="J21" s="11">
        <v>370178</v>
      </c>
      <c r="K21" s="10">
        <v>371397</v>
      </c>
      <c r="L21" s="11"/>
      <c r="P21" s="3">
        <f t="shared" si="0"/>
        <v>6.4252312999843184</v>
      </c>
      <c r="Q21" s="4">
        <f t="shared" si="1"/>
        <v>6.4714369901843405</v>
      </c>
    </row>
    <row r="22" spans="1:17" x14ac:dyDescent="0.25">
      <c r="A22" s="9">
        <v>16</v>
      </c>
      <c r="B22" s="10" t="s">
        <v>52</v>
      </c>
      <c r="C22" s="11">
        <v>15.858000000000001</v>
      </c>
      <c r="D22" s="11">
        <v>154556</v>
      </c>
      <c r="E22" s="10">
        <v>161933</v>
      </c>
      <c r="F22" s="11">
        <v>10.808999999999999</v>
      </c>
      <c r="G22" s="11">
        <v>1428728</v>
      </c>
      <c r="H22" s="10">
        <v>1418864</v>
      </c>
      <c r="I22" s="11">
        <v>10.808999999999999</v>
      </c>
      <c r="J22" s="11">
        <v>211316</v>
      </c>
      <c r="K22" s="10">
        <v>212327</v>
      </c>
      <c r="L22" s="11"/>
      <c r="P22" s="3">
        <f t="shared" si="0"/>
        <v>3.6495164915582041</v>
      </c>
      <c r="Q22" s="4">
        <f t="shared" si="1"/>
        <v>3.6277169058139318</v>
      </c>
    </row>
    <row r="23" spans="1:17" x14ac:dyDescent="0.25">
      <c r="A23" s="9">
        <v>17</v>
      </c>
      <c r="B23" s="10" t="s">
        <v>45</v>
      </c>
      <c r="C23" s="11">
        <v>15.858000000000001</v>
      </c>
      <c r="D23" s="11">
        <v>484784</v>
      </c>
      <c r="E23" s="10">
        <v>484784</v>
      </c>
      <c r="F23" s="11">
        <v>10.808</v>
      </c>
      <c r="G23" s="14">
        <v>0</v>
      </c>
      <c r="H23" s="10">
        <v>55058</v>
      </c>
      <c r="I23" s="14">
        <v>0</v>
      </c>
      <c r="J23" s="14">
        <v>0</v>
      </c>
      <c r="K23" s="10">
        <v>0</v>
      </c>
      <c r="L23" s="11"/>
      <c r="P23" s="3">
        <f t="shared" si="0"/>
        <v>-8.454863833568553E-2</v>
      </c>
      <c r="Q23" s="4">
        <f t="shared" si="1"/>
        <v>-8.9730222685613561E-3</v>
      </c>
    </row>
    <row r="24" spans="1:17" x14ac:dyDescent="0.25">
      <c r="A24" s="13">
        <v>18</v>
      </c>
      <c r="B24" s="10" t="s">
        <v>46</v>
      </c>
      <c r="C24" s="14">
        <v>15.859</v>
      </c>
      <c r="D24" s="14">
        <v>621346</v>
      </c>
      <c r="E24" s="10">
        <v>621346</v>
      </c>
      <c r="F24" s="14">
        <v>10.782</v>
      </c>
      <c r="G24" s="14">
        <v>2595147</v>
      </c>
      <c r="H24" s="10">
        <v>2587406</v>
      </c>
      <c r="I24" s="14">
        <v>10.782</v>
      </c>
      <c r="J24" s="14">
        <v>388001</v>
      </c>
      <c r="K24" s="10">
        <v>388001</v>
      </c>
      <c r="L24" s="12"/>
      <c r="M24" s="7"/>
      <c r="N24" s="7"/>
      <c r="P24" s="3">
        <f t="shared" si="0"/>
        <v>6.6980215357273538</v>
      </c>
      <c r="Q24" s="4">
        <f t="shared" si="1"/>
        <v>6.7437208843426761</v>
      </c>
    </row>
    <row r="25" spans="1:17" x14ac:dyDescent="0.25">
      <c r="A25">
        <v>19</v>
      </c>
      <c r="B25" s="8" t="s">
        <v>37</v>
      </c>
      <c r="C25" s="11">
        <v>15.856999999999999</v>
      </c>
      <c r="D25" s="11">
        <v>255550</v>
      </c>
      <c r="E25" s="10">
        <v>260587</v>
      </c>
      <c r="F25" s="11">
        <v>10.808999999999999</v>
      </c>
      <c r="G25" s="14">
        <v>0</v>
      </c>
      <c r="H25" s="11">
        <v>119458</v>
      </c>
      <c r="I25" s="11">
        <v>10.811</v>
      </c>
      <c r="J25" s="14">
        <v>0</v>
      </c>
      <c r="K25" s="10">
        <v>17404</v>
      </c>
      <c r="L25" s="11"/>
      <c r="P25" s="3">
        <f t="shared" si="0"/>
        <v>-8.454863833568553E-2</v>
      </c>
      <c r="Q25" s="4">
        <f t="shared" si="1"/>
        <v>0.16275435784892792</v>
      </c>
    </row>
    <row r="26" spans="1:17" x14ac:dyDescent="0.25">
      <c r="A26">
        <v>20</v>
      </c>
      <c r="B26" s="10" t="s">
        <v>47</v>
      </c>
      <c r="C26" s="11">
        <v>15.856999999999999</v>
      </c>
      <c r="D26" s="11">
        <v>177280</v>
      </c>
      <c r="E26" s="10">
        <v>177564</v>
      </c>
      <c r="F26" s="11">
        <v>10.811999999999999</v>
      </c>
      <c r="G26" s="11">
        <v>3048676</v>
      </c>
      <c r="H26" s="10">
        <v>3032982</v>
      </c>
      <c r="I26" s="11">
        <v>10.811999999999999</v>
      </c>
      <c r="J26" s="11">
        <v>456296</v>
      </c>
      <c r="K26" s="10">
        <v>456296</v>
      </c>
      <c r="L26" s="11"/>
      <c r="P26" s="3">
        <f t="shared" si="0"/>
        <v>7.8833464011290575</v>
      </c>
      <c r="Q26" s="4">
        <f t="shared" si="1"/>
        <v>7.9318823614114713</v>
      </c>
    </row>
    <row r="27" spans="1:17" x14ac:dyDescent="0.25">
      <c r="A27">
        <v>21</v>
      </c>
      <c r="B27" s="10" t="s">
        <v>48</v>
      </c>
      <c r="C27" s="11">
        <v>15.859</v>
      </c>
      <c r="D27" s="11">
        <v>826638</v>
      </c>
      <c r="E27" s="10">
        <v>823100</v>
      </c>
      <c r="F27" s="11">
        <v>10.805</v>
      </c>
      <c r="G27" s="11">
        <v>3056463</v>
      </c>
      <c r="H27" s="10">
        <v>3047949</v>
      </c>
      <c r="I27" s="11">
        <v>10.805</v>
      </c>
      <c r="J27" s="11">
        <v>458122</v>
      </c>
      <c r="K27" s="10">
        <v>459190</v>
      </c>
      <c r="L27" s="11"/>
      <c r="P27" s="3">
        <f t="shared" si="0"/>
        <v>7.9036981861899536</v>
      </c>
      <c r="Q27" s="4">
        <f t="shared" si="1"/>
        <v>7.9717929778434344</v>
      </c>
    </row>
    <row r="28" spans="1:17" x14ac:dyDescent="0.25">
      <c r="A28">
        <v>22</v>
      </c>
      <c r="B28" s="10" t="s">
        <v>49</v>
      </c>
      <c r="C28" s="11">
        <v>15.859</v>
      </c>
      <c r="D28" s="11">
        <v>726713</v>
      </c>
      <c r="E28" s="10">
        <v>722556</v>
      </c>
      <c r="F28" s="11">
        <v>10.808</v>
      </c>
      <c r="G28" s="11">
        <v>3185164</v>
      </c>
      <c r="H28" s="10">
        <v>3165964</v>
      </c>
      <c r="I28" s="11">
        <v>10.807</v>
      </c>
      <c r="J28" s="11">
        <v>478867</v>
      </c>
      <c r="K28" s="10">
        <v>479487</v>
      </c>
      <c r="L28" s="10"/>
      <c r="P28" s="3">
        <f t="shared" si="0"/>
        <v>8.2400658616904501</v>
      </c>
      <c r="Q28" s="4">
        <f t="shared" si="1"/>
        <v>8.2864887350571852</v>
      </c>
    </row>
    <row r="29" spans="1:17" x14ac:dyDescent="0.25">
      <c r="A29">
        <v>23</v>
      </c>
      <c r="B29" s="10" t="s">
        <v>50</v>
      </c>
      <c r="C29" s="11">
        <v>15.858000000000001</v>
      </c>
      <c r="D29" s="11">
        <v>633269</v>
      </c>
      <c r="E29" s="10">
        <v>632607</v>
      </c>
      <c r="F29" s="11">
        <v>10.81</v>
      </c>
      <c r="G29" s="11">
        <v>1905445</v>
      </c>
      <c r="H29" s="10">
        <v>1900939</v>
      </c>
      <c r="I29" s="11">
        <v>10.808999999999999</v>
      </c>
      <c r="J29" s="11">
        <v>286366</v>
      </c>
      <c r="K29" s="10">
        <v>286366</v>
      </c>
      <c r="L29" s="10"/>
      <c r="P29" s="3">
        <f t="shared" si="0"/>
        <v>4.8954445664105375</v>
      </c>
      <c r="Q29" s="4">
        <f t="shared" si="1"/>
        <v>4.9132056755365818</v>
      </c>
    </row>
    <row r="30" spans="1:17" x14ac:dyDescent="0.25">
      <c r="A30">
        <v>24</v>
      </c>
      <c r="B30" s="10" t="s">
        <v>51</v>
      </c>
      <c r="C30" s="11">
        <v>15.856999999999999</v>
      </c>
      <c r="D30" s="11">
        <v>396160</v>
      </c>
      <c r="E30" s="10">
        <v>391983</v>
      </c>
      <c r="F30" s="11">
        <v>10.808999999999999</v>
      </c>
      <c r="G30" s="11">
        <v>1851368</v>
      </c>
      <c r="H30" s="10">
        <v>1846744</v>
      </c>
      <c r="I30" s="11">
        <v>10.808999999999999</v>
      </c>
      <c r="J30" s="11">
        <v>272036</v>
      </c>
      <c r="K30" s="10">
        <v>273091</v>
      </c>
      <c r="L30" s="10"/>
      <c r="P30" s="3">
        <f t="shared" si="0"/>
        <v>4.7541111285348387</v>
      </c>
      <c r="Q30" s="4">
        <f t="shared" si="1"/>
        <v>4.768690685389573</v>
      </c>
    </row>
    <row r="31" spans="1:17" x14ac:dyDescent="0.25">
      <c r="A31">
        <v>25</v>
      </c>
      <c r="B31" s="15" t="s">
        <v>34</v>
      </c>
      <c r="C31" s="18">
        <v>15.859</v>
      </c>
      <c r="D31" s="18">
        <v>546547</v>
      </c>
      <c r="E31" s="18">
        <v>546547</v>
      </c>
      <c r="F31" s="18">
        <v>10.811</v>
      </c>
      <c r="G31" s="18">
        <v>1834858</v>
      </c>
      <c r="H31" s="18">
        <v>1828086</v>
      </c>
      <c r="I31" s="18">
        <v>10.811999999999999</v>
      </c>
      <c r="J31" s="18">
        <v>276540</v>
      </c>
      <c r="K31" s="18">
        <v>277591</v>
      </c>
      <c r="L31">
        <v>5</v>
      </c>
      <c r="M31">
        <v>1</v>
      </c>
      <c r="N31" s="18" t="s">
        <v>56</v>
      </c>
      <c r="P31" s="3">
        <f t="shared" si="0"/>
        <v>4.7109612670534737</v>
      </c>
      <c r="Q31" s="4">
        <f t="shared" si="1"/>
        <v>4.7189377434915594</v>
      </c>
    </row>
    <row r="32" spans="1:17" x14ac:dyDescent="0.25">
      <c r="A32">
        <v>26</v>
      </c>
      <c r="B32" s="15" t="s">
        <v>42</v>
      </c>
      <c r="C32" s="18">
        <v>15.858000000000001</v>
      </c>
      <c r="D32" s="18">
        <v>727384</v>
      </c>
      <c r="E32" s="18">
        <v>726819</v>
      </c>
      <c r="F32" s="18">
        <v>10.81</v>
      </c>
      <c r="G32" s="18">
        <v>1690647</v>
      </c>
      <c r="H32" s="18">
        <v>1689371</v>
      </c>
      <c r="I32" s="18">
        <v>10.81</v>
      </c>
      <c r="J32" s="18">
        <v>252040</v>
      </c>
      <c r="K32" s="18">
        <v>253647</v>
      </c>
      <c r="N32" s="18" t="s">
        <v>57</v>
      </c>
      <c r="P32" s="3">
        <f t="shared" si="0"/>
        <v>4.3340572892164548</v>
      </c>
      <c r="Q32" s="4">
        <f t="shared" si="1"/>
        <v>4.3490438998114733</v>
      </c>
    </row>
    <row r="34" spans="1:14" x14ac:dyDescent="0.25">
      <c r="B34" s="10"/>
    </row>
    <row r="37" spans="1:14" x14ac:dyDescent="0.25">
      <c r="A37" t="s">
        <v>60</v>
      </c>
      <c r="E37" t="s">
        <v>0</v>
      </c>
      <c r="F37" t="s">
        <v>1</v>
      </c>
      <c r="I37" t="s">
        <v>54</v>
      </c>
      <c r="J37" s="16"/>
    </row>
    <row r="38" spans="1:14" x14ac:dyDescent="0.25">
      <c r="A38" t="s">
        <v>61</v>
      </c>
      <c r="J38" s="19"/>
    </row>
    <row r="39" spans="1:14" x14ac:dyDescent="0.25">
      <c r="A39" t="s">
        <v>2</v>
      </c>
      <c r="C39" t="s">
        <v>3</v>
      </c>
      <c r="J39" s="57" t="s">
        <v>203</v>
      </c>
    </row>
    <row r="40" spans="1:14" x14ac:dyDescent="0.25">
      <c r="A40" t="s">
        <v>4</v>
      </c>
      <c r="C40" t="s">
        <v>26</v>
      </c>
      <c r="L40" t="s">
        <v>5</v>
      </c>
    </row>
    <row r="41" spans="1:14" x14ac:dyDescent="0.25">
      <c r="A41" s="1"/>
      <c r="B41" s="2"/>
      <c r="C41" s="3" t="s">
        <v>6</v>
      </c>
      <c r="D41" s="3" t="s">
        <v>7</v>
      </c>
      <c r="E41" s="4"/>
      <c r="F41" s="3" t="s">
        <v>8</v>
      </c>
      <c r="G41" s="3"/>
      <c r="H41" s="4"/>
      <c r="I41" s="3" t="s">
        <v>9</v>
      </c>
      <c r="J41" s="3"/>
      <c r="K41" s="4"/>
      <c r="L41" t="s">
        <v>10</v>
      </c>
      <c r="N41" t="s">
        <v>89</v>
      </c>
    </row>
    <row r="42" spans="1:14" x14ac:dyDescent="0.25">
      <c r="A42" s="5" t="s">
        <v>11</v>
      </c>
      <c r="B42" s="6" t="s">
        <v>12</v>
      </c>
      <c r="C42" s="7" t="s">
        <v>13</v>
      </c>
      <c r="D42" s="7" t="s">
        <v>14</v>
      </c>
      <c r="E42" s="6" t="s">
        <v>15</v>
      </c>
      <c r="F42" s="7" t="s">
        <v>13</v>
      </c>
      <c r="G42" s="7" t="s">
        <v>16</v>
      </c>
      <c r="H42" s="6" t="s">
        <v>17</v>
      </c>
      <c r="I42" s="7" t="s">
        <v>13</v>
      </c>
      <c r="J42" s="7" t="s">
        <v>18</v>
      </c>
      <c r="K42" s="6" t="s">
        <v>19</v>
      </c>
      <c r="L42" t="s">
        <v>20</v>
      </c>
      <c r="M42" t="s">
        <v>21</v>
      </c>
      <c r="N42" t="s">
        <v>90</v>
      </c>
    </row>
    <row r="43" spans="1:14" x14ac:dyDescent="0.25">
      <c r="A43">
        <v>1</v>
      </c>
      <c r="B43" s="4" t="s">
        <v>66</v>
      </c>
      <c r="C43">
        <v>15.858000000000001</v>
      </c>
      <c r="D43">
        <v>0</v>
      </c>
      <c r="E43" s="59">
        <v>55367</v>
      </c>
      <c r="F43">
        <v>10.805999999999999</v>
      </c>
      <c r="G43">
        <v>0</v>
      </c>
      <c r="H43" s="8">
        <v>74437</v>
      </c>
      <c r="I43" s="14">
        <v>0</v>
      </c>
      <c r="J43" s="14">
        <v>0</v>
      </c>
      <c r="K43" s="8">
        <v>0</v>
      </c>
      <c r="L43">
        <v>0</v>
      </c>
      <c r="M43">
        <v>0</v>
      </c>
      <c r="N43">
        <f>(K43/H43)*1000</f>
        <v>0</v>
      </c>
    </row>
    <row r="44" spans="1:14" x14ac:dyDescent="0.25">
      <c r="A44">
        <v>2</v>
      </c>
      <c r="B44" s="8" t="s">
        <v>67</v>
      </c>
      <c r="C44">
        <v>15.859</v>
      </c>
      <c r="D44">
        <v>0</v>
      </c>
      <c r="E44" s="59">
        <v>48985</v>
      </c>
      <c r="F44">
        <v>10.805999999999999</v>
      </c>
      <c r="G44">
        <v>0</v>
      </c>
      <c r="H44" s="8">
        <v>106760</v>
      </c>
      <c r="I44">
        <v>10.807</v>
      </c>
      <c r="J44">
        <v>0</v>
      </c>
      <c r="K44" s="8">
        <v>15856</v>
      </c>
      <c r="L44">
        <v>0</v>
      </c>
      <c r="M44">
        <v>0</v>
      </c>
      <c r="N44">
        <f t="shared" ref="N44:N69" si="2">(K44/H44)*1000</f>
        <v>148.52004496065942</v>
      </c>
    </row>
    <row r="45" spans="1:14" x14ac:dyDescent="0.25">
      <c r="A45">
        <v>3</v>
      </c>
      <c r="B45" s="8" t="s">
        <v>62</v>
      </c>
      <c r="C45">
        <v>15.856</v>
      </c>
      <c r="D45">
        <v>175709</v>
      </c>
      <c r="E45" s="8">
        <v>175709</v>
      </c>
      <c r="F45">
        <v>10.808999999999999</v>
      </c>
      <c r="G45">
        <v>349590</v>
      </c>
      <c r="H45" s="8">
        <v>350796</v>
      </c>
      <c r="I45">
        <v>10.808999999999999</v>
      </c>
      <c r="J45">
        <v>0</v>
      </c>
      <c r="K45" s="8">
        <v>53442</v>
      </c>
      <c r="L45">
        <v>0.5</v>
      </c>
      <c r="M45">
        <v>0.1</v>
      </c>
      <c r="N45">
        <f t="shared" si="2"/>
        <v>152.34495262203674</v>
      </c>
    </row>
    <row r="46" spans="1:14" x14ac:dyDescent="0.25">
      <c r="A46">
        <v>4</v>
      </c>
      <c r="B46" s="8" t="s">
        <v>63</v>
      </c>
      <c r="C46">
        <v>15.856999999999999</v>
      </c>
      <c r="D46">
        <v>99557</v>
      </c>
      <c r="E46" s="8">
        <v>107586</v>
      </c>
      <c r="F46">
        <v>10.808999999999999</v>
      </c>
      <c r="G46">
        <v>286253</v>
      </c>
      <c r="H46" s="8">
        <v>286253</v>
      </c>
      <c r="I46">
        <v>10.808</v>
      </c>
      <c r="J46">
        <v>0</v>
      </c>
      <c r="K46" s="8">
        <v>42659</v>
      </c>
      <c r="L46">
        <v>0.5</v>
      </c>
      <c r="M46">
        <v>0.1</v>
      </c>
      <c r="N46">
        <f t="shared" si="2"/>
        <v>149.02551239637663</v>
      </c>
    </row>
    <row r="47" spans="1:14" x14ac:dyDescent="0.25">
      <c r="A47">
        <v>5</v>
      </c>
      <c r="B47" s="8" t="s">
        <v>64</v>
      </c>
      <c r="C47">
        <v>15.856999999999999</v>
      </c>
      <c r="D47">
        <v>268000</v>
      </c>
      <c r="E47" s="8">
        <v>269557</v>
      </c>
      <c r="F47">
        <v>10.808999999999999</v>
      </c>
      <c r="G47">
        <v>2057396</v>
      </c>
      <c r="H47" s="8">
        <v>2047550</v>
      </c>
      <c r="I47">
        <v>10.808999999999999</v>
      </c>
      <c r="J47">
        <v>308210</v>
      </c>
      <c r="K47" s="8">
        <v>309392</v>
      </c>
      <c r="L47">
        <v>2.5</v>
      </c>
      <c r="M47">
        <v>0.5</v>
      </c>
      <c r="N47">
        <f t="shared" si="2"/>
        <v>151.10351395570316</v>
      </c>
    </row>
    <row r="48" spans="1:14" x14ac:dyDescent="0.25">
      <c r="A48">
        <v>6</v>
      </c>
      <c r="B48" s="8" t="s">
        <v>65</v>
      </c>
      <c r="C48">
        <v>15.856999999999999</v>
      </c>
      <c r="D48">
        <v>349302</v>
      </c>
      <c r="E48" s="8">
        <v>349302</v>
      </c>
      <c r="F48">
        <v>10.81</v>
      </c>
      <c r="G48">
        <v>1651055</v>
      </c>
      <c r="H48" s="8">
        <v>1640308</v>
      </c>
      <c r="I48">
        <v>10.81</v>
      </c>
      <c r="J48">
        <v>243361</v>
      </c>
      <c r="K48" s="8">
        <v>244612</v>
      </c>
      <c r="L48">
        <v>2.5</v>
      </c>
      <c r="M48">
        <v>0.5</v>
      </c>
      <c r="N48">
        <f t="shared" si="2"/>
        <v>149.12565201169537</v>
      </c>
    </row>
    <row r="49" spans="1:16" x14ac:dyDescent="0.25">
      <c r="A49">
        <v>7</v>
      </c>
      <c r="B49" s="8" t="s">
        <v>68</v>
      </c>
      <c r="C49">
        <v>15.858000000000001</v>
      </c>
      <c r="D49">
        <v>314847</v>
      </c>
      <c r="E49" s="8">
        <v>314847</v>
      </c>
      <c r="F49">
        <v>10.811999999999999</v>
      </c>
      <c r="G49">
        <v>8464427</v>
      </c>
      <c r="H49" s="8">
        <v>8429272</v>
      </c>
      <c r="I49">
        <v>10.811999999999999</v>
      </c>
      <c r="J49">
        <v>1265896</v>
      </c>
      <c r="K49" s="8">
        <v>1265166</v>
      </c>
      <c r="L49">
        <v>7.5</v>
      </c>
      <c r="M49">
        <v>1.5</v>
      </c>
      <c r="N49">
        <f t="shared" si="2"/>
        <v>150.0919652373301</v>
      </c>
      <c r="O49" t="s">
        <v>22</v>
      </c>
    </row>
    <row r="50" spans="1:16" x14ac:dyDescent="0.25">
      <c r="A50">
        <v>8</v>
      </c>
      <c r="B50" s="8" t="s">
        <v>69</v>
      </c>
      <c r="C50">
        <v>15.858000000000001</v>
      </c>
      <c r="D50">
        <v>299855</v>
      </c>
      <c r="E50" s="8">
        <v>299855</v>
      </c>
      <c r="F50">
        <v>10.814</v>
      </c>
      <c r="G50">
        <v>4968377</v>
      </c>
      <c r="H50" s="8">
        <v>4934748</v>
      </c>
      <c r="I50">
        <v>10.814</v>
      </c>
      <c r="J50">
        <v>735822</v>
      </c>
      <c r="K50" s="8">
        <v>735822</v>
      </c>
      <c r="L50">
        <v>7.5</v>
      </c>
      <c r="M50">
        <v>1.5</v>
      </c>
      <c r="N50">
        <f t="shared" si="2"/>
        <v>149.11034970782703</v>
      </c>
      <c r="O50" t="s">
        <v>23</v>
      </c>
    </row>
    <row r="51" spans="1:16" x14ac:dyDescent="0.25">
      <c r="A51" s="7">
        <v>9</v>
      </c>
      <c r="B51" s="6" t="s">
        <v>70</v>
      </c>
      <c r="C51" s="7">
        <v>15.856999999999999</v>
      </c>
      <c r="D51" s="7">
        <v>169252</v>
      </c>
      <c r="E51" s="60">
        <v>169443</v>
      </c>
      <c r="F51" s="7">
        <v>10.811</v>
      </c>
      <c r="G51" s="7">
        <v>196373</v>
      </c>
      <c r="H51" s="6">
        <v>196373</v>
      </c>
      <c r="I51" s="7">
        <v>10.811</v>
      </c>
      <c r="J51" s="7">
        <v>0</v>
      </c>
      <c r="K51" s="6">
        <v>29737</v>
      </c>
      <c r="L51" s="7">
        <v>0</v>
      </c>
      <c r="M51" s="7">
        <v>0</v>
      </c>
      <c r="N51">
        <f t="shared" si="2"/>
        <v>151.43120490087742</v>
      </c>
      <c r="O51" t="s">
        <v>16</v>
      </c>
      <c r="P51" t="s">
        <v>17</v>
      </c>
    </row>
    <row r="52" spans="1:16" x14ac:dyDescent="0.25">
      <c r="A52">
        <v>10</v>
      </c>
      <c r="B52" s="8" t="s">
        <v>71</v>
      </c>
      <c r="C52">
        <v>15.858000000000001</v>
      </c>
      <c r="D52">
        <v>132547</v>
      </c>
      <c r="E52" s="8">
        <v>0</v>
      </c>
      <c r="F52">
        <v>10.811</v>
      </c>
      <c r="G52" s="14">
        <v>0</v>
      </c>
      <c r="H52" s="8">
        <v>74542</v>
      </c>
      <c r="I52" s="14">
        <v>0</v>
      </c>
      <c r="J52" s="14">
        <v>0</v>
      </c>
      <c r="K52" s="8">
        <v>0</v>
      </c>
      <c r="N52">
        <f t="shared" si="2"/>
        <v>0</v>
      </c>
      <c r="O52">
        <f>G52/696830.5498</f>
        <v>0</v>
      </c>
      <c r="P52">
        <f>(H52-87101)/677507</f>
        <v>-1.8537077845690156E-2</v>
      </c>
    </row>
    <row r="53" spans="1:16" x14ac:dyDescent="0.25">
      <c r="A53">
        <v>11</v>
      </c>
      <c r="B53" s="8" t="s">
        <v>87</v>
      </c>
      <c r="C53">
        <v>15.858000000000001</v>
      </c>
      <c r="D53">
        <v>264113</v>
      </c>
      <c r="E53" s="8">
        <v>264930</v>
      </c>
      <c r="F53">
        <v>10.813000000000001</v>
      </c>
      <c r="G53">
        <v>5413381</v>
      </c>
      <c r="H53" s="8">
        <v>5374327</v>
      </c>
      <c r="I53">
        <v>10.811999999999999</v>
      </c>
      <c r="J53">
        <v>806425</v>
      </c>
      <c r="K53" s="8">
        <v>806425</v>
      </c>
      <c r="L53" s="14">
        <v>7.5</v>
      </c>
      <c r="N53">
        <f t="shared" si="2"/>
        <v>150.05134596387603</v>
      </c>
    </row>
    <row r="54" spans="1:16" x14ac:dyDescent="0.25">
      <c r="A54" s="7">
        <v>12</v>
      </c>
      <c r="B54" s="6" t="s">
        <v>72</v>
      </c>
      <c r="C54" s="7">
        <v>15.858000000000001</v>
      </c>
      <c r="D54" s="7">
        <v>102258</v>
      </c>
      <c r="E54" s="6">
        <v>104274</v>
      </c>
      <c r="F54" s="7">
        <v>10.805999999999999</v>
      </c>
      <c r="G54" s="7">
        <v>158891</v>
      </c>
      <c r="H54" s="6">
        <v>161777</v>
      </c>
      <c r="I54" s="7">
        <v>10.805999999999999</v>
      </c>
      <c r="J54" s="7">
        <v>0</v>
      </c>
      <c r="K54" s="6">
        <v>22775</v>
      </c>
      <c r="L54" s="7"/>
      <c r="M54" s="7"/>
      <c r="N54" s="7">
        <f t="shared" si="2"/>
        <v>140.78020979496466</v>
      </c>
      <c r="O54" s="7">
        <f t="shared" ref="O54:O69" si="3">G54/696830.5498</f>
        <v>0.22801956665878656</v>
      </c>
      <c r="P54" s="7">
        <f>(H54-87101)/677507</f>
        <v>0.11022173940638252</v>
      </c>
    </row>
    <row r="55" spans="1:16" x14ac:dyDescent="0.25">
      <c r="A55">
        <v>13</v>
      </c>
      <c r="B55" s="8" t="s">
        <v>73</v>
      </c>
      <c r="C55">
        <v>15.859</v>
      </c>
      <c r="D55">
        <v>185800</v>
      </c>
      <c r="E55" s="8">
        <v>185913</v>
      </c>
      <c r="F55">
        <v>10.798999999999999</v>
      </c>
      <c r="G55">
        <v>0</v>
      </c>
      <c r="H55" s="8">
        <v>159672</v>
      </c>
      <c r="I55">
        <v>10.797000000000001</v>
      </c>
      <c r="J55">
        <v>0</v>
      </c>
      <c r="K55" s="8">
        <v>23746</v>
      </c>
      <c r="N55">
        <f t="shared" si="2"/>
        <v>148.71737060974999</v>
      </c>
      <c r="O55">
        <f t="shared" si="3"/>
        <v>0</v>
      </c>
      <c r="P55">
        <f t="shared" ref="P55:P69" si="4">(H55-87101)/677507</f>
        <v>0.10711476043789954</v>
      </c>
    </row>
    <row r="56" spans="1:16" x14ac:dyDescent="0.25">
      <c r="A56">
        <v>14</v>
      </c>
      <c r="B56" s="8" t="s">
        <v>74</v>
      </c>
      <c r="E56" s="8"/>
      <c r="F56">
        <v>10.811</v>
      </c>
      <c r="G56">
        <v>3732609</v>
      </c>
      <c r="H56" s="8">
        <v>3716147</v>
      </c>
      <c r="I56">
        <v>10.811</v>
      </c>
      <c r="J56">
        <v>551364</v>
      </c>
      <c r="K56" s="8">
        <v>551364</v>
      </c>
      <c r="N56">
        <f t="shared" si="2"/>
        <v>148.36980345503017</v>
      </c>
      <c r="O56">
        <f t="shared" si="3"/>
        <v>5.3565518920938668</v>
      </c>
      <c r="P56">
        <f t="shared" si="4"/>
        <v>5.3564701176519209</v>
      </c>
    </row>
    <row r="57" spans="1:16" x14ac:dyDescent="0.25">
      <c r="A57">
        <v>15</v>
      </c>
      <c r="B57" s="8" t="s">
        <v>75</v>
      </c>
      <c r="C57">
        <v>15.859</v>
      </c>
      <c r="D57">
        <v>223213</v>
      </c>
      <c r="E57" s="8">
        <v>223213</v>
      </c>
      <c r="F57">
        <v>10.811999999999999</v>
      </c>
      <c r="G57">
        <v>2840501</v>
      </c>
      <c r="H57" s="8">
        <v>2829348</v>
      </c>
      <c r="I57">
        <v>10.811</v>
      </c>
      <c r="J57">
        <v>425019</v>
      </c>
      <c r="K57" s="8">
        <v>425019</v>
      </c>
      <c r="N57">
        <f t="shared" si="2"/>
        <v>150.21800075494423</v>
      </c>
      <c r="O57">
        <f t="shared" si="3"/>
        <v>4.0763152545697992</v>
      </c>
      <c r="P57">
        <f t="shared" si="4"/>
        <v>4.0475552282116638</v>
      </c>
    </row>
    <row r="58" spans="1:16" x14ac:dyDescent="0.25">
      <c r="A58">
        <v>16</v>
      </c>
      <c r="B58" s="8" t="s">
        <v>76</v>
      </c>
      <c r="C58">
        <v>15.858000000000001</v>
      </c>
      <c r="D58">
        <v>425303</v>
      </c>
      <c r="E58" s="8">
        <v>423513</v>
      </c>
      <c r="F58">
        <v>10.805999999999999</v>
      </c>
      <c r="G58">
        <v>1713271</v>
      </c>
      <c r="H58" s="8">
        <v>1709465</v>
      </c>
      <c r="I58">
        <v>10.805</v>
      </c>
      <c r="J58">
        <v>252374</v>
      </c>
      <c r="K58" s="8">
        <v>252374</v>
      </c>
      <c r="N58">
        <f t="shared" si="2"/>
        <v>147.63332387618351</v>
      </c>
      <c r="O58">
        <f t="shared" si="3"/>
        <v>2.4586622967258429</v>
      </c>
      <c r="P58">
        <f t="shared" si="4"/>
        <v>2.3946084689899885</v>
      </c>
    </row>
    <row r="59" spans="1:16" x14ac:dyDescent="0.25">
      <c r="A59">
        <v>17</v>
      </c>
      <c r="B59" s="8" t="s">
        <v>77</v>
      </c>
      <c r="C59">
        <v>15.859</v>
      </c>
      <c r="D59">
        <v>261023</v>
      </c>
      <c r="E59" s="8">
        <v>260886</v>
      </c>
      <c r="F59">
        <v>10.811</v>
      </c>
      <c r="G59">
        <v>2483899</v>
      </c>
      <c r="H59" s="8">
        <v>2483082</v>
      </c>
      <c r="I59">
        <v>10.811</v>
      </c>
      <c r="J59">
        <v>370293</v>
      </c>
      <c r="K59" s="8">
        <v>370702</v>
      </c>
      <c r="N59">
        <f t="shared" si="2"/>
        <v>149.29108261426728</v>
      </c>
      <c r="O59">
        <f t="shared" si="3"/>
        <v>3.5645667382305688</v>
      </c>
      <c r="P59">
        <f t="shared" si="4"/>
        <v>3.5364667818930284</v>
      </c>
    </row>
    <row r="60" spans="1:16" x14ac:dyDescent="0.25">
      <c r="A60">
        <v>18</v>
      </c>
      <c r="B60" s="8" t="s">
        <v>78</v>
      </c>
      <c r="C60">
        <v>15.86</v>
      </c>
      <c r="D60">
        <v>127766</v>
      </c>
      <c r="E60" s="8">
        <v>0</v>
      </c>
      <c r="F60">
        <v>10.811</v>
      </c>
      <c r="G60">
        <v>2569336</v>
      </c>
      <c r="H60" s="8">
        <v>2553685</v>
      </c>
      <c r="I60">
        <v>10.811</v>
      </c>
      <c r="J60">
        <v>387039</v>
      </c>
      <c r="K60" s="8">
        <v>386763</v>
      </c>
      <c r="N60">
        <f t="shared" si="2"/>
        <v>151.452900416457</v>
      </c>
      <c r="O60">
        <f t="shared" si="3"/>
        <v>3.6871747381589897</v>
      </c>
      <c r="P60">
        <f t="shared" si="4"/>
        <v>3.6406767752953106</v>
      </c>
    </row>
    <row r="61" spans="1:16" x14ac:dyDescent="0.25">
      <c r="A61" s="7">
        <v>19</v>
      </c>
      <c r="B61" s="6" t="s">
        <v>79</v>
      </c>
      <c r="C61" s="7">
        <v>15.86</v>
      </c>
      <c r="D61" s="7">
        <v>139570</v>
      </c>
      <c r="E61" s="6"/>
      <c r="F61" s="7">
        <v>10.811</v>
      </c>
      <c r="G61" s="7">
        <v>2848591</v>
      </c>
      <c r="H61" s="6">
        <v>2840796</v>
      </c>
      <c r="I61" s="7">
        <v>10.811</v>
      </c>
      <c r="J61" s="7">
        <v>428125</v>
      </c>
      <c r="K61" s="6">
        <v>428125</v>
      </c>
      <c r="L61" s="7"/>
      <c r="M61" s="7"/>
      <c r="N61" s="7">
        <f t="shared" si="2"/>
        <v>150.70599930442029</v>
      </c>
      <c r="O61" s="7">
        <f t="shared" si="3"/>
        <v>4.0879249637054302</v>
      </c>
      <c r="P61" s="7">
        <f t="shared" si="4"/>
        <v>4.0644524706017799</v>
      </c>
    </row>
    <row r="62" spans="1:16" x14ac:dyDescent="0.25">
      <c r="A62">
        <v>20</v>
      </c>
      <c r="B62" s="8" t="s">
        <v>80</v>
      </c>
      <c r="C62">
        <v>15.859</v>
      </c>
      <c r="D62">
        <v>261376</v>
      </c>
      <c r="E62" s="8">
        <v>261549</v>
      </c>
      <c r="F62">
        <v>10.811999999999999</v>
      </c>
      <c r="G62">
        <v>351216</v>
      </c>
      <c r="H62" s="8">
        <v>352166</v>
      </c>
      <c r="I62">
        <v>10.811</v>
      </c>
      <c r="J62">
        <v>0</v>
      </c>
      <c r="K62" s="8">
        <v>52990</v>
      </c>
      <c r="N62">
        <f t="shared" si="2"/>
        <v>150.46881300295883</v>
      </c>
      <c r="O62">
        <f t="shared" si="3"/>
        <v>0.50401923408898164</v>
      </c>
      <c r="P62">
        <f t="shared" si="4"/>
        <v>0.39123581010971104</v>
      </c>
    </row>
    <row r="63" spans="1:16" x14ac:dyDescent="0.25">
      <c r="A63">
        <v>21</v>
      </c>
      <c r="B63" s="8" t="s">
        <v>88</v>
      </c>
      <c r="C63">
        <v>15.858000000000001</v>
      </c>
      <c r="D63">
        <v>258120</v>
      </c>
      <c r="E63" s="59">
        <v>258120</v>
      </c>
      <c r="F63">
        <v>10.78</v>
      </c>
      <c r="H63" s="8">
        <v>20264</v>
      </c>
      <c r="K63" s="8"/>
      <c r="N63">
        <f t="shared" si="2"/>
        <v>0</v>
      </c>
      <c r="O63">
        <f t="shared" si="3"/>
        <v>0</v>
      </c>
      <c r="P63">
        <f t="shared" si="4"/>
        <v>-9.8651379247742088E-2</v>
      </c>
    </row>
    <row r="64" spans="1:16" x14ac:dyDescent="0.25">
      <c r="A64">
        <v>22</v>
      </c>
      <c r="B64" s="8" t="s">
        <v>81</v>
      </c>
      <c r="C64">
        <v>15.858000000000001</v>
      </c>
      <c r="D64">
        <v>202107</v>
      </c>
      <c r="E64" s="8">
        <v>202717</v>
      </c>
      <c r="F64">
        <v>10.811999999999999</v>
      </c>
      <c r="G64">
        <v>2185547</v>
      </c>
      <c r="H64" s="8">
        <v>2172556</v>
      </c>
      <c r="I64">
        <v>10.811999999999999</v>
      </c>
      <c r="J64">
        <v>323633</v>
      </c>
      <c r="K64" s="8">
        <v>324387</v>
      </c>
      <c r="N64">
        <f t="shared" si="2"/>
        <v>149.31122603974305</v>
      </c>
      <c r="O64">
        <f t="shared" si="3"/>
        <v>3.1364109978061125</v>
      </c>
      <c r="P64">
        <f t="shared" si="4"/>
        <v>3.0781305580606548</v>
      </c>
    </row>
    <row r="65" spans="1:16" x14ac:dyDescent="0.25">
      <c r="A65">
        <v>23</v>
      </c>
      <c r="B65" s="8" t="s">
        <v>82</v>
      </c>
      <c r="C65">
        <v>15.858000000000001</v>
      </c>
      <c r="D65">
        <v>206800</v>
      </c>
      <c r="E65" s="8">
        <v>209607</v>
      </c>
      <c r="F65">
        <v>10.811999999999999</v>
      </c>
      <c r="G65">
        <v>1913623</v>
      </c>
      <c r="H65" s="8">
        <v>1894244</v>
      </c>
      <c r="I65">
        <v>10.811</v>
      </c>
      <c r="J65">
        <v>284327</v>
      </c>
      <c r="K65" s="8">
        <v>284327</v>
      </c>
      <c r="N65">
        <f t="shared" si="2"/>
        <v>150.10051503396608</v>
      </c>
      <c r="O65">
        <f t="shared" si="3"/>
        <v>2.7461812639374612</v>
      </c>
      <c r="P65">
        <f t="shared" si="4"/>
        <v>2.6673421824423955</v>
      </c>
    </row>
    <row r="66" spans="1:16" x14ac:dyDescent="0.25">
      <c r="A66">
        <v>24</v>
      </c>
      <c r="B66" s="8" t="s">
        <v>83</v>
      </c>
      <c r="C66">
        <v>15.859</v>
      </c>
      <c r="D66">
        <v>305392</v>
      </c>
      <c r="E66" s="8">
        <v>305929</v>
      </c>
      <c r="F66">
        <v>10.811999999999999</v>
      </c>
      <c r="G66">
        <v>2940252</v>
      </c>
      <c r="H66" s="8">
        <v>2928756</v>
      </c>
      <c r="I66">
        <v>10.811</v>
      </c>
      <c r="J66">
        <v>438508</v>
      </c>
      <c r="K66" s="8">
        <v>438508</v>
      </c>
      <c r="N66">
        <f t="shared" si="2"/>
        <v>149.72500269739098</v>
      </c>
      <c r="O66">
        <f t="shared" si="3"/>
        <v>4.2194648338019807</v>
      </c>
      <c r="P66">
        <f t="shared" si="4"/>
        <v>4.1942813874985792</v>
      </c>
    </row>
    <row r="67" spans="1:16" x14ac:dyDescent="0.25">
      <c r="A67">
        <v>25</v>
      </c>
      <c r="B67" s="8" t="s">
        <v>84</v>
      </c>
      <c r="C67">
        <v>15.858000000000001</v>
      </c>
      <c r="D67">
        <v>314956</v>
      </c>
      <c r="E67" s="8">
        <v>314956</v>
      </c>
      <c r="F67">
        <v>10.811999999999999</v>
      </c>
      <c r="G67">
        <v>3435503</v>
      </c>
      <c r="H67" s="8">
        <v>3412430</v>
      </c>
      <c r="I67">
        <v>10.811</v>
      </c>
      <c r="J67">
        <v>507701</v>
      </c>
      <c r="K67" s="8">
        <v>508098</v>
      </c>
      <c r="N67">
        <f t="shared" si="2"/>
        <v>148.89624109505542</v>
      </c>
      <c r="O67">
        <f t="shared" si="3"/>
        <v>4.9301842477859745</v>
      </c>
      <c r="P67">
        <f t="shared" si="4"/>
        <v>4.9081839744829203</v>
      </c>
    </row>
    <row r="68" spans="1:16" x14ac:dyDescent="0.25">
      <c r="A68">
        <v>26</v>
      </c>
      <c r="B68" s="8" t="s">
        <v>85</v>
      </c>
      <c r="C68">
        <v>15.856999999999999</v>
      </c>
      <c r="D68">
        <v>305324</v>
      </c>
      <c r="E68" s="8">
        <v>305324</v>
      </c>
      <c r="F68">
        <v>10.811999999999999</v>
      </c>
      <c r="G68">
        <v>2755923</v>
      </c>
      <c r="H68" s="8">
        <v>2726658</v>
      </c>
      <c r="I68">
        <v>10.811</v>
      </c>
      <c r="J68">
        <v>406671</v>
      </c>
      <c r="K68" s="8">
        <v>406671</v>
      </c>
      <c r="N68">
        <f t="shared" si="2"/>
        <v>149.14631757998254</v>
      </c>
      <c r="O68">
        <f t="shared" si="3"/>
        <v>3.9549399790106619</v>
      </c>
      <c r="P68">
        <f t="shared" si="4"/>
        <v>3.8959848385330336</v>
      </c>
    </row>
    <row r="69" spans="1:16" x14ac:dyDescent="0.25">
      <c r="A69">
        <v>27</v>
      </c>
      <c r="B69" s="8" t="s">
        <v>86</v>
      </c>
      <c r="C69">
        <v>15.858000000000001</v>
      </c>
      <c r="D69">
        <v>285140</v>
      </c>
      <c r="E69" s="8">
        <v>285140</v>
      </c>
      <c r="F69">
        <v>10.811999999999999</v>
      </c>
      <c r="G69">
        <v>4208329</v>
      </c>
      <c r="H69" s="8">
        <v>4195581</v>
      </c>
      <c r="I69">
        <v>10.811</v>
      </c>
      <c r="J69">
        <v>634607</v>
      </c>
      <c r="K69" s="8">
        <v>634607</v>
      </c>
      <c r="N69">
        <f t="shared" si="2"/>
        <v>151.25604773212578</v>
      </c>
      <c r="O69">
        <f t="shared" si="3"/>
        <v>6.039242971204188</v>
      </c>
      <c r="P69">
        <f t="shared" si="4"/>
        <v>6.0641144667139972</v>
      </c>
    </row>
    <row r="73" spans="1:16" x14ac:dyDescent="0.25">
      <c r="A73" t="s">
        <v>91</v>
      </c>
      <c r="E73" t="s">
        <v>0</v>
      </c>
      <c r="F73" t="s">
        <v>1</v>
      </c>
      <c r="I73" t="s">
        <v>54</v>
      </c>
      <c r="J73" s="16"/>
    </row>
    <row r="74" spans="1:16" x14ac:dyDescent="0.25">
      <c r="A74" t="s">
        <v>92</v>
      </c>
      <c r="J74" s="19"/>
    </row>
    <row r="75" spans="1:16" x14ac:dyDescent="0.25">
      <c r="A75" t="s">
        <v>2</v>
      </c>
      <c r="C75" t="s">
        <v>3</v>
      </c>
      <c r="J75" s="57" t="s">
        <v>203</v>
      </c>
    </row>
    <row r="76" spans="1:16" x14ac:dyDescent="0.25">
      <c r="A76" t="s">
        <v>4</v>
      </c>
      <c r="C76" t="s">
        <v>26</v>
      </c>
      <c r="L76" t="s">
        <v>5</v>
      </c>
    </row>
    <row r="77" spans="1:16" x14ac:dyDescent="0.25">
      <c r="A77" s="1"/>
      <c r="B77" s="2"/>
      <c r="C77" s="3" t="s">
        <v>6</v>
      </c>
      <c r="D77" s="3" t="s">
        <v>7</v>
      </c>
      <c r="E77" s="4"/>
      <c r="F77" s="3" t="s">
        <v>8</v>
      </c>
      <c r="G77" s="3"/>
      <c r="H77" s="4"/>
      <c r="I77" s="3" t="s">
        <v>9</v>
      </c>
      <c r="J77" s="3"/>
      <c r="K77" s="4"/>
      <c r="L77" t="s">
        <v>10</v>
      </c>
    </row>
    <row r="78" spans="1:16" x14ac:dyDescent="0.25">
      <c r="A78" s="5" t="s">
        <v>11</v>
      </c>
      <c r="B78" s="6" t="s">
        <v>12</v>
      </c>
      <c r="C78" s="7" t="s">
        <v>13</v>
      </c>
      <c r="D78" s="7" t="s">
        <v>14</v>
      </c>
      <c r="E78" s="6" t="s">
        <v>15</v>
      </c>
      <c r="F78" s="7" t="s">
        <v>13</v>
      </c>
      <c r="G78" s="7" t="s">
        <v>16</v>
      </c>
      <c r="H78" s="6" t="s">
        <v>17</v>
      </c>
      <c r="I78" s="7" t="s">
        <v>13</v>
      </c>
      <c r="J78" s="7" t="s">
        <v>18</v>
      </c>
      <c r="K78" s="6" t="s">
        <v>19</v>
      </c>
      <c r="L78" t="s">
        <v>20</v>
      </c>
      <c r="M78" t="s">
        <v>21</v>
      </c>
    </row>
    <row r="79" spans="1:16" x14ac:dyDescent="0.25">
      <c r="A79">
        <v>1</v>
      </c>
      <c r="B79" s="4" t="s">
        <v>93</v>
      </c>
      <c r="C79">
        <v>15.859</v>
      </c>
      <c r="E79" s="32">
        <v>68853</v>
      </c>
      <c r="F79">
        <v>10.801</v>
      </c>
      <c r="H79" s="4">
        <v>17881</v>
      </c>
      <c r="K79" s="4"/>
      <c r="L79">
        <v>0</v>
      </c>
    </row>
    <row r="80" spans="1:16" x14ac:dyDescent="0.25">
      <c r="A80">
        <v>2</v>
      </c>
      <c r="B80" s="8" t="s">
        <v>94</v>
      </c>
      <c r="C80">
        <v>15.859</v>
      </c>
      <c r="E80" s="59">
        <v>81970</v>
      </c>
      <c r="F80">
        <v>10.807</v>
      </c>
      <c r="H80" s="8">
        <v>29907</v>
      </c>
      <c r="K80" s="8"/>
      <c r="L80">
        <v>0</v>
      </c>
    </row>
    <row r="81" spans="1:16" x14ac:dyDescent="0.25">
      <c r="A81">
        <v>3</v>
      </c>
      <c r="B81" s="8" t="s">
        <v>95</v>
      </c>
      <c r="C81">
        <v>15.859</v>
      </c>
      <c r="D81">
        <v>576197</v>
      </c>
      <c r="E81" s="8">
        <v>574171</v>
      </c>
      <c r="F81">
        <v>10.805999999999999</v>
      </c>
      <c r="H81" s="8">
        <v>165906</v>
      </c>
      <c r="I81">
        <v>10.798999999999999</v>
      </c>
      <c r="K81" s="8">
        <v>25418</v>
      </c>
      <c r="L81">
        <v>0.25</v>
      </c>
      <c r="M81">
        <v>0.05</v>
      </c>
      <c r="N81">
        <f>(K81/H81)*1000</f>
        <v>153.20723783347196</v>
      </c>
    </row>
    <row r="82" spans="1:16" x14ac:dyDescent="0.25">
      <c r="A82">
        <v>4</v>
      </c>
      <c r="B82" s="8" t="s">
        <v>96</v>
      </c>
      <c r="C82">
        <v>15.858000000000001</v>
      </c>
      <c r="D82">
        <v>372262</v>
      </c>
      <c r="E82" s="8">
        <v>372262</v>
      </c>
      <c r="F82">
        <v>10.81</v>
      </c>
      <c r="G82">
        <v>184189</v>
      </c>
      <c r="H82" s="8">
        <v>185386</v>
      </c>
      <c r="I82">
        <v>10.811</v>
      </c>
      <c r="K82" s="8">
        <v>29464</v>
      </c>
      <c r="L82">
        <v>0.25</v>
      </c>
      <c r="M82">
        <v>0.05</v>
      </c>
      <c r="N82">
        <f>(K82/H82)*1000</f>
        <v>158.93325278068463</v>
      </c>
    </row>
    <row r="83" spans="1:16" x14ac:dyDescent="0.25">
      <c r="A83">
        <v>5</v>
      </c>
      <c r="B83" s="8" t="s">
        <v>97</v>
      </c>
      <c r="C83">
        <v>15.859</v>
      </c>
      <c r="D83">
        <v>422091</v>
      </c>
      <c r="E83" s="8">
        <v>422091</v>
      </c>
      <c r="F83">
        <v>10.811</v>
      </c>
      <c r="G83">
        <v>1866416</v>
      </c>
      <c r="H83" s="8">
        <v>1864943</v>
      </c>
      <c r="I83">
        <v>10.811</v>
      </c>
      <c r="J83">
        <v>173270</v>
      </c>
      <c r="K83" s="8">
        <v>278286</v>
      </c>
      <c r="L83">
        <v>2.5</v>
      </c>
      <c r="M83">
        <v>0.5</v>
      </c>
      <c r="N83">
        <f t="shared" ref="N83:N104" si="5">(K83/H83)*1000</f>
        <v>149.21957400306604</v>
      </c>
    </row>
    <row r="84" spans="1:16" x14ac:dyDescent="0.25">
      <c r="A84">
        <v>6</v>
      </c>
      <c r="B84" s="8" t="s">
        <v>98</v>
      </c>
      <c r="C84">
        <v>15.859</v>
      </c>
      <c r="D84">
        <v>378959</v>
      </c>
      <c r="E84" s="8">
        <v>378959</v>
      </c>
      <c r="F84">
        <v>10.811999999999999</v>
      </c>
      <c r="G84">
        <v>1998748</v>
      </c>
      <c r="H84" s="8">
        <v>1991144</v>
      </c>
      <c r="I84">
        <v>10.811999999999999</v>
      </c>
      <c r="J84">
        <v>292692</v>
      </c>
      <c r="K84" s="8">
        <v>293244</v>
      </c>
      <c r="L84">
        <v>2.5</v>
      </c>
      <c r="M84">
        <v>0.5</v>
      </c>
      <c r="N84">
        <f t="shared" si="5"/>
        <v>147.27412984696232</v>
      </c>
    </row>
    <row r="85" spans="1:16" x14ac:dyDescent="0.25">
      <c r="A85">
        <v>7</v>
      </c>
      <c r="B85" s="8" t="s">
        <v>99</v>
      </c>
      <c r="C85">
        <v>15.859</v>
      </c>
      <c r="D85">
        <v>562284</v>
      </c>
      <c r="E85" s="8">
        <v>562092</v>
      </c>
      <c r="F85">
        <v>10.804</v>
      </c>
      <c r="G85">
        <v>4458414</v>
      </c>
      <c r="H85" s="8">
        <v>4449364</v>
      </c>
      <c r="I85">
        <v>10.803000000000001</v>
      </c>
      <c r="J85">
        <v>665883</v>
      </c>
      <c r="K85" s="8">
        <v>668539</v>
      </c>
      <c r="L85">
        <v>5</v>
      </c>
      <c r="M85">
        <v>1</v>
      </c>
      <c r="N85">
        <f t="shared" si="5"/>
        <v>150.25495778722529</v>
      </c>
      <c r="O85" t="s">
        <v>22</v>
      </c>
    </row>
    <row r="86" spans="1:16" x14ac:dyDescent="0.25">
      <c r="A86">
        <v>8</v>
      </c>
      <c r="B86" s="8" t="s">
        <v>100</v>
      </c>
      <c r="C86">
        <v>15.86</v>
      </c>
      <c r="D86">
        <v>531310</v>
      </c>
      <c r="E86" s="8">
        <v>528788</v>
      </c>
      <c r="F86">
        <v>10.808</v>
      </c>
      <c r="G86">
        <v>3394771</v>
      </c>
      <c r="H86" s="8">
        <v>3387624</v>
      </c>
      <c r="I86">
        <v>10.808</v>
      </c>
      <c r="J86">
        <v>504093</v>
      </c>
      <c r="K86" s="8">
        <v>504093</v>
      </c>
      <c r="L86">
        <v>5</v>
      </c>
      <c r="M86">
        <v>1</v>
      </c>
      <c r="N86">
        <f t="shared" si="5"/>
        <v>148.80429469150059</v>
      </c>
      <c r="O86" t="s">
        <v>23</v>
      </c>
    </row>
    <row r="87" spans="1:16" x14ac:dyDescent="0.25">
      <c r="A87">
        <v>9</v>
      </c>
      <c r="B87" s="8" t="s">
        <v>101</v>
      </c>
      <c r="C87">
        <v>15.86</v>
      </c>
      <c r="D87">
        <v>132878</v>
      </c>
      <c r="E87" s="59">
        <v>135593</v>
      </c>
      <c r="F87">
        <v>10.81</v>
      </c>
      <c r="H87" s="8">
        <v>79262</v>
      </c>
      <c r="I87">
        <v>10.808</v>
      </c>
      <c r="K87" s="8">
        <v>13273</v>
      </c>
      <c r="L87">
        <v>0</v>
      </c>
      <c r="N87">
        <f t="shared" si="5"/>
        <v>167.45729353284045</v>
      </c>
      <c r="O87" t="s">
        <v>16</v>
      </c>
      <c r="P87" t="s">
        <v>17</v>
      </c>
    </row>
    <row r="88" spans="1:16" x14ac:dyDescent="0.25">
      <c r="A88">
        <v>10</v>
      </c>
      <c r="B88" s="10" t="s">
        <v>102</v>
      </c>
      <c r="C88">
        <v>15.859</v>
      </c>
      <c r="D88">
        <v>367678</v>
      </c>
      <c r="E88" s="8">
        <v>367678</v>
      </c>
      <c r="F88">
        <v>10.811</v>
      </c>
      <c r="G88">
        <v>2593106</v>
      </c>
      <c r="H88" s="8">
        <v>2588454</v>
      </c>
      <c r="I88">
        <v>10.811</v>
      </c>
      <c r="J88">
        <v>388061</v>
      </c>
      <c r="K88" s="8">
        <v>388061</v>
      </c>
      <c r="N88">
        <f t="shared" si="5"/>
        <v>149.91999085168212</v>
      </c>
      <c r="P88">
        <f>(H88-12629)/777920</f>
        <v>3.3111695290004115</v>
      </c>
    </row>
    <row r="89" spans="1:16" x14ac:dyDescent="0.25">
      <c r="A89">
        <v>11</v>
      </c>
      <c r="B89" s="10" t="s">
        <v>103</v>
      </c>
      <c r="C89">
        <v>15.86</v>
      </c>
      <c r="D89">
        <v>145975</v>
      </c>
      <c r="E89" s="8">
        <v>145975</v>
      </c>
      <c r="F89">
        <v>10.811999999999999</v>
      </c>
      <c r="G89">
        <v>3383281</v>
      </c>
      <c r="H89" s="8">
        <v>3373853</v>
      </c>
      <c r="I89">
        <v>10.811999999999999</v>
      </c>
      <c r="J89">
        <v>505733</v>
      </c>
      <c r="K89" s="8">
        <v>505733</v>
      </c>
      <c r="N89">
        <f t="shared" si="5"/>
        <v>149.89775784540703</v>
      </c>
      <c r="P89">
        <f t="shared" ref="P89:P104" si="6">(H89-12629)/777920</f>
        <v>4.320783628136569</v>
      </c>
    </row>
    <row r="90" spans="1:16" x14ac:dyDescent="0.25">
      <c r="A90">
        <v>12</v>
      </c>
      <c r="B90" s="10" t="s">
        <v>104</v>
      </c>
      <c r="C90">
        <v>15.859</v>
      </c>
      <c r="D90">
        <v>442279</v>
      </c>
      <c r="E90" s="8">
        <v>442279</v>
      </c>
      <c r="F90">
        <v>10.813000000000001</v>
      </c>
      <c r="G90">
        <v>1942122</v>
      </c>
      <c r="H90" s="8">
        <v>1942122</v>
      </c>
      <c r="I90">
        <v>10.772</v>
      </c>
      <c r="J90">
        <v>39090</v>
      </c>
      <c r="K90" s="8">
        <v>292687</v>
      </c>
      <c r="N90">
        <f t="shared" si="5"/>
        <v>150.70474460409798</v>
      </c>
      <c r="P90">
        <f t="shared" si="6"/>
        <v>2.4803231694775811</v>
      </c>
    </row>
    <row r="91" spans="1:16" x14ac:dyDescent="0.25">
      <c r="A91" s="7">
        <v>13</v>
      </c>
      <c r="B91" s="20" t="s">
        <v>105</v>
      </c>
      <c r="C91" s="7">
        <v>15.858000000000001</v>
      </c>
      <c r="D91" s="7">
        <v>341764</v>
      </c>
      <c r="E91" s="6">
        <v>341764</v>
      </c>
      <c r="F91" s="7">
        <v>10.811999999999999</v>
      </c>
      <c r="G91" s="7">
        <v>2182455</v>
      </c>
      <c r="H91" s="6">
        <v>2174874</v>
      </c>
      <c r="I91" s="7">
        <v>10.811</v>
      </c>
      <c r="J91" s="7">
        <v>328221</v>
      </c>
      <c r="K91" s="6">
        <v>328860</v>
      </c>
      <c r="L91" s="7"/>
      <c r="M91" s="7"/>
      <c r="N91" s="7">
        <f t="shared" si="5"/>
        <v>151.20875967987109</v>
      </c>
      <c r="O91" s="7"/>
      <c r="P91" s="7">
        <f t="shared" si="6"/>
        <v>2.7795210304401481</v>
      </c>
    </row>
    <row r="92" spans="1:16" x14ac:dyDescent="0.25">
      <c r="A92">
        <v>14</v>
      </c>
      <c r="B92" s="10" t="s">
        <v>106</v>
      </c>
      <c r="C92">
        <v>15.86</v>
      </c>
      <c r="D92">
        <v>136007</v>
      </c>
      <c r="E92" s="8">
        <v>141211</v>
      </c>
      <c r="F92">
        <v>10.808</v>
      </c>
      <c r="H92" s="8">
        <v>88960</v>
      </c>
      <c r="K92" s="8"/>
      <c r="N92">
        <f t="shared" si="5"/>
        <v>0</v>
      </c>
      <c r="P92">
        <f>(H92-12629)/777920</f>
        <v>9.8121914849856023E-2</v>
      </c>
    </row>
    <row r="93" spans="1:16" x14ac:dyDescent="0.25">
      <c r="A93">
        <v>15</v>
      </c>
      <c r="B93" s="10" t="s">
        <v>107</v>
      </c>
      <c r="C93">
        <v>15.861000000000001</v>
      </c>
      <c r="D93">
        <v>340542</v>
      </c>
      <c r="E93" s="8">
        <v>342757</v>
      </c>
      <c r="F93">
        <v>10.808</v>
      </c>
      <c r="H93" s="8">
        <v>232604</v>
      </c>
      <c r="K93" s="8"/>
      <c r="N93">
        <f t="shared" si="5"/>
        <v>0</v>
      </c>
      <c r="P93">
        <f>(H93-12629)/777920</f>
        <v>0.28277329288358699</v>
      </c>
    </row>
    <row r="94" spans="1:16" x14ac:dyDescent="0.25">
      <c r="A94">
        <v>16</v>
      </c>
      <c r="B94" s="10" t="s">
        <v>108</v>
      </c>
      <c r="C94">
        <v>15.861000000000001</v>
      </c>
      <c r="D94">
        <v>257193</v>
      </c>
      <c r="E94" s="8">
        <v>257193</v>
      </c>
      <c r="F94">
        <v>10.808</v>
      </c>
      <c r="G94">
        <v>1448094</v>
      </c>
      <c r="H94" s="8">
        <v>1448094</v>
      </c>
      <c r="I94">
        <v>10.807</v>
      </c>
      <c r="K94" s="8">
        <v>212995</v>
      </c>
      <c r="N94">
        <f t="shared" si="5"/>
        <v>147.08644604562963</v>
      </c>
      <c r="P94">
        <f t="shared" si="6"/>
        <v>1.8452604380913205</v>
      </c>
    </row>
    <row r="95" spans="1:16" x14ac:dyDescent="0.25">
      <c r="A95">
        <v>17</v>
      </c>
      <c r="B95" s="10" t="s">
        <v>109</v>
      </c>
      <c r="C95">
        <v>15.86</v>
      </c>
      <c r="E95" s="8">
        <v>69200</v>
      </c>
      <c r="F95">
        <v>10.808</v>
      </c>
      <c r="G95">
        <v>1954193</v>
      </c>
      <c r="H95" s="8">
        <v>1949849</v>
      </c>
      <c r="I95">
        <v>10.807</v>
      </c>
      <c r="J95">
        <v>287613</v>
      </c>
      <c r="K95" s="8">
        <v>288234</v>
      </c>
      <c r="N95">
        <f t="shared" si="5"/>
        <v>147.82375455740419</v>
      </c>
      <c r="P95">
        <f t="shared" si="6"/>
        <v>2.4902560674619498</v>
      </c>
    </row>
    <row r="96" spans="1:16" x14ac:dyDescent="0.25">
      <c r="A96">
        <v>18</v>
      </c>
      <c r="B96" s="10" t="s">
        <v>110</v>
      </c>
      <c r="C96">
        <v>15.86</v>
      </c>
      <c r="D96">
        <v>242029</v>
      </c>
      <c r="E96" s="8">
        <v>243265</v>
      </c>
      <c r="F96">
        <v>10.802</v>
      </c>
      <c r="G96">
        <v>718257</v>
      </c>
      <c r="H96" s="8">
        <v>720683</v>
      </c>
      <c r="I96">
        <v>10.802</v>
      </c>
      <c r="K96" s="8">
        <v>103142</v>
      </c>
      <c r="N96">
        <f t="shared" si="5"/>
        <v>143.11701538679281</v>
      </c>
      <c r="P96">
        <f t="shared" si="6"/>
        <v>0.91018870835047305</v>
      </c>
    </row>
    <row r="97" spans="1:16" x14ac:dyDescent="0.25">
      <c r="A97" s="7">
        <v>19</v>
      </c>
      <c r="B97" s="20" t="s">
        <v>111</v>
      </c>
      <c r="C97" s="7">
        <v>15.86</v>
      </c>
      <c r="D97" s="7">
        <v>0</v>
      </c>
      <c r="E97" s="6">
        <v>89619</v>
      </c>
      <c r="F97" s="7">
        <v>10.805999999999999</v>
      </c>
      <c r="G97" s="7">
        <v>699793</v>
      </c>
      <c r="H97" s="6">
        <v>699793</v>
      </c>
      <c r="I97" s="7">
        <v>10.805999999999999</v>
      </c>
      <c r="J97" s="7">
        <v>0</v>
      </c>
      <c r="K97" s="6">
        <v>105074</v>
      </c>
      <c r="L97" s="7"/>
      <c r="M97" s="7"/>
      <c r="N97" s="7">
        <f t="shared" si="5"/>
        <v>150.1501158199639</v>
      </c>
      <c r="O97" s="7"/>
      <c r="P97" s="7">
        <f t="shared" si="6"/>
        <v>0.8833350473056355</v>
      </c>
    </row>
    <row r="98" spans="1:16" x14ac:dyDescent="0.25">
      <c r="A98" s="7">
        <v>20</v>
      </c>
      <c r="B98" s="6" t="s">
        <v>118</v>
      </c>
      <c r="C98" s="7">
        <v>15.859</v>
      </c>
      <c r="D98" s="7">
        <v>202515</v>
      </c>
      <c r="E98" s="60">
        <v>203812</v>
      </c>
      <c r="F98" s="7">
        <v>10.811999999999999</v>
      </c>
      <c r="G98" s="7"/>
      <c r="H98" s="6">
        <v>40579</v>
      </c>
      <c r="I98" s="7"/>
      <c r="J98" s="7"/>
      <c r="K98" s="6"/>
      <c r="L98" s="7"/>
      <c r="M98" s="7"/>
      <c r="N98" s="21">
        <f t="shared" si="5"/>
        <v>0</v>
      </c>
      <c r="O98" s="7"/>
      <c r="P98" s="7">
        <f t="shared" si="6"/>
        <v>3.5929144385026736E-2</v>
      </c>
    </row>
    <row r="99" spans="1:16" x14ac:dyDescent="0.25">
      <c r="A99">
        <v>21</v>
      </c>
      <c r="B99" s="10" t="s">
        <v>112</v>
      </c>
      <c r="C99">
        <v>15.86</v>
      </c>
      <c r="D99">
        <v>168514</v>
      </c>
      <c r="E99" s="8">
        <v>170843</v>
      </c>
      <c r="F99">
        <v>10.807</v>
      </c>
      <c r="H99" s="8">
        <v>118898</v>
      </c>
      <c r="I99">
        <v>10.807</v>
      </c>
      <c r="K99" s="8">
        <v>16006</v>
      </c>
      <c r="N99">
        <f t="shared" si="5"/>
        <v>134.61958990058707</v>
      </c>
      <c r="P99">
        <f>(H99-12629)/777920</f>
        <v>0.13660659193747429</v>
      </c>
    </row>
    <row r="100" spans="1:16" x14ac:dyDescent="0.25">
      <c r="A100">
        <v>22</v>
      </c>
      <c r="B100" s="10" t="s">
        <v>113</v>
      </c>
      <c r="C100">
        <v>15.861000000000001</v>
      </c>
      <c r="D100">
        <v>328659</v>
      </c>
      <c r="E100" s="8">
        <v>328659</v>
      </c>
      <c r="F100">
        <v>10.801</v>
      </c>
      <c r="H100" s="8">
        <v>18766</v>
      </c>
      <c r="K100" s="8"/>
      <c r="N100">
        <f t="shared" si="5"/>
        <v>0</v>
      </c>
      <c r="P100">
        <f t="shared" si="6"/>
        <v>7.8889860139860143E-3</v>
      </c>
    </row>
    <row r="101" spans="1:16" x14ac:dyDescent="0.25">
      <c r="A101">
        <v>23</v>
      </c>
      <c r="B101" s="10" t="s">
        <v>114</v>
      </c>
      <c r="C101">
        <v>15.86</v>
      </c>
      <c r="D101">
        <v>191423</v>
      </c>
      <c r="E101" s="8">
        <v>191748</v>
      </c>
      <c r="F101">
        <v>10.8</v>
      </c>
      <c r="G101">
        <v>761878</v>
      </c>
      <c r="H101" s="8">
        <v>766173</v>
      </c>
      <c r="I101">
        <v>10.8</v>
      </c>
      <c r="K101" s="8">
        <v>115566</v>
      </c>
      <c r="N101">
        <f t="shared" si="5"/>
        <v>150.83538574186247</v>
      </c>
      <c r="P101">
        <f t="shared" si="6"/>
        <v>0.96866515837104072</v>
      </c>
    </row>
    <row r="102" spans="1:16" x14ac:dyDescent="0.25">
      <c r="A102">
        <v>24</v>
      </c>
      <c r="B102" s="10" t="s">
        <v>115</v>
      </c>
      <c r="C102">
        <v>15.86</v>
      </c>
      <c r="D102">
        <v>126647</v>
      </c>
      <c r="E102" s="8">
        <v>124899</v>
      </c>
      <c r="F102">
        <v>10.808999999999999</v>
      </c>
      <c r="G102">
        <v>694324</v>
      </c>
      <c r="H102" s="8">
        <v>694324</v>
      </c>
      <c r="I102">
        <v>10.808999999999999</v>
      </c>
      <c r="K102" s="8">
        <v>101227</v>
      </c>
      <c r="N102">
        <f t="shared" si="5"/>
        <v>145.79216619330458</v>
      </c>
      <c r="P102">
        <f t="shared" si="6"/>
        <v>0.87630476141505553</v>
      </c>
    </row>
    <row r="103" spans="1:16" x14ac:dyDescent="0.25">
      <c r="A103">
        <v>25</v>
      </c>
      <c r="B103" s="10" t="s">
        <v>116</v>
      </c>
      <c r="C103">
        <v>15.861000000000001</v>
      </c>
      <c r="D103">
        <v>146319</v>
      </c>
      <c r="E103" s="8">
        <v>147921</v>
      </c>
      <c r="F103">
        <v>10.807</v>
      </c>
      <c r="G103">
        <v>545029</v>
      </c>
      <c r="H103" s="8">
        <v>545029</v>
      </c>
      <c r="I103">
        <v>10.805999999999999</v>
      </c>
      <c r="K103" s="8">
        <v>78863</v>
      </c>
      <c r="N103">
        <f t="shared" si="5"/>
        <v>144.69505292378938</v>
      </c>
      <c r="P103">
        <f t="shared" si="6"/>
        <v>0.68438914027149322</v>
      </c>
    </row>
    <row r="104" spans="1:16" x14ac:dyDescent="0.25">
      <c r="A104">
        <v>26</v>
      </c>
      <c r="B104" s="10" t="s">
        <v>117</v>
      </c>
      <c r="C104">
        <v>15.859</v>
      </c>
      <c r="D104">
        <v>143473</v>
      </c>
      <c r="E104" s="8">
        <v>148035</v>
      </c>
      <c r="F104">
        <v>10.808</v>
      </c>
      <c r="G104">
        <v>440088</v>
      </c>
      <c r="H104" s="8">
        <v>440541</v>
      </c>
      <c r="I104">
        <v>10.808</v>
      </c>
      <c r="K104" s="8">
        <v>65666</v>
      </c>
      <c r="N104">
        <f t="shared" si="5"/>
        <v>149.05763595215882</v>
      </c>
      <c r="P104">
        <f t="shared" si="6"/>
        <v>0.55007198683669267</v>
      </c>
    </row>
    <row r="108" spans="1:16" x14ac:dyDescent="0.25">
      <c r="A108" t="s">
        <v>119</v>
      </c>
      <c r="E108" t="s">
        <v>0</v>
      </c>
      <c r="F108" t="s">
        <v>1</v>
      </c>
      <c r="I108" t="s">
        <v>54</v>
      </c>
      <c r="J108" s="16"/>
    </row>
    <row r="109" spans="1:16" x14ac:dyDescent="0.25">
      <c r="A109" t="s">
        <v>120</v>
      </c>
      <c r="J109" s="19"/>
    </row>
    <row r="110" spans="1:16" x14ac:dyDescent="0.25">
      <c r="A110" t="s">
        <v>2</v>
      </c>
      <c r="C110" t="s">
        <v>3</v>
      </c>
      <c r="J110" s="57" t="s">
        <v>203</v>
      </c>
    </row>
    <row r="111" spans="1:16" x14ac:dyDescent="0.25">
      <c r="A111" t="s">
        <v>4</v>
      </c>
      <c r="C111" t="s">
        <v>26</v>
      </c>
      <c r="L111" t="s">
        <v>5</v>
      </c>
    </row>
    <row r="112" spans="1:16" x14ac:dyDescent="0.25">
      <c r="A112" s="1"/>
      <c r="B112" s="2"/>
      <c r="C112" s="3" t="s">
        <v>6</v>
      </c>
      <c r="D112" s="3" t="s">
        <v>7</v>
      </c>
      <c r="E112" s="4"/>
      <c r="F112" s="3" t="s">
        <v>8</v>
      </c>
      <c r="G112" s="3"/>
      <c r="H112" s="4"/>
      <c r="I112" s="3" t="s">
        <v>9</v>
      </c>
      <c r="J112" s="3"/>
      <c r="K112" s="4"/>
      <c r="L112" t="s">
        <v>10</v>
      </c>
    </row>
    <row r="113" spans="1:16" x14ac:dyDescent="0.25">
      <c r="A113" s="5" t="s">
        <v>11</v>
      </c>
      <c r="B113" s="6" t="s">
        <v>12</v>
      </c>
      <c r="C113" s="7" t="s">
        <v>13</v>
      </c>
      <c r="D113" s="7" t="s">
        <v>14</v>
      </c>
      <c r="E113" s="6" t="s">
        <v>15</v>
      </c>
      <c r="F113" s="7" t="s">
        <v>13</v>
      </c>
      <c r="G113" s="7" t="s">
        <v>16</v>
      </c>
      <c r="H113" s="6" t="s">
        <v>17</v>
      </c>
      <c r="I113" s="7" t="s">
        <v>13</v>
      </c>
      <c r="J113" s="7" t="s">
        <v>18</v>
      </c>
      <c r="K113" s="6" t="s">
        <v>19</v>
      </c>
      <c r="L113" t="s">
        <v>20</v>
      </c>
      <c r="M113" t="s">
        <v>21</v>
      </c>
    </row>
    <row r="114" spans="1:16" x14ac:dyDescent="0.25">
      <c r="A114">
        <v>1</v>
      </c>
      <c r="B114" s="4" t="s">
        <v>121</v>
      </c>
      <c r="C114">
        <v>15.863</v>
      </c>
      <c r="E114" s="32">
        <v>66842</v>
      </c>
      <c r="F114">
        <v>10.802</v>
      </c>
      <c r="H114" s="4">
        <v>15880</v>
      </c>
      <c r="K114" s="4"/>
      <c r="L114">
        <v>0</v>
      </c>
    </row>
    <row r="115" spans="1:16" x14ac:dyDescent="0.25">
      <c r="A115">
        <v>2</v>
      </c>
      <c r="B115" s="8" t="s">
        <v>122</v>
      </c>
      <c r="C115">
        <v>15.861000000000001</v>
      </c>
      <c r="D115">
        <v>257615</v>
      </c>
      <c r="E115" s="59">
        <v>258956</v>
      </c>
      <c r="F115">
        <v>10.811</v>
      </c>
      <c r="H115" s="8">
        <v>24957</v>
      </c>
      <c r="K115" s="8"/>
      <c r="L115">
        <v>0</v>
      </c>
    </row>
    <row r="116" spans="1:16" x14ac:dyDescent="0.25">
      <c r="A116">
        <v>3</v>
      </c>
      <c r="B116" s="8" t="s">
        <v>123</v>
      </c>
      <c r="C116">
        <v>15.862</v>
      </c>
      <c r="D116">
        <v>433475</v>
      </c>
      <c r="E116" s="8">
        <v>433210</v>
      </c>
      <c r="F116">
        <v>10.816000000000001</v>
      </c>
      <c r="G116">
        <v>387228</v>
      </c>
      <c r="H116" s="8">
        <v>387228</v>
      </c>
      <c r="I116">
        <v>10.815</v>
      </c>
      <c r="K116" s="8">
        <v>58783</v>
      </c>
      <c r="L116">
        <v>0.5</v>
      </c>
      <c r="N116">
        <f t="shared" ref="N116:N139" si="7">(K116/H116)*1000</f>
        <v>151.80462156662225</v>
      </c>
    </row>
    <row r="117" spans="1:16" x14ac:dyDescent="0.25">
      <c r="A117">
        <v>4</v>
      </c>
      <c r="B117" s="8" t="s">
        <v>124</v>
      </c>
      <c r="C117">
        <v>15.864000000000001</v>
      </c>
      <c r="D117">
        <v>618660</v>
      </c>
      <c r="E117" s="8">
        <v>616216</v>
      </c>
      <c r="F117">
        <v>10.818</v>
      </c>
      <c r="G117">
        <v>369283</v>
      </c>
      <c r="H117" s="8">
        <v>369283</v>
      </c>
      <c r="I117">
        <v>10.818</v>
      </c>
      <c r="K117" s="8">
        <v>54144</v>
      </c>
      <c r="L117">
        <v>0.5</v>
      </c>
      <c r="N117">
        <f t="shared" si="7"/>
        <v>146.61925948391882</v>
      </c>
    </row>
    <row r="118" spans="1:16" x14ac:dyDescent="0.25">
      <c r="A118">
        <v>5</v>
      </c>
      <c r="B118" s="8" t="s">
        <v>125</v>
      </c>
      <c r="C118">
        <v>15.863</v>
      </c>
      <c r="D118">
        <v>582537</v>
      </c>
      <c r="E118" s="8">
        <v>579625</v>
      </c>
      <c r="F118">
        <v>10.815</v>
      </c>
      <c r="G118">
        <v>1914527</v>
      </c>
      <c r="H118" s="8">
        <v>1914527</v>
      </c>
      <c r="I118">
        <v>10.814</v>
      </c>
      <c r="J118">
        <v>287527</v>
      </c>
      <c r="K118" s="8">
        <v>287527</v>
      </c>
      <c r="L118">
        <v>2.5</v>
      </c>
      <c r="N118">
        <f t="shared" si="7"/>
        <v>150.18174201774121</v>
      </c>
    </row>
    <row r="119" spans="1:16" x14ac:dyDescent="0.25">
      <c r="A119">
        <v>6</v>
      </c>
      <c r="B119" s="8" t="s">
        <v>126</v>
      </c>
      <c r="C119">
        <v>15.863</v>
      </c>
      <c r="D119">
        <v>140113</v>
      </c>
      <c r="E119" s="8">
        <v>141087</v>
      </c>
      <c r="F119">
        <v>10.814</v>
      </c>
      <c r="G119">
        <v>2044957</v>
      </c>
      <c r="H119" s="8">
        <v>2039245</v>
      </c>
      <c r="I119">
        <v>10.813000000000001</v>
      </c>
      <c r="J119">
        <v>300311</v>
      </c>
      <c r="K119" s="8">
        <v>301209</v>
      </c>
      <c r="L119">
        <v>2.5</v>
      </c>
      <c r="N119">
        <f t="shared" si="7"/>
        <v>147.70613633967471</v>
      </c>
    </row>
    <row r="120" spans="1:16" x14ac:dyDescent="0.25">
      <c r="A120">
        <v>7</v>
      </c>
      <c r="B120" s="8" t="s">
        <v>127</v>
      </c>
      <c r="C120">
        <v>15.864000000000001</v>
      </c>
      <c r="D120">
        <v>586570</v>
      </c>
      <c r="E120" s="8">
        <v>585610</v>
      </c>
      <c r="F120">
        <v>10.811999999999999</v>
      </c>
      <c r="G120">
        <v>4260749</v>
      </c>
      <c r="H120" s="8">
        <v>4252537</v>
      </c>
      <c r="I120">
        <v>10.811999999999999</v>
      </c>
      <c r="J120">
        <v>637012</v>
      </c>
      <c r="K120" s="8">
        <v>637012</v>
      </c>
      <c r="L120">
        <v>7.5</v>
      </c>
      <c r="N120">
        <f t="shared" si="7"/>
        <v>149.795757215046</v>
      </c>
      <c r="O120" t="s">
        <v>22</v>
      </c>
    </row>
    <row r="121" spans="1:16" x14ac:dyDescent="0.25">
      <c r="A121">
        <v>8</v>
      </c>
      <c r="B121" s="8" t="s">
        <v>128</v>
      </c>
      <c r="C121">
        <v>15.864000000000001</v>
      </c>
      <c r="D121">
        <v>541864</v>
      </c>
      <c r="E121" s="8">
        <v>541864</v>
      </c>
      <c r="F121">
        <v>10.818</v>
      </c>
      <c r="G121">
        <v>4619125</v>
      </c>
      <c r="H121" s="8">
        <v>4610723</v>
      </c>
      <c r="I121">
        <v>10.817</v>
      </c>
      <c r="J121">
        <v>690732</v>
      </c>
      <c r="K121" s="8">
        <v>690732</v>
      </c>
      <c r="L121">
        <v>7.5</v>
      </c>
      <c r="N121">
        <f t="shared" si="7"/>
        <v>149.80991050644334</v>
      </c>
      <c r="O121" t="s">
        <v>23</v>
      </c>
    </row>
    <row r="122" spans="1:16" x14ac:dyDescent="0.25">
      <c r="A122">
        <v>9</v>
      </c>
      <c r="B122" s="6" t="s">
        <v>129</v>
      </c>
      <c r="C122" s="7">
        <v>15.864000000000001</v>
      </c>
      <c r="D122" s="7">
        <v>760465</v>
      </c>
      <c r="E122" s="60">
        <v>758785</v>
      </c>
      <c r="F122" s="7">
        <v>10.817</v>
      </c>
      <c r="G122" s="7"/>
      <c r="H122" s="6">
        <v>105093</v>
      </c>
      <c r="I122" s="7"/>
      <c r="J122" s="7"/>
      <c r="K122" s="6"/>
      <c r="L122">
        <v>0</v>
      </c>
      <c r="N122">
        <f t="shared" si="7"/>
        <v>0</v>
      </c>
      <c r="O122" t="s">
        <v>16</v>
      </c>
      <c r="P122" t="s">
        <v>17</v>
      </c>
    </row>
    <row r="123" spans="1:16" x14ac:dyDescent="0.25">
      <c r="A123">
        <v>10</v>
      </c>
      <c r="B123" s="10" t="s">
        <v>130</v>
      </c>
      <c r="C123">
        <v>15.861000000000001</v>
      </c>
      <c r="D123">
        <v>415536</v>
      </c>
      <c r="E123" s="8">
        <v>411565</v>
      </c>
      <c r="F123">
        <v>10.819000000000001</v>
      </c>
      <c r="G123">
        <v>2289482</v>
      </c>
      <c r="H123" s="8">
        <v>2287282</v>
      </c>
      <c r="I123">
        <v>10.819000000000001</v>
      </c>
      <c r="J123">
        <v>347571</v>
      </c>
      <c r="K123" s="8">
        <v>347571</v>
      </c>
      <c r="N123">
        <f t="shared" si="7"/>
        <v>151.95808824622412</v>
      </c>
      <c r="O123">
        <f>G123/612557.9323</f>
        <v>3.7375762834440405</v>
      </c>
      <c r="P123">
        <f>(H123-160224)/584641</f>
        <v>3.6382292723226732</v>
      </c>
    </row>
    <row r="124" spans="1:16" x14ac:dyDescent="0.25">
      <c r="A124">
        <v>11</v>
      </c>
      <c r="B124" s="10" t="s">
        <v>131</v>
      </c>
      <c r="C124">
        <v>15.862</v>
      </c>
      <c r="D124">
        <v>252761</v>
      </c>
      <c r="E124" s="8">
        <v>254359</v>
      </c>
      <c r="F124">
        <v>10.819000000000001</v>
      </c>
      <c r="G124">
        <v>2168216</v>
      </c>
      <c r="H124" s="8">
        <v>2168216</v>
      </c>
      <c r="I124">
        <v>10.819000000000001</v>
      </c>
      <c r="J124">
        <v>324966</v>
      </c>
      <c r="K124" s="8">
        <v>325270</v>
      </c>
      <c r="N124">
        <f t="shared" si="7"/>
        <v>150.01734144568624</v>
      </c>
      <c r="O124">
        <f t="shared" ref="O124:O139" si="8">G124/612557.9323</f>
        <v>3.539609701663478</v>
      </c>
      <c r="P124">
        <f>(H124-160224)/584641</f>
        <v>3.4345726693817231</v>
      </c>
    </row>
    <row r="125" spans="1:16" x14ac:dyDescent="0.25">
      <c r="A125">
        <v>12</v>
      </c>
      <c r="B125" s="10" t="s">
        <v>132</v>
      </c>
      <c r="C125">
        <v>15.863</v>
      </c>
      <c r="D125">
        <v>647942</v>
      </c>
      <c r="E125" s="8">
        <v>647086</v>
      </c>
      <c r="F125">
        <v>10.816000000000001</v>
      </c>
      <c r="G125">
        <v>2430899</v>
      </c>
      <c r="H125" s="8">
        <v>2424455</v>
      </c>
      <c r="I125">
        <v>10.817</v>
      </c>
      <c r="J125">
        <v>368191</v>
      </c>
      <c r="K125" s="8">
        <v>368191</v>
      </c>
      <c r="N125">
        <f t="shared" si="7"/>
        <v>151.86547079652954</v>
      </c>
      <c r="O125">
        <f t="shared" si="8"/>
        <v>3.9684393456021207</v>
      </c>
      <c r="P125">
        <f t="shared" ref="P125:P139" si="9">(H125-160224)/584641</f>
        <v>3.8728570182385429</v>
      </c>
    </row>
    <row r="126" spans="1:16" x14ac:dyDescent="0.25">
      <c r="A126" s="7">
        <v>13</v>
      </c>
      <c r="B126" s="20" t="s">
        <v>133</v>
      </c>
      <c r="C126" s="7">
        <v>15.863</v>
      </c>
      <c r="D126" s="7">
        <v>616703</v>
      </c>
      <c r="E126" s="6">
        <v>615079</v>
      </c>
      <c r="F126" s="7">
        <v>10.815</v>
      </c>
      <c r="G126" s="7">
        <v>2770487</v>
      </c>
      <c r="H126" s="6">
        <v>2767769</v>
      </c>
      <c r="I126" s="7">
        <v>10.815</v>
      </c>
      <c r="J126" s="7">
        <v>410263</v>
      </c>
      <c r="K126" s="6">
        <v>411032</v>
      </c>
      <c r="N126">
        <f t="shared" si="7"/>
        <v>148.50661308801421</v>
      </c>
      <c r="O126">
        <f t="shared" si="8"/>
        <v>4.5228162985295493</v>
      </c>
      <c r="P126">
        <f t="shared" si="9"/>
        <v>4.4600789202262581</v>
      </c>
    </row>
    <row r="127" spans="1:16" x14ac:dyDescent="0.25">
      <c r="A127">
        <v>14</v>
      </c>
      <c r="B127" s="10" t="s">
        <v>135</v>
      </c>
      <c r="C127">
        <v>15.862</v>
      </c>
      <c r="D127">
        <v>323078</v>
      </c>
      <c r="E127" s="8">
        <v>323078</v>
      </c>
      <c r="F127">
        <v>10.816000000000001</v>
      </c>
      <c r="G127">
        <v>238332</v>
      </c>
      <c r="H127" s="8">
        <v>239617</v>
      </c>
      <c r="I127">
        <v>10.816000000000001</v>
      </c>
      <c r="K127" s="8">
        <v>35258</v>
      </c>
      <c r="N127">
        <f t="shared" si="7"/>
        <v>147.14314927571917</v>
      </c>
      <c r="O127">
        <f t="shared" si="8"/>
        <v>0.38907666921416506</v>
      </c>
      <c r="P127">
        <f t="shared" si="9"/>
        <v>0.13579786569877925</v>
      </c>
    </row>
    <row r="128" spans="1:16" x14ac:dyDescent="0.25">
      <c r="A128">
        <v>15</v>
      </c>
      <c r="B128" s="10" t="s">
        <v>136</v>
      </c>
      <c r="C128">
        <v>15.864000000000001</v>
      </c>
      <c r="D128">
        <v>659269</v>
      </c>
      <c r="E128" s="8">
        <v>656531</v>
      </c>
      <c r="F128">
        <v>10.818</v>
      </c>
      <c r="H128" s="8">
        <v>53381</v>
      </c>
      <c r="K128" s="8"/>
      <c r="N128">
        <f t="shared" si="7"/>
        <v>0</v>
      </c>
      <c r="O128">
        <f t="shared" si="8"/>
        <v>0</v>
      </c>
      <c r="P128">
        <f t="shared" si="9"/>
        <v>-0.1827497558330668</v>
      </c>
    </row>
    <row r="129" spans="1:16" x14ac:dyDescent="0.25">
      <c r="A129">
        <v>16</v>
      </c>
      <c r="B129" s="10" t="s">
        <v>137</v>
      </c>
      <c r="C129">
        <v>15.862</v>
      </c>
      <c r="D129">
        <v>273275</v>
      </c>
      <c r="E129" s="8">
        <v>273275</v>
      </c>
      <c r="F129">
        <v>10.815</v>
      </c>
      <c r="G129">
        <v>2244300</v>
      </c>
      <c r="H129" s="8">
        <v>2239511</v>
      </c>
      <c r="I129">
        <v>10.815</v>
      </c>
      <c r="J129">
        <v>337853</v>
      </c>
      <c r="K129" s="8">
        <v>337853</v>
      </c>
      <c r="N129">
        <f t="shared" si="7"/>
        <v>150.86016545576246</v>
      </c>
      <c r="O129">
        <f t="shared" si="8"/>
        <v>3.6638167292572992</v>
      </c>
      <c r="P129">
        <f t="shared" si="9"/>
        <v>3.5565192998780448</v>
      </c>
    </row>
    <row r="130" spans="1:16" x14ac:dyDescent="0.25">
      <c r="A130">
        <v>17</v>
      </c>
      <c r="B130" s="10" t="s">
        <v>138</v>
      </c>
      <c r="C130">
        <v>15.865</v>
      </c>
      <c r="D130">
        <v>192917</v>
      </c>
      <c r="E130" s="8">
        <v>192917</v>
      </c>
      <c r="F130">
        <v>10.821</v>
      </c>
      <c r="G130">
        <v>1850022</v>
      </c>
      <c r="H130" s="8">
        <v>1846720</v>
      </c>
      <c r="I130">
        <v>10.821</v>
      </c>
      <c r="J130">
        <v>272939</v>
      </c>
      <c r="K130" s="8">
        <v>274660</v>
      </c>
      <c r="N130">
        <f t="shared" si="7"/>
        <v>148.72855657598336</v>
      </c>
      <c r="O130">
        <f t="shared" si="8"/>
        <v>3.0201584249405369</v>
      </c>
      <c r="P130">
        <f t="shared" si="9"/>
        <v>2.8846693954067537</v>
      </c>
    </row>
    <row r="131" spans="1:16" x14ac:dyDescent="0.25">
      <c r="A131">
        <v>18</v>
      </c>
      <c r="B131" s="10" t="s">
        <v>139</v>
      </c>
      <c r="C131">
        <v>15.867000000000001</v>
      </c>
      <c r="D131">
        <v>912281</v>
      </c>
      <c r="E131" s="8">
        <v>912281</v>
      </c>
      <c r="F131">
        <v>10.843999999999999</v>
      </c>
      <c r="G131">
        <v>2084957</v>
      </c>
      <c r="H131" s="8">
        <v>2082174</v>
      </c>
      <c r="I131">
        <v>10.801</v>
      </c>
      <c r="J131">
        <v>81800</v>
      </c>
      <c r="K131" s="8">
        <v>311155</v>
      </c>
      <c r="N131">
        <f t="shared" si="7"/>
        <v>149.43755901283947</v>
      </c>
      <c r="O131">
        <f t="shared" si="8"/>
        <v>3.4036894962269351</v>
      </c>
      <c r="P131">
        <f t="shared" si="9"/>
        <v>3.2874020125170831</v>
      </c>
    </row>
    <row r="132" spans="1:16" x14ac:dyDescent="0.25">
      <c r="A132" s="7">
        <v>19</v>
      </c>
      <c r="B132" s="20" t="s">
        <v>140</v>
      </c>
      <c r="C132" s="7">
        <v>15.867000000000001</v>
      </c>
      <c r="D132" s="7">
        <v>985562</v>
      </c>
      <c r="E132" s="6">
        <v>985562</v>
      </c>
      <c r="F132" s="7">
        <v>10.803000000000001</v>
      </c>
      <c r="G132" s="7">
        <v>2181819</v>
      </c>
      <c r="H132" s="6">
        <v>2181819</v>
      </c>
      <c r="I132" s="7">
        <v>10.803000000000001</v>
      </c>
      <c r="J132" s="7">
        <v>321609</v>
      </c>
      <c r="K132" s="6">
        <v>321609</v>
      </c>
      <c r="N132">
        <f t="shared" si="7"/>
        <v>147.40406972347387</v>
      </c>
      <c r="O132">
        <f t="shared" si="8"/>
        <v>3.561816580854356</v>
      </c>
      <c r="P132">
        <f t="shared" si="9"/>
        <v>3.4578399393816035</v>
      </c>
    </row>
    <row r="133" spans="1:16" x14ac:dyDescent="0.25">
      <c r="A133" s="7">
        <v>20</v>
      </c>
      <c r="B133" s="2" t="s">
        <v>134</v>
      </c>
      <c r="C133" s="21">
        <v>15.866</v>
      </c>
      <c r="D133" s="21">
        <v>817504</v>
      </c>
      <c r="E133" s="61">
        <v>812153</v>
      </c>
      <c r="F133" s="21">
        <v>10.821</v>
      </c>
      <c r="G133" s="21"/>
      <c r="H133" s="2">
        <v>95715</v>
      </c>
      <c r="I133" s="21"/>
      <c r="J133" s="21"/>
      <c r="K133" s="2"/>
      <c r="N133">
        <f t="shared" si="7"/>
        <v>0</v>
      </c>
      <c r="O133">
        <f t="shared" si="8"/>
        <v>0</v>
      </c>
      <c r="P133">
        <f t="shared" si="9"/>
        <v>-0.11033950749263223</v>
      </c>
    </row>
    <row r="134" spans="1:16" x14ac:dyDescent="0.25">
      <c r="A134">
        <v>21</v>
      </c>
      <c r="B134" s="10" t="s">
        <v>141</v>
      </c>
      <c r="C134">
        <v>15.866</v>
      </c>
      <c r="D134">
        <v>332839</v>
      </c>
      <c r="E134" s="8">
        <v>332839</v>
      </c>
      <c r="F134">
        <v>10.824999999999999</v>
      </c>
      <c r="G134">
        <v>155631</v>
      </c>
      <c r="H134" s="8">
        <v>156682</v>
      </c>
      <c r="I134">
        <v>10.824</v>
      </c>
      <c r="K134" s="8">
        <v>23900</v>
      </c>
      <c r="N134">
        <f t="shared" si="7"/>
        <v>152.53826221263449</v>
      </c>
      <c r="O134">
        <f t="shared" si="8"/>
        <v>0.25406739802657519</v>
      </c>
      <c r="P134">
        <f t="shared" si="9"/>
        <v>-6.058418756125554E-3</v>
      </c>
    </row>
    <row r="135" spans="1:16" x14ac:dyDescent="0.25">
      <c r="A135">
        <v>22</v>
      </c>
      <c r="B135" s="10" t="s">
        <v>142</v>
      </c>
      <c r="C135">
        <v>15.867000000000001</v>
      </c>
      <c r="D135">
        <v>474556</v>
      </c>
      <c r="E135" s="8">
        <v>474556</v>
      </c>
      <c r="F135">
        <v>10.82</v>
      </c>
      <c r="H135" s="8">
        <v>31295</v>
      </c>
      <c r="K135" s="8"/>
      <c r="N135">
        <f t="shared" si="7"/>
        <v>0</v>
      </c>
      <c r="O135">
        <f t="shared" si="8"/>
        <v>0</v>
      </c>
      <c r="P135">
        <f t="shared" si="9"/>
        <v>-0.22052678481324436</v>
      </c>
    </row>
    <row r="136" spans="1:16" x14ac:dyDescent="0.25">
      <c r="A136">
        <v>23</v>
      </c>
      <c r="B136" s="10" t="s">
        <v>143</v>
      </c>
      <c r="C136">
        <v>15.865</v>
      </c>
      <c r="D136">
        <v>523655</v>
      </c>
      <c r="E136" s="8">
        <v>523655</v>
      </c>
      <c r="F136">
        <v>10.818</v>
      </c>
      <c r="G136">
        <v>1905470</v>
      </c>
      <c r="H136" s="8">
        <v>1899653</v>
      </c>
      <c r="I136">
        <v>10.818</v>
      </c>
      <c r="J136">
        <v>287476</v>
      </c>
      <c r="K136" s="8">
        <v>287831</v>
      </c>
      <c r="N136">
        <f t="shared" si="7"/>
        <v>151.51767191165965</v>
      </c>
      <c r="O136">
        <f t="shared" si="8"/>
        <v>3.1106772103096314</v>
      </c>
      <c r="P136">
        <f t="shared" si="9"/>
        <v>2.9752087178285476</v>
      </c>
    </row>
    <row r="137" spans="1:16" x14ac:dyDescent="0.25">
      <c r="A137">
        <v>24</v>
      </c>
      <c r="B137" s="10" t="s">
        <v>144</v>
      </c>
      <c r="C137">
        <v>15.866</v>
      </c>
      <c r="D137">
        <v>610927</v>
      </c>
      <c r="E137" s="8">
        <v>609151</v>
      </c>
      <c r="F137">
        <v>10.819000000000001</v>
      </c>
      <c r="G137">
        <v>1871546</v>
      </c>
      <c r="H137" s="8">
        <v>1871546</v>
      </c>
      <c r="I137">
        <v>10.819000000000001</v>
      </c>
      <c r="J137">
        <v>283997</v>
      </c>
      <c r="K137" s="8">
        <v>284569</v>
      </c>
      <c r="N137">
        <f t="shared" si="7"/>
        <v>152.0502301305979</v>
      </c>
      <c r="O137">
        <f t="shared" si="8"/>
        <v>3.055296325970049</v>
      </c>
      <c r="P137">
        <f t="shared" si="9"/>
        <v>2.9271330611435054</v>
      </c>
    </row>
    <row r="138" spans="1:16" x14ac:dyDescent="0.25">
      <c r="A138">
        <v>25</v>
      </c>
      <c r="B138" s="10" t="s">
        <v>145</v>
      </c>
      <c r="C138">
        <v>15.866</v>
      </c>
      <c r="D138">
        <v>585725</v>
      </c>
      <c r="E138" s="8">
        <v>585333</v>
      </c>
      <c r="F138">
        <v>10.823</v>
      </c>
      <c r="G138">
        <v>1597957</v>
      </c>
      <c r="H138" s="8">
        <v>1597957</v>
      </c>
      <c r="I138">
        <v>10.823</v>
      </c>
      <c r="J138">
        <v>239411</v>
      </c>
      <c r="K138" s="8">
        <v>239509</v>
      </c>
      <c r="N138">
        <f t="shared" si="7"/>
        <v>149.88450878215122</v>
      </c>
      <c r="O138">
        <f t="shared" si="8"/>
        <v>2.608662651710469</v>
      </c>
      <c r="P138">
        <f t="shared" si="9"/>
        <v>2.4591723809996222</v>
      </c>
    </row>
    <row r="139" spans="1:16" x14ac:dyDescent="0.25">
      <c r="A139">
        <v>26</v>
      </c>
      <c r="B139" s="10" t="s">
        <v>146</v>
      </c>
      <c r="C139">
        <v>15.866</v>
      </c>
      <c r="D139">
        <v>579331</v>
      </c>
      <c r="E139" s="8">
        <v>579331</v>
      </c>
      <c r="F139">
        <v>10.824</v>
      </c>
      <c r="G139">
        <v>1863148</v>
      </c>
      <c r="H139" s="8">
        <v>1860703</v>
      </c>
      <c r="I139">
        <v>10.823</v>
      </c>
      <c r="J139">
        <v>274244</v>
      </c>
      <c r="K139" s="8">
        <v>275397</v>
      </c>
      <c r="N139">
        <f t="shared" si="7"/>
        <v>148.00696295969857</v>
      </c>
      <c r="O139">
        <f t="shared" si="8"/>
        <v>3.0415866022734388</v>
      </c>
      <c r="P139">
        <f t="shared" si="9"/>
        <v>2.9085866369276188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8D6D-A28F-412D-BEF9-C687D8C75BCE}">
  <dimension ref="A1:BU139"/>
  <sheetViews>
    <sheetView tabSelected="1" topLeftCell="AI52" zoomScale="70" zoomScaleNormal="70" workbookViewId="0">
      <selection activeCell="AZ62" sqref="AZ62"/>
    </sheetView>
  </sheetViews>
  <sheetFormatPr baseColWidth="10" defaultRowHeight="15" x14ac:dyDescent="0.25"/>
  <cols>
    <col min="2" max="2" width="33.140625" bestFit="1" customWidth="1"/>
    <col min="13" max="13" width="33.140625" bestFit="1" customWidth="1"/>
    <col min="15" max="15" width="15.28515625" bestFit="1" customWidth="1"/>
    <col min="30" max="30" width="29.5703125" bestFit="1" customWidth="1"/>
    <col min="31" max="32" width="15.42578125" bestFit="1" customWidth="1"/>
    <col min="33" max="33" width="15.5703125" customWidth="1"/>
    <col min="34" max="35" width="12.85546875" bestFit="1" customWidth="1"/>
    <col min="38" max="38" width="14.85546875" bestFit="1" customWidth="1"/>
    <col min="39" max="39" width="12.85546875" bestFit="1" customWidth="1"/>
    <col min="40" max="40" width="15.7109375" bestFit="1" customWidth="1"/>
    <col min="41" max="41" width="12.85546875" bestFit="1" customWidth="1"/>
    <col min="42" max="42" width="11.140625" bestFit="1" customWidth="1"/>
    <col min="44" max="44" width="12.85546875" bestFit="1" customWidth="1"/>
    <col min="46" max="46" width="12.85546875" bestFit="1" customWidth="1"/>
  </cols>
  <sheetData>
    <row r="1" spans="1:73" x14ac:dyDescent="0.25">
      <c r="A1" t="s">
        <v>24</v>
      </c>
      <c r="M1" s="68" t="s">
        <v>212</v>
      </c>
      <c r="R1" s="69"/>
      <c r="AD1" s="68" t="s">
        <v>212</v>
      </c>
      <c r="AL1" s="72" t="s">
        <v>257</v>
      </c>
      <c r="AN1" t="s">
        <v>169</v>
      </c>
      <c r="AO1" t="s">
        <v>170</v>
      </c>
      <c r="AP1" t="s">
        <v>171</v>
      </c>
      <c r="AR1" t="s">
        <v>220</v>
      </c>
      <c r="AS1">
        <v>20</v>
      </c>
      <c r="AT1" t="s">
        <v>266</v>
      </c>
      <c r="AU1" t="s">
        <v>259</v>
      </c>
      <c r="AV1" t="s">
        <v>261</v>
      </c>
      <c r="AW1" t="s">
        <v>265</v>
      </c>
      <c r="AX1" t="s">
        <v>260</v>
      </c>
      <c r="AY1" t="s">
        <v>263</v>
      </c>
      <c r="AZ1" t="s">
        <v>264</v>
      </c>
      <c r="BC1">
        <v>0.99195</v>
      </c>
      <c r="BD1">
        <v>0.61699999999999999</v>
      </c>
      <c r="BE1" t="s">
        <v>200</v>
      </c>
      <c r="BG1" s="95" t="s">
        <v>308</v>
      </c>
      <c r="BI1" t="s">
        <v>265</v>
      </c>
      <c r="BK1" t="s">
        <v>290</v>
      </c>
      <c r="BM1" t="s">
        <v>246</v>
      </c>
      <c r="BQ1" t="s">
        <v>283</v>
      </c>
      <c r="BR1" t="s">
        <v>290</v>
      </c>
      <c r="BT1" t="s">
        <v>246</v>
      </c>
    </row>
    <row r="2" spans="1:73" x14ac:dyDescent="0.25">
      <c r="A2" t="s">
        <v>25</v>
      </c>
      <c r="M2" s="70" t="s">
        <v>213</v>
      </c>
      <c r="R2" s="69"/>
      <c r="AC2" s="79" t="s">
        <v>221</v>
      </c>
      <c r="AD2" s="70" t="s">
        <v>213</v>
      </c>
      <c r="AE2" t="s">
        <v>222</v>
      </c>
      <c r="AF2" t="s">
        <v>223</v>
      </c>
      <c r="AG2" s="24"/>
      <c r="AL2" s="72" t="s">
        <v>258</v>
      </c>
      <c r="AM2" s="72" t="s">
        <v>224</v>
      </c>
      <c r="AN2">
        <v>8</v>
      </c>
      <c r="AO2">
        <v>6</v>
      </c>
      <c r="AP2">
        <v>6</v>
      </c>
      <c r="AU2" t="s">
        <v>169</v>
      </c>
      <c r="AV2" s="131">
        <v>0.47545999999999999</v>
      </c>
      <c r="AX2" t="s">
        <v>169</v>
      </c>
      <c r="AY2">
        <v>1</v>
      </c>
      <c r="AZ2" s="131">
        <v>0.58142000000000005</v>
      </c>
      <c r="BC2">
        <v>1.1083000000000001</v>
      </c>
      <c r="BD2">
        <v>0.80700000000000005</v>
      </c>
      <c r="BE2" t="s">
        <v>267</v>
      </c>
      <c r="BI2" t="s">
        <v>283</v>
      </c>
      <c r="BJ2" t="s">
        <v>182</v>
      </c>
      <c r="BK2" t="s">
        <v>288</v>
      </c>
      <c r="BL2" t="s">
        <v>289</v>
      </c>
      <c r="BM2" t="s">
        <v>288</v>
      </c>
      <c r="BN2" t="s">
        <v>289</v>
      </c>
      <c r="BP2" t="s">
        <v>169</v>
      </c>
      <c r="BQ2" t="s">
        <v>182</v>
      </c>
      <c r="BR2" t="s">
        <v>288</v>
      </c>
      <c r="BS2" t="s">
        <v>289</v>
      </c>
      <c r="BT2" t="s">
        <v>288</v>
      </c>
      <c r="BU2" t="s">
        <v>289</v>
      </c>
    </row>
    <row r="3" spans="1:73" ht="15.75" thickBot="1" x14ac:dyDescent="0.3">
      <c r="A3" t="s">
        <v>2</v>
      </c>
      <c r="M3" s="71" t="s">
        <v>214</v>
      </c>
      <c r="AC3" s="79" t="s">
        <v>225</v>
      </c>
      <c r="AD3" s="80" t="s">
        <v>214</v>
      </c>
      <c r="AE3" t="s">
        <v>226</v>
      </c>
      <c r="AF3" t="s">
        <v>223</v>
      </c>
      <c r="AM3" t="s">
        <v>227</v>
      </c>
      <c r="AN3">
        <v>8</v>
      </c>
      <c r="AO3">
        <v>16</v>
      </c>
      <c r="AP3">
        <v>8</v>
      </c>
      <c r="AU3" t="s">
        <v>170</v>
      </c>
      <c r="AV3" s="131">
        <v>1.6046</v>
      </c>
      <c r="AX3" t="s">
        <v>170</v>
      </c>
      <c r="AY3">
        <v>1</v>
      </c>
      <c r="AZ3" s="131">
        <v>0.1515</v>
      </c>
      <c r="BC3">
        <v>0.73899999999999999</v>
      </c>
      <c r="BD3">
        <v>0.61960000000000004</v>
      </c>
      <c r="BE3" t="s">
        <v>268</v>
      </c>
      <c r="BI3" t="s">
        <v>169</v>
      </c>
      <c r="BJ3" t="s">
        <v>276</v>
      </c>
      <c r="BK3" s="94">
        <f>AVERAGE(AN39:AN44,AN59:AN62)</f>
        <v>4.3305407854083091</v>
      </c>
      <c r="BL3" s="94">
        <f>AVERAGE(AO39:AO44,AO59:AO62)</f>
        <v>4.6316111362804095</v>
      </c>
      <c r="BM3" s="94">
        <f>AVERAGE(AP39:AP44,AP59:AP62)</f>
        <v>34.644326283266473</v>
      </c>
      <c r="BN3" s="94">
        <f>AVERAGE(AQ39:AQ44,AQ59:AQ62)</f>
        <v>37.052889090243276</v>
      </c>
      <c r="BO3" s="98"/>
      <c r="BP3" t="s">
        <v>276</v>
      </c>
      <c r="BQ3" t="s">
        <v>281</v>
      </c>
      <c r="BR3" s="94">
        <f>AVERAGE(AN59:AN62)</f>
        <v>4.9489725042463935</v>
      </c>
      <c r="BS3" s="94">
        <f t="shared" ref="BS3:BU3" si="0">AVERAGE(AO59:AO62)</f>
        <v>5.0512772930557217</v>
      </c>
      <c r="BT3" s="94">
        <f t="shared" si="0"/>
        <v>39.591780033971148</v>
      </c>
      <c r="BU3" s="94">
        <f t="shared" si="0"/>
        <v>40.410218344445774</v>
      </c>
    </row>
    <row r="4" spans="1:73" ht="15.75" thickBot="1" x14ac:dyDescent="0.3">
      <c r="A4" t="s">
        <v>4</v>
      </c>
      <c r="M4" s="24"/>
      <c r="P4" s="72" t="s">
        <v>200</v>
      </c>
      <c r="AC4" s="79" t="s">
        <v>228</v>
      </c>
      <c r="AD4" s="81" t="s">
        <v>229</v>
      </c>
      <c r="AE4" t="s">
        <v>230</v>
      </c>
      <c r="AF4" t="s">
        <v>231</v>
      </c>
      <c r="AG4" s="82" t="s">
        <v>232</v>
      </c>
      <c r="AM4" t="s">
        <v>233</v>
      </c>
      <c r="AN4">
        <f>SUM(AN2:AN3)</f>
        <v>16</v>
      </c>
      <c r="AO4">
        <f t="shared" ref="AO4:AP4" si="1">SUM(AO2:AO3)</f>
        <v>22</v>
      </c>
      <c r="AP4">
        <f t="shared" si="1"/>
        <v>14</v>
      </c>
      <c r="AU4" t="s">
        <v>171</v>
      </c>
      <c r="AV4" s="131">
        <v>0.48316999999999999</v>
      </c>
      <c r="AX4" t="s">
        <v>171</v>
      </c>
      <c r="AY4">
        <v>1</v>
      </c>
      <c r="AZ4" s="131">
        <v>0.54661999999999999</v>
      </c>
      <c r="BI4" t="s">
        <v>281</v>
      </c>
      <c r="BJ4" t="s">
        <v>278</v>
      </c>
      <c r="BK4" s="54">
        <f>STDEV(AN39:AN44,AN59:AN62)</f>
        <v>1.5926888706613056</v>
      </c>
      <c r="BL4" s="54">
        <f>STDEV(AO39:AO44,AO59:AO62)</f>
        <v>1.5504160851213253</v>
      </c>
      <c r="BM4" s="54">
        <f t="shared" ref="BM4" si="2">STDEV(AP39:AP44,AP59:AP62)</f>
        <v>12.741510965290445</v>
      </c>
      <c r="BN4" s="54">
        <f>STDEV(AQ39:AQ44,AQ59:AQ62)</f>
        <v>12.403328680970603</v>
      </c>
      <c r="BQ4" t="s">
        <v>292</v>
      </c>
      <c r="BR4" s="54">
        <f>STDEV(AN59:AN62)</f>
        <v>1.4864888383849375</v>
      </c>
      <c r="BS4" s="54">
        <f t="shared" ref="BS4:BU4" si="3">STDEV(AO59:AO62)</f>
        <v>1.488939726041983</v>
      </c>
      <c r="BT4" s="54">
        <f t="shared" si="3"/>
        <v>11.8919107070795</v>
      </c>
      <c r="BU4" s="54">
        <f t="shared" si="3"/>
        <v>11.911517808335864</v>
      </c>
    </row>
    <row r="5" spans="1:73" x14ac:dyDescent="0.25">
      <c r="A5" s="1"/>
      <c r="B5" s="2"/>
      <c r="C5" t="s">
        <v>8</v>
      </c>
      <c r="E5" t="s">
        <v>9</v>
      </c>
      <c r="F5" s="8"/>
      <c r="G5" t="s">
        <v>6</v>
      </c>
      <c r="H5" s="8"/>
      <c r="I5" s="63" t="s">
        <v>210</v>
      </c>
      <c r="M5" s="24" t="s">
        <v>147</v>
      </c>
      <c r="N5" t="s">
        <v>215</v>
      </c>
      <c r="O5" s="73" t="s">
        <v>216</v>
      </c>
      <c r="P5" s="62" t="s">
        <v>217</v>
      </c>
      <c r="AC5" s="79" t="s">
        <v>234</v>
      </c>
      <c r="AD5" s="83" t="s">
        <v>235</v>
      </c>
      <c r="AJ5" s="72" t="s">
        <v>236</v>
      </c>
      <c r="AM5" t="s">
        <v>237</v>
      </c>
      <c r="AN5" s="16">
        <f>AN4/AN2</f>
        <v>2</v>
      </c>
      <c r="AO5" s="16">
        <f>AO4/AO2</f>
        <v>3.6666666666666665</v>
      </c>
      <c r="AP5" s="16">
        <f>AP4/AP2</f>
        <v>2.3333333333333335</v>
      </c>
      <c r="AS5" s="8"/>
      <c r="AT5" t="s">
        <v>240</v>
      </c>
      <c r="AU5" s="8"/>
      <c r="AV5" t="s">
        <v>240</v>
      </c>
      <c r="AW5" s="8"/>
      <c r="AX5" t="s">
        <v>240</v>
      </c>
      <c r="AY5" s="8"/>
      <c r="AZ5" t="s">
        <v>240</v>
      </c>
      <c r="BB5" s="8"/>
      <c r="BC5" t="s">
        <v>175</v>
      </c>
      <c r="BD5" s="8"/>
      <c r="BE5" t="s">
        <v>175</v>
      </c>
      <c r="BJ5" t="s">
        <v>277</v>
      </c>
      <c r="BK5" s="94">
        <f>AVERAGE(AN47:AN52,AN82:AN85)</f>
        <v>3.9096393343499507</v>
      </c>
      <c r="BL5" s="94">
        <f t="shared" ref="BL5:BN5" si="4">AVERAGE(AO47:AO52,AO82:AO85)</f>
        <v>4.2336050072226001</v>
      </c>
      <c r="BM5" s="94">
        <f t="shared" si="4"/>
        <v>31.277114674799606</v>
      </c>
      <c r="BN5" s="94">
        <f t="shared" si="4"/>
        <v>33.868840057780801</v>
      </c>
      <c r="BQ5" t="s">
        <v>278</v>
      </c>
      <c r="BR5" s="94">
        <f>AVERAGE(AN39:AN44)</f>
        <v>3.9182529728495865</v>
      </c>
      <c r="BS5" s="94">
        <f t="shared" ref="BS5:BU5" si="5">AVERAGE(AO39:AO44)</f>
        <v>4.3518336984302008</v>
      </c>
      <c r="BT5" s="94">
        <f t="shared" si="5"/>
        <v>31.346023782796692</v>
      </c>
      <c r="BU5" s="94">
        <f t="shared" si="5"/>
        <v>34.814669587441607</v>
      </c>
    </row>
    <row r="6" spans="1:73" x14ac:dyDescent="0.25">
      <c r="A6" s="5" t="s">
        <v>11</v>
      </c>
      <c r="B6" s="6" t="s">
        <v>12</v>
      </c>
      <c r="C6" s="7" t="s">
        <v>16</v>
      </c>
      <c r="D6" s="6" t="s">
        <v>17</v>
      </c>
      <c r="E6" s="7" t="s">
        <v>18</v>
      </c>
      <c r="F6" s="6" t="s">
        <v>19</v>
      </c>
      <c r="G6" s="7" t="s">
        <v>14</v>
      </c>
      <c r="H6" s="6" t="s">
        <v>15</v>
      </c>
      <c r="I6" s="23" t="s">
        <v>211</v>
      </c>
      <c r="L6" s="25">
        <v>44388</v>
      </c>
      <c r="M6" t="s">
        <v>218</v>
      </c>
      <c r="N6" t="s">
        <v>148</v>
      </c>
      <c r="O6" s="73" t="s">
        <v>219</v>
      </c>
      <c r="P6" s="74" t="s">
        <v>219</v>
      </c>
      <c r="Q6" t="s">
        <v>149</v>
      </c>
      <c r="R6" t="s">
        <v>150</v>
      </c>
      <c r="S6" t="s">
        <v>151</v>
      </c>
      <c r="AG6" s="84" t="s">
        <v>200</v>
      </c>
      <c r="AH6" t="s">
        <v>182</v>
      </c>
      <c r="AI6" s="8"/>
      <c r="AJ6" s="85" t="s">
        <v>200</v>
      </c>
      <c r="AK6" s="8"/>
      <c r="AL6" t="s">
        <v>238</v>
      </c>
      <c r="AN6" s="16" t="s">
        <v>239</v>
      </c>
      <c r="AS6" s="8"/>
      <c r="AT6" t="s">
        <v>248</v>
      </c>
      <c r="AU6" s="8"/>
      <c r="AV6" t="s">
        <v>248</v>
      </c>
      <c r="AW6" s="8"/>
      <c r="AX6" t="s">
        <v>249</v>
      </c>
      <c r="AY6" s="8"/>
      <c r="AZ6" t="s">
        <v>249</v>
      </c>
      <c r="BA6" s="8"/>
      <c r="BB6" s="8"/>
      <c r="BC6" t="s">
        <v>269</v>
      </c>
      <c r="BD6" s="8"/>
      <c r="BE6" t="s">
        <v>272</v>
      </c>
      <c r="BI6" t="s">
        <v>282</v>
      </c>
      <c r="BJ6" t="s">
        <v>279</v>
      </c>
      <c r="BK6" s="54">
        <f>STDEV(AN47:AN52,AN82:AN85)</f>
        <v>1.8341598279994058</v>
      </c>
      <c r="BL6" s="54">
        <f t="shared" ref="BL6:BN6" si="6">STDEV(AO47:AO52,AO82:AO85)</f>
        <v>1.7168896842903763</v>
      </c>
      <c r="BM6" s="54">
        <f t="shared" si="6"/>
        <v>14.673278623995246</v>
      </c>
      <c r="BN6" s="54">
        <f t="shared" si="6"/>
        <v>13.73511747432301</v>
      </c>
      <c r="BQ6" t="s">
        <v>291</v>
      </c>
      <c r="BR6" s="54">
        <f>STDEV(AN39:AN44)</f>
        <v>1.6523471029332568</v>
      </c>
      <c r="BS6" s="54">
        <f t="shared" ref="BS6:BU6" si="7">STDEV(AO39:AO44)</f>
        <v>1.6618757227132299</v>
      </c>
      <c r="BT6" s="54">
        <f t="shared" si="7"/>
        <v>13.218776823466055</v>
      </c>
      <c r="BU6" s="54">
        <f t="shared" si="7"/>
        <v>13.295005781705839</v>
      </c>
    </row>
    <row r="7" spans="1:73" x14ac:dyDescent="0.25">
      <c r="A7">
        <v>1</v>
      </c>
      <c r="B7" s="4" t="s">
        <v>27</v>
      </c>
      <c r="C7" s="14">
        <v>0</v>
      </c>
      <c r="D7" s="4">
        <v>58071</v>
      </c>
      <c r="E7" s="14">
        <v>0</v>
      </c>
      <c r="F7" s="4">
        <v>0</v>
      </c>
      <c r="G7">
        <v>138407</v>
      </c>
      <c r="H7" s="64">
        <v>142133</v>
      </c>
      <c r="I7" t="e">
        <f>D7/F7</f>
        <v>#DIV/0!</v>
      </c>
      <c r="L7" t="s">
        <v>11</v>
      </c>
      <c r="N7" s="6" t="s">
        <v>17</v>
      </c>
      <c r="O7" s="6" t="s">
        <v>17</v>
      </c>
      <c r="P7" s="6" t="s">
        <v>17</v>
      </c>
      <c r="Q7" t="s">
        <v>152</v>
      </c>
      <c r="R7" t="s">
        <v>153</v>
      </c>
      <c r="S7" t="s">
        <v>152</v>
      </c>
      <c r="AE7" s="8" t="s">
        <v>215</v>
      </c>
      <c r="AF7" s="86" t="s">
        <v>213</v>
      </c>
      <c r="AG7" s="65" t="s">
        <v>241</v>
      </c>
      <c r="AH7" t="s">
        <v>242</v>
      </c>
      <c r="AI7" s="8"/>
      <c r="AJ7" s="87" t="s">
        <v>243</v>
      </c>
      <c r="AK7" s="8"/>
      <c r="AL7" t="s">
        <v>244</v>
      </c>
      <c r="AN7" t="s">
        <v>245</v>
      </c>
      <c r="AP7" t="s">
        <v>246</v>
      </c>
      <c r="AR7" t="s">
        <v>247</v>
      </c>
      <c r="AS7" s="8"/>
      <c r="AT7" t="s">
        <v>259</v>
      </c>
      <c r="AU7" s="8"/>
      <c r="AV7" s="13" t="s">
        <v>260</v>
      </c>
      <c r="AW7" s="8"/>
      <c r="AX7" t="s">
        <v>259</v>
      </c>
      <c r="AY7" s="8"/>
      <c r="AZ7" s="8" t="s">
        <v>260</v>
      </c>
      <c r="BB7" s="8"/>
      <c r="BC7" s="13" t="s">
        <v>270</v>
      </c>
      <c r="BD7" s="8" t="s">
        <v>271</v>
      </c>
      <c r="BE7" s="13" t="s">
        <v>270</v>
      </c>
      <c r="BF7" s="13" t="s">
        <v>271</v>
      </c>
      <c r="BK7" s="54"/>
      <c r="BL7" s="54"/>
      <c r="BM7" s="54"/>
      <c r="BN7" s="54"/>
      <c r="BP7" t="s">
        <v>277</v>
      </c>
      <c r="BQ7" t="s">
        <v>282</v>
      </c>
      <c r="BR7" s="94">
        <f>AVERAGE(AN82:AN85)</f>
        <v>5.8488010801704036</v>
      </c>
      <c r="BS7" s="94">
        <f t="shared" ref="BS7:BU7" si="8">AVERAGE(AO82:AO85)</f>
        <v>6.019601281561016</v>
      </c>
      <c r="BT7" s="94">
        <f t="shared" si="8"/>
        <v>46.790408641363229</v>
      </c>
      <c r="BU7" s="94">
        <f t="shared" si="8"/>
        <v>48.156810252488128</v>
      </c>
    </row>
    <row r="8" spans="1:73" x14ac:dyDescent="0.25">
      <c r="A8">
        <v>2</v>
      </c>
      <c r="B8" s="8" t="s">
        <v>28</v>
      </c>
      <c r="C8">
        <v>0</v>
      </c>
      <c r="D8" s="8">
        <v>50070</v>
      </c>
      <c r="E8" s="14">
        <v>0</v>
      </c>
      <c r="F8" s="8">
        <v>0</v>
      </c>
      <c r="G8">
        <v>377181</v>
      </c>
      <c r="H8" s="65">
        <v>377181</v>
      </c>
      <c r="I8" t="e">
        <f t="shared" ref="I8:I32" si="9">D8/F8</f>
        <v>#DIV/0!</v>
      </c>
      <c r="L8">
        <v>1</v>
      </c>
      <c r="M8" s="4" t="s">
        <v>27</v>
      </c>
      <c r="N8" s="4">
        <v>58071</v>
      </c>
      <c r="O8">
        <f>IF(N8&lt;=0,0,N8*((-8080.957*0+439063.922)/(-8080.957*L8+439063.922)))</f>
        <v>59159.83480799989</v>
      </c>
      <c r="P8">
        <f>IF(AVERAGE($O$8:$O$9,$O$15:$O$16)&gt;0,IF(O8-AVERAGE($O$8:$O$9,$O$15:$O$16)&lt;=0,0,O8-AVERAGE($O$8:$O$9,$O$15:$O$16)),O8)</f>
        <v>0</v>
      </c>
      <c r="Q8">
        <v>0</v>
      </c>
      <c r="R8">
        <f>Q8*5</f>
        <v>0</v>
      </c>
      <c r="S8">
        <f>Q8*5</f>
        <v>0</v>
      </c>
      <c r="AC8" s="25">
        <v>44388</v>
      </c>
      <c r="AD8" s="24" t="s">
        <v>155</v>
      </c>
      <c r="AE8" s="8" t="s">
        <v>148</v>
      </c>
      <c r="AF8" s="8" t="s">
        <v>148</v>
      </c>
      <c r="AG8" s="8" t="s">
        <v>148</v>
      </c>
      <c r="AH8" t="s">
        <v>250</v>
      </c>
      <c r="AI8" s="8" t="s">
        <v>251</v>
      </c>
      <c r="AJ8" t="s">
        <v>248</v>
      </c>
      <c r="AK8" s="8" t="s">
        <v>249</v>
      </c>
      <c r="AL8" t="s">
        <v>248</v>
      </c>
      <c r="AM8" s="8" t="s">
        <v>249</v>
      </c>
      <c r="AN8" t="s">
        <v>248</v>
      </c>
      <c r="AO8" s="8" t="s">
        <v>249</v>
      </c>
      <c r="AP8" t="s">
        <v>248</v>
      </c>
      <c r="AQ8" s="8" t="s">
        <v>249</v>
      </c>
      <c r="AR8" t="s">
        <v>252</v>
      </c>
      <c r="AS8" s="8"/>
      <c r="AT8" t="s">
        <v>262</v>
      </c>
      <c r="AU8" s="8" t="s">
        <v>253</v>
      </c>
      <c r="AV8" s="8" t="s">
        <v>254</v>
      </c>
      <c r="AW8" s="8" t="s">
        <v>253</v>
      </c>
      <c r="AX8" s="8" t="s">
        <v>254</v>
      </c>
      <c r="AY8" s="8" t="s">
        <v>253</v>
      </c>
      <c r="AZ8" s="8" t="s">
        <v>254</v>
      </c>
      <c r="BA8" s="8" t="s">
        <v>253</v>
      </c>
      <c r="BB8" s="8"/>
      <c r="BC8" s="14" t="s">
        <v>253</v>
      </c>
      <c r="BD8" s="10" t="s">
        <v>253</v>
      </c>
      <c r="BE8" s="14" t="s">
        <v>253</v>
      </c>
      <c r="BF8" s="14" t="s">
        <v>253</v>
      </c>
      <c r="BI8" t="s">
        <v>170</v>
      </c>
      <c r="BJ8" t="s">
        <v>276</v>
      </c>
      <c r="BK8" s="94">
        <f>AVERAGE(AN65:AN68)</f>
        <v>2.8290684380540938</v>
      </c>
      <c r="BL8" s="94">
        <f t="shared" ref="BL8:BN8" si="10">AVERAGE(AO65:AO68)</f>
        <v>2.833732939217311</v>
      </c>
      <c r="BM8" s="94">
        <f t="shared" si="10"/>
        <v>16.974410628324566</v>
      </c>
      <c r="BN8" s="94">
        <f t="shared" si="10"/>
        <v>17.002397635303865</v>
      </c>
      <c r="BQ8" t="s">
        <v>293</v>
      </c>
      <c r="BR8" s="99">
        <f>STDEV(AN82:AN85)</f>
        <v>0.44391726486677013</v>
      </c>
      <c r="BS8" s="99">
        <f t="shared" ref="BS8:BU8" si="11">STDEV(AO82:AO85)</f>
        <v>0.44484633242010946</v>
      </c>
      <c r="BT8" s="99">
        <f t="shared" si="11"/>
        <v>3.5513381189341611</v>
      </c>
      <c r="BU8" s="99">
        <f t="shared" si="11"/>
        <v>3.5587706593608757</v>
      </c>
    </row>
    <row r="9" spans="1:73" x14ac:dyDescent="0.25">
      <c r="A9">
        <v>3</v>
      </c>
      <c r="B9" s="8" t="s">
        <v>29</v>
      </c>
      <c r="C9">
        <v>143771</v>
      </c>
      <c r="D9" s="8">
        <v>144925</v>
      </c>
      <c r="E9">
        <v>0</v>
      </c>
      <c r="F9" s="8">
        <v>23711</v>
      </c>
      <c r="G9">
        <v>114061</v>
      </c>
      <c r="H9" s="8">
        <v>116140</v>
      </c>
      <c r="I9">
        <f t="shared" si="9"/>
        <v>6.1121420437771494</v>
      </c>
      <c r="L9">
        <v>2</v>
      </c>
      <c r="M9" s="8" t="s">
        <v>28</v>
      </c>
      <c r="N9" s="8">
        <v>50070</v>
      </c>
      <c r="O9">
        <f t="shared" ref="O9:O17" si="12">IF(N9&lt;=0,0,N9*((-8080.957*0+439063.922)/(-8080.957*L9+439063.922)))</f>
        <v>51983.509556994111</v>
      </c>
      <c r="P9">
        <f t="shared" ref="P9:P17" si="13">IF(AVERAGE($O$8:$O$9,$O$15:$O$16)&gt;0,IF(O9-AVERAGE($O$8:$O$9,$O$15:$O$16)&lt;=0,0,O9-AVERAGE($O$8:$O$9,$O$15:$O$16)),O9)</f>
        <v>0</v>
      </c>
      <c r="Q9">
        <v>0</v>
      </c>
      <c r="R9">
        <f t="shared" ref="R9:R60" si="14">Q9*5</f>
        <v>0</v>
      </c>
      <c r="S9">
        <f t="shared" ref="S9:S60" si="15">Q9*5</f>
        <v>0</v>
      </c>
      <c r="AC9" t="s">
        <v>11</v>
      </c>
      <c r="AD9" s="7" t="s">
        <v>154</v>
      </c>
      <c r="AE9" s="6" t="s">
        <v>17</v>
      </c>
      <c r="AF9" s="6" t="s">
        <v>17</v>
      </c>
      <c r="AG9" s="6" t="s">
        <v>17</v>
      </c>
      <c r="AH9" s="7" t="s">
        <v>255</v>
      </c>
      <c r="AI9" s="6" t="s">
        <v>255</v>
      </c>
      <c r="AJ9" s="5"/>
      <c r="AK9" s="6"/>
      <c r="AL9" s="5" t="s">
        <v>152</v>
      </c>
      <c r="AM9" s="6" t="s">
        <v>152</v>
      </c>
      <c r="AN9" s="5" t="s">
        <v>152</v>
      </c>
      <c r="AO9" s="6" t="s">
        <v>152</v>
      </c>
      <c r="AP9" s="6" t="s">
        <v>256</v>
      </c>
      <c r="AQ9" s="6" t="s">
        <v>256</v>
      </c>
      <c r="AR9" s="5" t="s">
        <v>152</v>
      </c>
      <c r="AS9" s="6" t="s">
        <v>256</v>
      </c>
      <c r="AT9" s="6" t="s">
        <v>152</v>
      </c>
      <c r="AU9" s="23" t="s">
        <v>256</v>
      </c>
      <c r="AV9" s="6" t="s">
        <v>152</v>
      </c>
      <c r="AW9" s="23" t="s">
        <v>256</v>
      </c>
      <c r="AX9" s="6" t="s">
        <v>152</v>
      </c>
      <c r="AY9" s="23" t="s">
        <v>256</v>
      </c>
      <c r="AZ9" s="6" t="s">
        <v>152</v>
      </c>
      <c r="BA9" s="23" t="s">
        <v>256</v>
      </c>
      <c r="BB9" s="63"/>
      <c r="BC9" s="12" t="s">
        <v>256</v>
      </c>
      <c r="BD9" s="104" t="s">
        <v>256</v>
      </c>
      <c r="BE9" s="12" t="s">
        <v>256</v>
      </c>
      <c r="BF9" s="103" t="s">
        <v>256</v>
      </c>
      <c r="BJ9" t="s">
        <v>284</v>
      </c>
      <c r="BK9" s="54">
        <f>STDEV(AN65:AN68)</f>
        <v>1.8962930994539713</v>
      </c>
      <c r="BL9" s="54">
        <f t="shared" ref="BL9:BN9" si="16">STDEV(AO65:AO68)</f>
        <v>1.8994196626891426</v>
      </c>
      <c r="BM9" s="54">
        <f t="shared" si="16"/>
        <v>11.377758596723824</v>
      </c>
      <c r="BN9" s="54">
        <f t="shared" si="16"/>
        <v>11.396517976134856</v>
      </c>
      <c r="BQ9" t="s">
        <v>279</v>
      </c>
      <c r="BR9" s="94">
        <f>AVERAGE(AN47:AN52)</f>
        <v>2.6168648371363168</v>
      </c>
      <c r="BS9" s="94">
        <f t="shared" ref="BS9:BU9" si="17">AVERAGE(AO47:AO52)</f>
        <v>3.0429408243303233</v>
      </c>
      <c r="BT9" s="94">
        <f t="shared" si="17"/>
        <v>20.934918697090534</v>
      </c>
      <c r="BU9" s="94">
        <f t="shared" si="17"/>
        <v>24.343526594642587</v>
      </c>
    </row>
    <row r="10" spans="1:73" x14ac:dyDescent="0.25">
      <c r="A10">
        <v>4</v>
      </c>
      <c r="B10" s="8" t="s">
        <v>30</v>
      </c>
      <c r="C10">
        <v>168486</v>
      </c>
      <c r="D10" s="8">
        <v>169101</v>
      </c>
      <c r="E10">
        <v>0</v>
      </c>
      <c r="F10" s="8">
        <v>25699</v>
      </c>
      <c r="G10">
        <v>221562</v>
      </c>
      <c r="H10" s="8">
        <v>221562</v>
      </c>
      <c r="I10">
        <f t="shared" si="9"/>
        <v>6.5800614809914784</v>
      </c>
      <c r="L10">
        <v>3</v>
      </c>
      <c r="M10" s="8" t="s">
        <v>29</v>
      </c>
      <c r="N10" s="8">
        <v>144925</v>
      </c>
      <c r="O10">
        <f t="shared" si="12"/>
        <v>153394.67161190428</v>
      </c>
      <c r="P10">
        <f t="shared" si="13"/>
        <v>48004.979737832939</v>
      </c>
      <c r="Q10">
        <v>0.05</v>
      </c>
      <c r="R10">
        <f t="shared" si="14"/>
        <v>0.25</v>
      </c>
      <c r="S10">
        <f t="shared" si="15"/>
        <v>0.25</v>
      </c>
      <c r="AC10">
        <v>1</v>
      </c>
      <c r="AD10" s="4" t="s">
        <v>27</v>
      </c>
      <c r="AE10" s="4">
        <v>58071</v>
      </c>
      <c r="AF10" s="4">
        <f>IF(AE10&lt;=0,0,AE10*((-8080.957*0+439063.922)/(-8080.957*AC10+439063.922)))</f>
        <v>59159.83480799989</v>
      </c>
      <c r="AG10" s="8">
        <f>IF(AVERAGE($AF$10:$AF$12,$AF$23)&gt;0,IF(AF10-AVERAGE($AF$10:$AF$12,$AF$23)&lt;=0,0,AF10-AVERAGE($AF$10:$AF$12,$AF$23)),AF10)</f>
        <v>0</v>
      </c>
      <c r="AH10">
        <f>IF(AG10&lt;=0,0,(AG10-10643.077)/596331.937)</f>
        <v>0</v>
      </c>
      <c r="AI10" s="8">
        <f>IF(AG10&lt;=0,0,(AG10+78331.482)/591750.97)</f>
        <v>0</v>
      </c>
      <c r="AK10" s="4"/>
      <c r="AL10" s="26">
        <f t="shared" ref="AL10:AL29" si="18">IF(AJ10&lt;=0,0,AJ10)</f>
        <v>0</v>
      </c>
      <c r="AM10" s="4">
        <f t="shared" ref="AM10:AM29" si="19">IF(AK10&lt;=0,0,AK10)</f>
        <v>0</v>
      </c>
      <c r="AO10" s="8"/>
      <c r="AQ10" s="4"/>
      <c r="AR10">
        <v>0</v>
      </c>
      <c r="AS10" s="8">
        <f t="shared" ref="AS10:AS12" si="20">AR10*$AN$2</f>
        <v>0</v>
      </c>
      <c r="AU10" s="8"/>
      <c r="AW10" s="8"/>
      <c r="AY10" s="8"/>
      <c r="BB10" s="8"/>
      <c r="BC10" s="13"/>
      <c r="BD10" s="105"/>
      <c r="BE10" s="13"/>
      <c r="BJ10" t="s">
        <v>277</v>
      </c>
      <c r="BK10" s="94">
        <f>AVERAGE(AN72:AN75)</f>
        <v>0.93890810213321896</v>
      </c>
      <c r="BL10" s="94">
        <f t="shared" ref="BL10:BN10" si="21">AVERAGE(AO72:AO75)</f>
        <v>1.1130553914976513</v>
      </c>
      <c r="BM10" s="94">
        <f t="shared" si="21"/>
        <v>5.633448612799314</v>
      </c>
      <c r="BN10" s="94">
        <f t="shared" si="21"/>
        <v>6.6783323489859079</v>
      </c>
      <c r="BQ10" t="s">
        <v>291</v>
      </c>
      <c r="BR10" s="54">
        <f>STDEV(AN47:AN52)</f>
        <v>0.96094790160459054</v>
      </c>
      <c r="BS10" s="54">
        <f t="shared" ref="BS10:BU10" si="22">STDEV(AO47:AO52)</f>
        <v>0.96648941716539583</v>
      </c>
      <c r="BT10" s="54">
        <f t="shared" si="22"/>
        <v>7.6875832128367243</v>
      </c>
      <c r="BU10" s="54">
        <f t="shared" si="22"/>
        <v>7.7319153373231666</v>
      </c>
    </row>
    <row r="11" spans="1:73" x14ac:dyDescent="0.25">
      <c r="A11">
        <v>5</v>
      </c>
      <c r="B11" s="8" t="s">
        <v>31</v>
      </c>
      <c r="C11">
        <v>1072490</v>
      </c>
      <c r="D11" s="8">
        <v>1072490</v>
      </c>
      <c r="E11">
        <v>161703</v>
      </c>
      <c r="F11" s="8">
        <v>161703</v>
      </c>
      <c r="G11">
        <v>209211</v>
      </c>
      <c r="H11" s="8">
        <v>214182</v>
      </c>
      <c r="I11">
        <f t="shared" si="9"/>
        <v>6.6324681669480468</v>
      </c>
      <c r="L11">
        <v>4</v>
      </c>
      <c r="M11" s="8" t="s">
        <v>30</v>
      </c>
      <c r="N11" s="8">
        <v>169101</v>
      </c>
      <c r="O11">
        <f t="shared" si="12"/>
        <v>182539.53659685687</v>
      </c>
      <c r="P11">
        <f t="shared" si="13"/>
        <v>77149.844722785521</v>
      </c>
      <c r="Q11">
        <v>0.05</v>
      </c>
      <c r="R11">
        <f t="shared" si="14"/>
        <v>0.25</v>
      </c>
      <c r="S11">
        <f t="shared" si="15"/>
        <v>0.25</v>
      </c>
      <c r="AC11">
        <v>2</v>
      </c>
      <c r="AD11" s="8" t="s">
        <v>28</v>
      </c>
      <c r="AE11" s="8">
        <v>50070</v>
      </c>
      <c r="AF11" s="8">
        <f t="shared" ref="AF11:AF29" si="23">IF(AE11&lt;=0,0,AE11*((-8080.957*0+439063.922)/(-8080.957*AC11+439063.922)))</f>
        <v>51983.509556994111</v>
      </c>
      <c r="AG11" s="8">
        <f t="shared" ref="AG11:AG29" si="24">IF(AVERAGE($AF$10:$AF$12,$AF$23)&gt;0,IF(AF11-AVERAGE($AF$10:$AF$12,$AF$23)&lt;=0,0,AF11-AVERAGE($AF$10:$AF$12,$AF$23)),AF11)</f>
        <v>0</v>
      </c>
      <c r="AH11">
        <f t="shared" ref="AH11:AH29" si="25">IF(AG11&lt;=0,0,(AG11-10643.077)/596331.937)</f>
        <v>0</v>
      </c>
      <c r="AI11" s="8">
        <f t="shared" ref="AI11:AI29" si="26">IF(AG11&lt;=0,0,(AG11+78331.482)/591750.97)</f>
        <v>0</v>
      </c>
      <c r="AK11" s="8"/>
      <c r="AL11" s="9">
        <f t="shared" si="18"/>
        <v>0</v>
      </c>
      <c r="AM11" s="8">
        <f t="shared" si="19"/>
        <v>0</v>
      </c>
      <c r="AO11" s="8"/>
      <c r="AQ11" s="8"/>
      <c r="AR11">
        <v>0</v>
      </c>
      <c r="AS11" s="8">
        <f t="shared" si="20"/>
        <v>0</v>
      </c>
      <c r="AU11" s="8"/>
      <c r="AW11" s="8"/>
      <c r="AY11" s="8"/>
      <c r="BB11" s="8"/>
      <c r="BC11" s="13"/>
      <c r="BD11" s="105"/>
      <c r="BE11" s="13"/>
      <c r="BJ11" t="s">
        <v>285</v>
      </c>
      <c r="BK11" s="54">
        <f>STDEV(AN72:AN75)</f>
        <v>0.39409722154600368</v>
      </c>
      <c r="BL11" s="54">
        <f t="shared" ref="BL11:BN11" si="27">STDEV(AO72:AO75)</f>
        <v>0.39474699972867217</v>
      </c>
      <c r="BM11" s="54">
        <f t="shared" si="27"/>
        <v>2.3645833292760212</v>
      </c>
      <c r="BN11" s="54">
        <f t="shared" si="27"/>
        <v>2.3684819983720309</v>
      </c>
    </row>
    <row r="12" spans="1:73" x14ac:dyDescent="0.25">
      <c r="A12">
        <v>6</v>
      </c>
      <c r="B12" s="8" t="s">
        <v>32</v>
      </c>
      <c r="C12">
        <v>918453</v>
      </c>
      <c r="D12" s="8">
        <v>918453</v>
      </c>
      <c r="E12">
        <v>137659</v>
      </c>
      <c r="F12" s="8">
        <v>139199</v>
      </c>
      <c r="G12">
        <v>494028</v>
      </c>
      <c r="H12" s="8">
        <v>494028</v>
      </c>
      <c r="I12">
        <f t="shared" si="9"/>
        <v>6.5981292969058689</v>
      </c>
      <c r="L12">
        <v>5</v>
      </c>
      <c r="M12" s="8" t="s">
        <v>31</v>
      </c>
      <c r="N12" s="8">
        <v>1072490</v>
      </c>
      <c r="O12">
        <f t="shared" si="12"/>
        <v>1181188.6948066615</v>
      </c>
      <c r="P12">
        <f t="shared" si="13"/>
        <v>1075799.0029325902</v>
      </c>
      <c r="Q12">
        <v>0.5</v>
      </c>
      <c r="R12">
        <f t="shared" si="14"/>
        <v>2.5</v>
      </c>
      <c r="S12">
        <f t="shared" si="15"/>
        <v>2.5</v>
      </c>
      <c r="AC12">
        <v>8</v>
      </c>
      <c r="AD12" s="8" t="s">
        <v>35</v>
      </c>
      <c r="AE12" s="8">
        <v>108062</v>
      </c>
      <c r="AF12" s="8">
        <f t="shared" si="23"/>
        <v>126720.25723146333</v>
      </c>
      <c r="AG12" s="8">
        <f t="shared" si="24"/>
        <v>21330.565357391984</v>
      </c>
      <c r="AH12">
        <f t="shared" si="25"/>
        <v>1.7922045918181279E-2</v>
      </c>
      <c r="AI12" s="8">
        <f t="shared" si="26"/>
        <v>0.16841889985814809</v>
      </c>
      <c r="AK12" s="8"/>
      <c r="AL12" s="9">
        <f t="shared" si="18"/>
        <v>0</v>
      </c>
      <c r="AM12" s="8">
        <f t="shared" si="19"/>
        <v>0</v>
      </c>
      <c r="AO12" s="8"/>
      <c r="AQ12" s="8"/>
      <c r="AR12">
        <v>0</v>
      </c>
      <c r="AS12" s="8">
        <f t="shared" si="20"/>
        <v>0</v>
      </c>
      <c r="AU12" s="8"/>
      <c r="AW12" s="8"/>
      <c r="AY12" s="8"/>
      <c r="BB12" s="8"/>
      <c r="BC12" s="13"/>
      <c r="BD12" s="105"/>
      <c r="BE12" s="13"/>
      <c r="BK12" s="54"/>
      <c r="BL12" s="54"/>
      <c r="BM12" s="54"/>
      <c r="BN12" s="54"/>
      <c r="BP12" s="72" t="s">
        <v>294</v>
      </c>
    </row>
    <row r="13" spans="1:73" x14ac:dyDescent="0.25">
      <c r="A13">
        <v>7</v>
      </c>
      <c r="B13" s="17" t="s">
        <v>33</v>
      </c>
      <c r="C13" s="16">
        <v>3853856</v>
      </c>
      <c r="D13" s="17">
        <v>3846642</v>
      </c>
      <c r="E13" s="16">
        <v>577740</v>
      </c>
      <c r="F13" s="17">
        <v>578278</v>
      </c>
      <c r="G13" s="16">
        <v>1127402</v>
      </c>
      <c r="H13" s="17">
        <v>1125408</v>
      </c>
      <c r="I13">
        <f t="shared" si="9"/>
        <v>6.6518906131652944</v>
      </c>
      <c r="L13">
        <v>6</v>
      </c>
      <c r="M13" s="8" t="s">
        <v>32</v>
      </c>
      <c r="N13" s="8">
        <v>918453</v>
      </c>
      <c r="O13">
        <f t="shared" si="12"/>
        <v>1032468.2662832469</v>
      </c>
      <c r="P13">
        <f t="shared" si="13"/>
        <v>927078.57440917555</v>
      </c>
      <c r="Q13">
        <v>0.5</v>
      </c>
      <c r="R13">
        <f t="shared" si="14"/>
        <v>2.5</v>
      </c>
      <c r="S13">
        <f t="shared" si="15"/>
        <v>2.5</v>
      </c>
      <c r="AC13" s="13">
        <v>9</v>
      </c>
      <c r="AD13" s="88" t="s">
        <v>36</v>
      </c>
      <c r="AE13" s="88">
        <v>72744</v>
      </c>
      <c r="AF13" s="88">
        <f t="shared" si="23"/>
        <v>87185.879049316543</v>
      </c>
      <c r="AG13" s="88">
        <f t="shared" si="24"/>
        <v>0</v>
      </c>
      <c r="AH13" s="89">
        <f t="shared" si="25"/>
        <v>0</v>
      </c>
      <c r="AI13" s="88">
        <f t="shared" si="26"/>
        <v>0</v>
      </c>
      <c r="AJ13" s="89">
        <f>IF(AVERAGE($AH$13,$AH$36,$AH$38)&gt;0,IF(AH13-MAX($AH$13,$AH$36,$AH$38)&lt;=0,0,AH13-MAX($AH$13,$AH$36,$AH$38)),AH13)</f>
        <v>0</v>
      </c>
      <c r="AK13" s="88">
        <f>IF(AVERAGE($AI$13,$AI$36,$AI$38)&gt;0,IF(AI13-MAX($AI$13,$AI$36,$AI$38)&lt;=0,0,AI13-MAX($AI$13,$AI$36,$AI$38)),AI13)</f>
        <v>0</v>
      </c>
      <c r="AL13" s="92">
        <f t="shared" si="18"/>
        <v>0</v>
      </c>
      <c r="AM13" s="88">
        <f t="shared" si="19"/>
        <v>0</v>
      </c>
      <c r="AN13" s="89">
        <f>AL13*$AN$5</f>
        <v>0</v>
      </c>
      <c r="AO13" s="88">
        <f>AM13*$AN$5</f>
        <v>0</v>
      </c>
      <c r="AP13" s="89">
        <f>AN13*$AN$2</f>
        <v>0</v>
      </c>
      <c r="AQ13" s="88">
        <f>AO13*$AN$2</f>
        <v>0</v>
      </c>
      <c r="AR13" s="89">
        <v>0</v>
      </c>
      <c r="AS13" s="88">
        <f>AR13*$AN$2</f>
        <v>0</v>
      </c>
      <c r="AT13" s="89">
        <f t="shared" ref="AT13:AT29" si="28">$AV$2*AN13</f>
        <v>0</v>
      </c>
      <c r="AU13" s="88">
        <f>AT13*$AS$1</f>
        <v>0</v>
      </c>
      <c r="AV13" s="89">
        <f>$AY$2*(AN13^$AZ$2)</f>
        <v>0</v>
      </c>
      <c r="AW13" s="88">
        <f>AV13*$AS$1</f>
        <v>0</v>
      </c>
      <c r="AX13" s="89">
        <f t="shared" ref="AX13:AX29" si="29">$AV$2*AO13</f>
        <v>0</v>
      </c>
      <c r="AY13" s="88">
        <f>AX13*$AS$1</f>
        <v>0</v>
      </c>
      <c r="AZ13" s="89">
        <f>$AY$2*(AO13^$AZ$2)</f>
        <v>0</v>
      </c>
      <c r="BA13" s="89">
        <f>AZ13*$AS$1</f>
        <v>0</v>
      </c>
      <c r="BB13" s="88"/>
      <c r="BC13" s="102">
        <f>IF(AS13-(AP13+AU13)&lt;0,$BG$1,AS13-(AP13+AU13))</f>
        <v>0</v>
      </c>
      <c r="BD13" s="106">
        <f>IF(AS13-(AP13+AW13)&lt;0,$BG$1,AS13-(AP13+AW13))</f>
        <v>0</v>
      </c>
      <c r="BE13" s="102">
        <f>IF(AS13-(AQ13+AY13)&lt;0,$BG$1,AS13-(AQ13+AY13))</f>
        <v>0</v>
      </c>
      <c r="BF13" s="102">
        <f>IF(AS13-(AQ13+BA13)&lt;0,$BG$1,AS13-(AQ13+BA13))</f>
        <v>0</v>
      </c>
      <c r="BI13" t="s">
        <v>170</v>
      </c>
      <c r="BJ13" t="s">
        <v>276</v>
      </c>
      <c r="BK13" s="94">
        <f>AVERAGE(AN88:AN91)</f>
        <v>4.3406103967854328</v>
      </c>
      <c r="BL13" s="94">
        <f t="shared" ref="BL13:BN13" si="30">AVERAGE(AO88:AO91)</f>
        <v>4.5346806853697368</v>
      </c>
      <c r="BM13" s="94">
        <f t="shared" si="30"/>
        <v>26.043662380712604</v>
      </c>
      <c r="BN13" s="94">
        <f t="shared" si="30"/>
        <v>27.208084112218422</v>
      </c>
      <c r="BP13" s="25">
        <v>44419</v>
      </c>
      <c r="BQ13" t="s">
        <v>283</v>
      </c>
      <c r="BR13" t="s">
        <v>290</v>
      </c>
      <c r="BT13" t="s">
        <v>246</v>
      </c>
    </row>
    <row r="14" spans="1:73" x14ac:dyDescent="0.25">
      <c r="A14">
        <v>8</v>
      </c>
      <c r="B14" s="8" t="s">
        <v>35</v>
      </c>
      <c r="C14">
        <v>0</v>
      </c>
      <c r="D14" s="8">
        <v>108062</v>
      </c>
      <c r="E14">
        <v>0</v>
      </c>
      <c r="F14" s="8">
        <v>16561</v>
      </c>
      <c r="G14">
        <v>445076</v>
      </c>
      <c r="H14" s="65">
        <v>445076</v>
      </c>
      <c r="I14">
        <f t="shared" si="9"/>
        <v>6.5250890646700075</v>
      </c>
      <c r="L14" s="76">
        <v>7</v>
      </c>
      <c r="M14" s="77" t="s">
        <v>33</v>
      </c>
      <c r="N14" s="77">
        <v>3846642</v>
      </c>
      <c r="O14">
        <f t="shared" si="12"/>
        <v>4415513.6860952424</v>
      </c>
      <c r="P14">
        <f t="shared" si="13"/>
        <v>4310123.9942211714</v>
      </c>
      <c r="Q14">
        <v>1</v>
      </c>
      <c r="R14">
        <f t="shared" si="14"/>
        <v>5</v>
      </c>
      <c r="S14">
        <f t="shared" si="15"/>
        <v>5</v>
      </c>
      <c r="AC14" s="13">
        <v>10</v>
      </c>
      <c r="AD14" s="14" t="s">
        <v>40</v>
      </c>
      <c r="AE14" s="8">
        <v>2222263</v>
      </c>
      <c r="AF14" s="8">
        <f t="shared" si="23"/>
        <v>2723527.3013389269</v>
      </c>
      <c r="AG14" s="8">
        <f t="shared" si="24"/>
        <v>2618137.6094648554</v>
      </c>
      <c r="AH14">
        <f t="shared" si="25"/>
        <v>4.3725555696086342</v>
      </c>
      <c r="AI14" s="8">
        <f t="shared" si="26"/>
        <v>4.5567632807849145</v>
      </c>
      <c r="AJ14">
        <f>IF(AVERAGE($AH$13,$AH$36,$AH$38)&gt;0,IF(AH14-MAX($AH$13,$AH$36,$AH$38)&lt;=0,0,AH14-MAX($AH$13,$AH$36,$AH$38)),AH14)</f>
        <v>4.3725555696086342</v>
      </c>
      <c r="AK14" s="8">
        <f t="shared" ref="AK14:AK20" si="31">IF(AVERAGE($AI$13,$AI$36,$AI$38)&gt;0,IF(AI14-MAX($AI$13,$AI$36,$AI$38)&lt;=0,0,AI14-MAX($AI$13,$AI$36,$AI$38)),AI14)</f>
        <v>4.5567632807849145</v>
      </c>
      <c r="AL14" s="9">
        <f t="shared" si="18"/>
        <v>4.3725555696086342</v>
      </c>
      <c r="AM14" s="8">
        <f t="shared" si="19"/>
        <v>4.5567632807849145</v>
      </c>
      <c r="AN14">
        <f t="shared" ref="AN14:AN28" si="32">AL14*$AN$5</f>
        <v>8.7451111392172685</v>
      </c>
      <c r="AO14" s="8">
        <f t="shared" ref="AO14:AO28" si="33">AM14*$AN$5</f>
        <v>9.1135265615698291</v>
      </c>
      <c r="AP14">
        <f t="shared" ref="AP14:AP20" si="34">AN14*$AN$2</f>
        <v>69.960889113738148</v>
      </c>
      <c r="AQ14" s="8">
        <f t="shared" ref="AQ14:AQ20" si="35">AO14*$AN$2</f>
        <v>72.908212492558633</v>
      </c>
      <c r="AR14">
        <v>12.5</v>
      </c>
      <c r="AS14" s="8">
        <f t="shared" ref="AS14:AS52" si="36">AR14*$AN$2</f>
        <v>100</v>
      </c>
      <c r="AT14">
        <f t="shared" si="28"/>
        <v>4.1579505422522427</v>
      </c>
      <c r="AU14" s="8">
        <f t="shared" ref="AU14:AW75" si="37">AT14*$AS$1</f>
        <v>83.159010845044861</v>
      </c>
      <c r="AV14">
        <f>$AY$2*(AN14^$AZ$2)</f>
        <v>3.5282650280805825</v>
      </c>
      <c r="AW14" s="8">
        <f t="shared" si="37"/>
        <v>70.56530056161165</v>
      </c>
      <c r="AX14">
        <f t="shared" si="29"/>
        <v>4.3331173389639908</v>
      </c>
      <c r="AY14" s="8">
        <f t="shared" ref="AY14" si="38">AX14*$AS$1</f>
        <v>86.662346779279815</v>
      </c>
      <c r="AZ14">
        <f>$AY$2*(AO14^$AZ$2)</f>
        <v>3.6139397149683554</v>
      </c>
      <c r="BA14">
        <f t="shared" ref="BA14" si="39">AZ14*$AS$1</f>
        <v>72.278794299367107</v>
      </c>
      <c r="BB14" s="8"/>
      <c r="BC14" s="97" t="str">
        <f t="shared" ref="BC14:BC75" si="40">IF(AS14-(AP14+AU14)&lt;0,$BG$1,AS14-(AP14+AU14))</f>
        <v>&lt; 0</v>
      </c>
      <c r="BD14" s="107" t="str">
        <f t="shared" ref="BD14:BD75" si="41">IF(AS14-(AP14+AW14)&lt;0,$BG$1,AS14-(AP14+AW14))</f>
        <v>&lt; 0</v>
      </c>
      <c r="BE14" s="97" t="str">
        <f t="shared" ref="BE14:BE75" si="42">IF(AS14-(AQ14+AY14)&lt;0,$BG$1,AS14-(AQ14+AY14))</f>
        <v>&lt; 0</v>
      </c>
      <c r="BF14" s="97" t="str">
        <f t="shared" ref="BF14:BF75" si="43">IF(AS14-(AQ14+BA14)&lt;0,$BG$1,AS14-(AQ14+BA14))</f>
        <v>&lt; 0</v>
      </c>
      <c r="BJ14" t="s">
        <v>286</v>
      </c>
      <c r="BK14" s="54">
        <f>STDEV(AN88:AN91)</f>
        <v>0.52157896924318226</v>
      </c>
      <c r="BL14" s="54">
        <f t="shared" ref="BL14:BN14" si="44">STDEV(AO88:AO91)</f>
        <v>0.52267057377217296</v>
      </c>
      <c r="BM14" s="54">
        <f t="shared" si="44"/>
        <v>3.129473815459042</v>
      </c>
      <c r="BN14" s="54">
        <f t="shared" si="44"/>
        <v>3.1360234426330393</v>
      </c>
      <c r="BP14" t="s">
        <v>169</v>
      </c>
      <c r="BQ14" t="s">
        <v>182</v>
      </c>
      <c r="BR14" t="s">
        <v>288</v>
      </c>
      <c r="BS14" t="s">
        <v>289</v>
      </c>
      <c r="BT14" t="s">
        <v>288</v>
      </c>
      <c r="BU14" t="s">
        <v>289</v>
      </c>
    </row>
    <row r="15" spans="1:73" x14ac:dyDescent="0.25">
      <c r="A15" s="13">
        <v>9</v>
      </c>
      <c r="B15" s="10" t="s">
        <v>36</v>
      </c>
      <c r="C15">
        <v>0</v>
      </c>
      <c r="D15" s="10">
        <v>72744</v>
      </c>
      <c r="E15">
        <v>0</v>
      </c>
      <c r="F15" s="8">
        <v>11448</v>
      </c>
      <c r="G15">
        <v>415553</v>
      </c>
      <c r="H15" s="8">
        <v>415553</v>
      </c>
      <c r="I15">
        <f t="shared" si="9"/>
        <v>6.3542976939203353</v>
      </c>
      <c r="L15">
        <v>8</v>
      </c>
      <c r="M15" s="8" t="s">
        <v>35</v>
      </c>
      <c r="N15" s="8">
        <v>108062</v>
      </c>
      <c r="O15">
        <f t="shared" si="12"/>
        <v>126720.25723146333</v>
      </c>
      <c r="P15">
        <f t="shared" si="13"/>
        <v>21330.565357391984</v>
      </c>
      <c r="Q15">
        <v>0</v>
      </c>
      <c r="R15">
        <f t="shared" si="14"/>
        <v>0</v>
      </c>
      <c r="S15">
        <f t="shared" si="15"/>
        <v>0</v>
      </c>
      <c r="AC15" s="13">
        <v>11</v>
      </c>
      <c r="AD15" s="10" t="s">
        <v>39</v>
      </c>
      <c r="AE15" s="10">
        <v>1434022</v>
      </c>
      <c r="AF15" s="8">
        <f t="shared" si="23"/>
        <v>1798044.4332565127</v>
      </c>
      <c r="AG15" s="8">
        <f t="shared" si="24"/>
        <v>1692654.7413824415</v>
      </c>
      <c r="AH15">
        <f t="shared" si="25"/>
        <v>2.8205963156094409</v>
      </c>
      <c r="AI15" s="8">
        <f t="shared" si="26"/>
        <v>2.9927897260268819</v>
      </c>
      <c r="AJ15">
        <f t="shared" ref="AJ15:AJ20" si="45">IF(AVERAGE($AH$13,$AH$36,$AH$38)&gt;0,IF(AH15-MAX($AH$13,$AH$36,$AH$38)&lt;=0,0,AH15-MAX($AH$13,$AH$36,$AH$38)),AH15)</f>
        <v>2.8205963156094409</v>
      </c>
      <c r="AK15" s="8">
        <f t="shared" si="31"/>
        <v>2.9927897260268819</v>
      </c>
      <c r="AL15" s="9">
        <f t="shared" si="18"/>
        <v>2.8205963156094409</v>
      </c>
      <c r="AM15" s="8">
        <f t="shared" si="19"/>
        <v>2.9927897260268819</v>
      </c>
      <c r="AN15">
        <f t="shared" si="32"/>
        <v>5.6411926312188818</v>
      </c>
      <c r="AO15" s="8">
        <f t="shared" si="33"/>
        <v>5.9855794520537637</v>
      </c>
      <c r="AP15">
        <f t="shared" si="34"/>
        <v>45.129541049751055</v>
      </c>
      <c r="AQ15" s="8">
        <f t="shared" si="35"/>
        <v>47.88463561643011</v>
      </c>
      <c r="AR15">
        <v>12.5</v>
      </c>
      <c r="AS15" s="8">
        <f t="shared" si="36"/>
        <v>100</v>
      </c>
      <c r="AT15">
        <f t="shared" si="28"/>
        <v>2.6821614484393295</v>
      </c>
      <c r="AU15" s="8">
        <f t="shared" si="37"/>
        <v>53.643228968786588</v>
      </c>
      <c r="AV15">
        <f t="shared" ref="AV15:AV52" si="46">$AY$2*(AN15^$AZ$2)</f>
        <v>2.7344002563160679</v>
      </c>
      <c r="AW15" s="8">
        <f t="shared" si="37"/>
        <v>54.688005126321357</v>
      </c>
      <c r="AX15">
        <f t="shared" si="29"/>
        <v>2.8459036062734824</v>
      </c>
      <c r="AY15" s="8">
        <f t="shared" ref="AY15" si="47">AX15*$AS$1</f>
        <v>56.918072125469649</v>
      </c>
      <c r="AZ15">
        <f t="shared" ref="AZ15:AZ52" si="48">$AY$2*(AO15^$AZ$2)</f>
        <v>2.8302518750148624</v>
      </c>
      <c r="BA15">
        <f t="shared" ref="BA15" si="49">AZ15*$AS$1</f>
        <v>56.60503750029725</v>
      </c>
      <c r="BB15" s="8"/>
      <c r="BC15" s="97">
        <f t="shared" si="40"/>
        <v>1.227229981462358</v>
      </c>
      <c r="BD15" s="107">
        <f t="shared" si="41"/>
        <v>0.18245382392758813</v>
      </c>
      <c r="BE15" s="97" t="str">
        <f t="shared" si="42"/>
        <v>&lt; 0</v>
      </c>
      <c r="BF15" s="97" t="str">
        <f t="shared" si="43"/>
        <v>&lt; 0</v>
      </c>
      <c r="BJ15" t="s">
        <v>277</v>
      </c>
      <c r="BK15" s="94">
        <f>AVERAGE(AN95:AN98)</f>
        <v>2.6908328917021622</v>
      </c>
      <c r="BL15" s="94">
        <f t="shared" ref="BL15:BN15" si="50">AVERAGE(AO95:AO98)</f>
        <v>2.8814503865532446</v>
      </c>
      <c r="BM15" s="94">
        <f t="shared" si="50"/>
        <v>16.144997350212975</v>
      </c>
      <c r="BN15" s="94">
        <f t="shared" si="50"/>
        <v>17.288702319319469</v>
      </c>
      <c r="BP15" t="s">
        <v>276</v>
      </c>
      <c r="BQ15" t="s">
        <v>295</v>
      </c>
      <c r="BR15" s="24">
        <f>AVERAGE(AN14:AN20,AN29)</f>
        <v>9.2675786424605757</v>
      </c>
      <c r="BS15" s="24">
        <f t="shared" ref="BS15:BU15" si="51">AVERAGE(AO14:AO20,AO29)</f>
        <v>9.6400386824179538</v>
      </c>
      <c r="BT15" s="24">
        <f t="shared" si="51"/>
        <v>74.140629139684606</v>
      </c>
      <c r="BU15" s="24">
        <f t="shared" si="51"/>
        <v>77.12030945934363</v>
      </c>
    </row>
    <row r="16" spans="1:73" x14ac:dyDescent="0.25">
      <c r="A16" s="13">
        <v>10</v>
      </c>
      <c r="B16" s="14" t="s">
        <v>40</v>
      </c>
      <c r="C16" s="13">
        <v>2232547</v>
      </c>
      <c r="D16" s="8">
        <v>2222263</v>
      </c>
      <c r="E16" s="13">
        <v>329490</v>
      </c>
      <c r="F16" s="8">
        <v>330191</v>
      </c>
      <c r="G16" s="13">
        <v>708801</v>
      </c>
      <c r="H16" s="8">
        <v>706253</v>
      </c>
      <c r="I16">
        <f t="shared" si="9"/>
        <v>6.7302349246345301</v>
      </c>
      <c r="L16">
        <v>19</v>
      </c>
      <c r="M16" s="8" t="s">
        <v>37</v>
      </c>
      <c r="N16" s="11">
        <v>119458</v>
      </c>
      <c r="O16">
        <f t="shared" si="12"/>
        <v>183695.16589982805</v>
      </c>
      <c r="P16">
        <f t="shared" si="13"/>
        <v>78305.474025756703</v>
      </c>
      <c r="Q16">
        <v>0</v>
      </c>
      <c r="R16">
        <f t="shared" si="14"/>
        <v>0</v>
      </c>
      <c r="S16">
        <f t="shared" si="15"/>
        <v>0</v>
      </c>
      <c r="AC16" s="13">
        <v>12</v>
      </c>
      <c r="AD16" s="17" t="s">
        <v>41</v>
      </c>
      <c r="AE16" s="17">
        <v>3379558</v>
      </c>
      <c r="AF16" s="8">
        <f t="shared" si="23"/>
        <v>4337546.888734431</v>
      </c>
      <c r="AG16" s="8">
        <f t="shared" si="24"/>
        <v>4232157.19686036</v>
      </c>
      <c r="AH16">
        <f t="shared" si="25"/>
        <v>7.0791347199980006</v>
      </c>
      <c r="AI16" s="8">
        <f t="shared" si="26"/>
        <v>7.2842950791620336</v>
      </c>
      <c r="AJ16">
        <f t="shared" si="45"/>
        <v>7.0791347199980006</v>
      </c>
      <c r="AK16" s="8">
        <f t="shared" si="31"/>
        <v>7.2842950791620336</v>
      </c>
      <c r="AL16" s="9">
        <f t="shared" si="18"/>
        <v>7.0791347199980006</v>
      </c>
      <c r="AM16" s="8">
        <f t="shared" si="19"/>
        <v>7.2842950791620336</v>
      </c>
      <c r="AN16">
        <f t="shared" si="32"/>
        <v>14.158269439996001</v>
      </c>
      <c r="AO16" s="8">
        <f t="shared" si="33"/>
        <v>14.568590158324067</v>
      </c>
      <c r="AP16">
        <f t="shared" si="34"/>
        <v>113.26615551996801</v>
      </c>
      <c r="AQ16" s="8">
        <f t="shared" si="35"/>
        <v>116.54872126659254</v>
      </c>
      <c r="AR16">
        <v>12.5</v>
      </c>
      <c r="AS16" s="8">
        <f t="shared" si="36"/>
        <v>100</v>
      </c>
      <c r="AT16">
        <f t="shared" si="28"/>
        <v>6.731690787940499</v>
      </c>
      <c r="AU16" s="8">
        <f t="shared" si="37"/>
        <v>134.63381575880999</v>
      </c>
      <c r="AV16">
        <f t="shared" si="46"/>
        <v>4.6689619512752678</v>
      </c>
      <c r="AW16" s="8">
        <f t="shared" si="37"/>
        <v>93.379239025505356</v>
      </c>
      <c r="AX16">
        <f t="shared" si="29"/>
        <v>6.9267818766767606</v>
      </c>
      <c r="AY16" s="8">
        <f t="shared" ref="AY16" si="52">AX16*$AS$1</f>
        <v>138.53563753353521</v>
      </c>
      <c r="AZ16">
        <f t="shared" si="48"/>
        <v>4.7471638078204075</v>
      </c>
      <c r="BA16">
        <f t="shared" ref="BA16" si="53">AZ16*$AS$1</f>
        <v>94.943276156408146</v>
      </c>
      <c r="BB16" s="8"/>
      <c r="BC16" s="97" t="str">
        <f t="shared" si="40"/>
        <v>&lt; 0</v>
      </c>
      <c r="BD16" s="107" t="str">
        <f t="shared" si="41"/>
        <v>&lt; 0</v>
      </c>
      <c r="BE16" s="97" t="str">
        <f t="shared" si="42"/>
        <v>&lt; 0</v>
      </c>
      <c r="BF16" s="97" t="str">
        <f t="shared" si="43"/>
        <v>&lt; 0</v>
      </c>
      <c r="BJ16" t="s">
        <v>287</v>
      </c>
      <c r="BK16" s="54">
        <f>STDEV(AN95:AN98)</f>
        <v>0.36749085206656495</v>
      </c>
      <c r="BL16" s="54">
        <f t="shared" ref="BL16:BN16" si="54">STDEV(AO95:AO98)</f>
        <v>0.3682599679668187</v>
      </c>
      <c r="BM16" s="54">
        <f t="shared" si="54"/>
        <v>2.2049451123993702</v>
      </c>
      <c r="BN16" s="54">
        <f t="shared" si="54"/>
        <v>2.2095598078008907</v>
      </c>
      <c r="BR16">
        <f>STDEV(AN14:AN20,AN29)</f>
        <v>2.8421619506334146</v>
      </c>
      <c r="BS16">
        <f t="shared" ref="BS16:BU16" si="55">STDEV(AO14:AO20,AO29)</f>
        <v>2.8641641961126347</v>
      </c>
      <c r="BT16">
        <f t="shared" si="55"/>
        <v>22.737295605067317</v>
      </c>
      <c r="BU16">
        <f t="shared" si="55"/>
        <v>22.913313568901078</v>
      </c>
    </row>
    <row r="17" spans="1:73" x14ac:dyDescent="0.25">
      <c r="A17" s="13">
        <v>11</v>
      </c>
      <c r="B17" s="10" t="s">
        <v>39</v>
      </c>
      <c r="C17" s="14">
        <v>1437116</v>
      </c>
      <c r="D17" s="10">
        <v>1434022</v>
      </c>
      <c r="E17" s="14">
        <v>214579</v>
      </c>
      <c r="F17" s="10">
        <v>215212</v>
      </c>
      <c r="G17" s="14">
        <v>211477</v>
      </c>
      <c r="H17" s="10">
        <v>213047</v>
      </c>
      <c r="I17">
        <f t="shared" si="9"/>
        <v>6.6632994442689073</v>
      </c>
      <c r="L17">
        <v>25</v>
      </c>
      <c r="M17" s="15" t="s">
        <v>34</v>
      </c>
      <c r="N17" s="18">
        <v>1828086</v>
      </c>
      <c r="O17">
        <f t="shared" si="12"/>
        <v>3386123.0976698506</v>
      </c>
      <c r="P17">
        <f t="shared" si="13"/>
        <v>3280733.4057957791</v>
      </c>
      <c r="Q17">
        <v>1</v>
      </c>
      <c r="R17">
        <f t="shared" si="14"/>
        <v>5</v>
      </c>
      <c r="S17">
        <f t="shared" si="15"/>
        <v>5</v>
      </c>
      <c r="AC17" s="13">
        <v>13</v>
      </c>
      <c r="AD17" s="10" t="s">
        <v>43</v>
      </c>
      <c r="AE17" s="10">
        <v>2461965</v>
      </c>
      <c r="AF17" s="8">
        <f t="shared" si="23"/>
        <v>3236295.9665052053</v>
      </c>
      <c r="AG17" s="8">
        <f t="shared" si="24"/>
        <v>3130906.2746311338</v>
      </c>
      <c r="AH17">
        <f t="shared" si="25"/>
        <v>5.2324267811789751</v>
      </c>
      <c r="AI17" s="8">
        <f t="shared" si="26"/>
        <v>5.4232910790685036</v>
      </c>
      <c r="AJ17">
        <f t="shared" si="45"/>
        <v>5.2324267811789751</v>
      </c>
      <c r="AK17" s="8">
        <f t="shared" si="31"/>
        <v>5.4232910790685036</v>
      </c>
      <c r="AL17" s="9">
        <f t="shared" si="18"/>
        <v>5.2324267811789751</v>
      </c>
      <c r="AM17" s="8">
        <f t="shared" si="19"/>
        <v>5.4232910790685036</v>
      </c>
      <c r="AN17">
        <f t="shared" si="32"/>
        <v>10.46485356235795</v>
      </c>
      <c r="AO17" s="8">
        <f t="shared" si="33"/>
        <v>10.846582158137007</v>
      </c>
      <c r="AP17">
        <f t="shared" si="34"/>
        <v>83.718828498863601</v>
      </c>
      <c r="AQ17" s="8">
        <f>AO17*$AN$2</f>
        <v>86.772657265096058</v>
      </c>
      <c r="AR17">
        <v>12.5</v>
      </c>
      <c r="AS17" s="8">
        <f t="shared" si="36"/>
        <v>100</v>
      </c>
      <c r="AT17">
        <f t="shared" si="28"/>
        <v>4.9756192747587109</v>
      </c>
      <c r="AU17" s="8">
        <f t="shared" si="37"/>
        <v>99.512385495174215</v>
      </c>
      <c r="AV17">
        <f t="shared" si="46"/>
        <v>3.9164559956446694</v>
      </c>
      <c r="AW17" s="8">
        <f t="shared" si="37"/>
        <v>78.32911991289339</v>
      </c>
      <c r="AX17">
        <f t="shared" si="29"/>
        <v>5.1571159529078212</v>
      </c>
      <c r="AY17" s="8">
        <f t="shared" ref="AY17" si="56">AX17*$AS$1</f>
        <v>103.14231905815643</v>
      </c>
      <c r="AZ17">
        <f t="shared" si="48"/>
        <v>3.9988950270881989</v>
      </c>
      <c r="BA17">
        <f t="shared" ref="BA17" si="57">AZ17*$AS$1</f>
        <v>79.977900541763972</v>
      </c>
      <c r="BB17" s="8"/>
      <c r="BC17" s="97" t="str">
        <f t="shared" si="40"/>
        <v>&lt; 0</v>
      </c>
      <c r="BD17" s="107" t="str">
        <f t="shared" si="41"/>
        <v>&lt; 0</v>
      </c>
      <c r="BE17" s="97" t="str">
        <f t="shared" si="42"/>
        <v>&lt; 0</v>
      </c>
      <c r="BF17" s="97" t="str">
        <f t="shared" si="43"/>
        <v>&lt; 0</v>
      </c>
      <c r="BP17" t="s">
        <v>277</v>
      </c>
      <c r="BQ17" t="s">
        <v>296</v>
      </c>
      <c r="BR17" s="24">
        <f>AVERAGE(AN22,AN24:AN28)</f>
        <v>13.899059517587887</v>
      </c>
      <c r="BS17" s="24">
        <f t="shared" ref="BS17:BU17" si="58">AVERAGE(AO22,AO24:AO28)</f>
        <v>14.307373594337278</v>
      </c>
      <c r="BT17" s="24">
        <f t="shared" si="58"/>
        <v>111.19247614070309</v>
      </c>
      <c r="BU17" s="24">
        <f t="shared" si="58"/>
        <v>114.45898875469823</v>
      </c>
    </row>
    <row r="18" spans="1:73" x14ac:dyDescent="0.25">
      <c r="A18" s="13">
        <v>12</v>
      </c>
      <c r="B18" s="17" t="s">
        <v>41</v>
      </c>
      <c r="C18" s="16">
        <v>3379558</v>
      </c>
      <c r="D18" s="17">
        <v>3379558</v>
      </c>
      <c r="E18" s="16">
        <v>509819</v>
      </c>
      <c r="F18" s="17">
        <v>510359</v>
      </c>
      <c r="G18" s="16">
        <v>1130170</v>
      </c>
      <c r="H18" s="17">
        <v>1127167</v>
      </c>
      <c r="I18">
        <f t="shared" si="9"/>
        <v>6.6219229993004927</v>
      </c>
      <c r="AC18" s="13">
        <v>14</v>
      </c>
      <c r="AD18" s="10" t="s">
        <v>44</v>
      </c>
      <c r="AE18" s="10">
        <v>1674150</v>
      </c>
      <c r="AF18" s="8">
        <f t="shared" si="23"/>
        <v>2255262.4283091077</v>
      </c>
      <c r="AG18" s="8">
        <f t="shared" si="24"/>
        <v>2149872.7364350362</v>
      </c>
      <c r="AH18">
        <f t="shared" si="25"/>
        <v>3.5873135861161098</v>
      </c>
      <c r="AI18" s="8">
        <f t="shared" si="26"/>
        <v>3.7654424435249108</v>
      </c>
      <c r="AJ18">
        <f t="shared" si="45"/>
        <v>3.5873135861161098</v>
      </c>
      <c r="AK18" s="8">
        <f t="shared" si="31"/>
        <v>3.7654424435249108</v>
      </c>
      <c r="AL18" s="9">
        <f t="shared" si="18"/>
        <v>3.5873135861161098</v>
      </c>
      <c r="AM18" s="8">
        <f t="shared" si="19"/>
        <v>3.7654424435249108</v>
      </c>
      <c r="AN18">
        <f t="shared" si="32"/>
        <v>7.1746271722322197</v>
      </c>
      <c r="AO18" s="8">
        <f t="shared" si="33"/>
        <v>7.5308848870498215</v>
      </c>
      <c r="AP18">
        <f t="shared" si="34"/>
        <v>57.397017377857757</v>
      </c>
      <c r="AQ18" s="8">
        <f t="shared" si="35"/>
        <v>60.247079096398572</v>
      </c>
      <c r="AR18">
        <v>12.5</v>
      </c>
      <c r="AS18" s="8">
        <f t="shared" si="36"/>
        <v>100</v>
      </c>
      <c r="AT18">
        <f t="shared" si="28"/>
        <v>3.411248235309531</v>
      </c>
      <c r="AU18" s="8">
        <f t="shared" si="37"/>
        <v>68.224964706190619</v>
      </c>
      <c r="AV18">
        <f t="shared" si="46"/>
        <v>3.1446973239111191</v>
      </c>
      <c r="AW18" s="8">
        <f t="shared" si="37"/>
        <v>62.893946478222382</v>
      </c>
      <c r="AX18">
        <f t="shared" si="29"/>
        <v>3.580634528396708</v>
      </c>
      <c r="AY18" s="8">
        <f t="shared" ref="AY18" si="59">AX18*$AS$1</f>
        <v>71.612690567934166</v>
      </c>
      <c r="AZ18">
        <f t="shared" si="48"/>
        <v>3.2345644325150409</v>
      </c>
      <c r="BA18">
        <f t="shared" ref="BA18" si="60">AZ18*$AS$1</f>
        <v>64.69128865030082</v>
      </c>
      <c r="BB18" s="8"/>
      <c r="BC18" s="97" t="str">
        <f t="shared" si="40"/>
        <v>&lt; 0</v>
      </c>
      <c r="BD18" s="107" t="str">
        <f t="shared" si="41"/>
        <v>&lt; 0</v>
      </c>
      <c r="BE18" s="97" t="str">
        <f t="shared" si="42"/>
        <v>&lt; 0</v>
      </c>
      <c r="BF18" s="97" t="str">
        <f t="shared" si="43"/>
        <v>&lt; 0</v>
      </c>
      <c r="BR18">
        <f>STDEV(AN22,AN24:AN28)</f>
        <v>2.9637720478009406</v>
      </c>
      <c r="BS18">
        <f t="shared" ref="BS18:BU18" si="61">STDEV(AO22,AO24:AO28)</f>
        <v>2.9867157228176513</v>
      </c>
      <c r="BT18">
        <f t="shared" si="61"/>
        <v>23.710176382407525</v>
      </c>
      <c r="BU18">
        <f t="shared" si="61"/>
        <v>23.89372578254121</v>
      </c>
    </row>
    <row r="19" spans="1:73" x14ac:dyDescent="0.25">
      <c r="A19" s="13">
        <v>13</v>
      </c>
      <c r="B19" s="10" t="s">
        <v>43</v>
      </c>
      <c r="C19" s="11">
        <v>2471602</v>
      </c>
      <c r="D19" s="10">
        <v>2461965</v>
      </c>
      <c r="E19" s="11">
        <v>375851</v>
      </c>
      <c r="F19" s="10">
        <v>375851</v>
      </c>
      <c r="G19" s="11">
        <v>173544</v>
      </c>
      <c r="H19" s="10">
        <v>173975</v>
      </c>
      <c r="I19">
        <f t="shared" si="9"/>
        <v>6.550375015631194</v>
      </c>
      <c r="AC19" s="13">
        <v>15</v>
      </c>
      <c r="AD19" s="10" t="s">
        <v>53</v>
      </c>
      <c r="AE19" s="10">
        <v>2485296</v>
      </c>
      <c r="AF19" s="8">
        <f t="shared" si="23"/>
        <v>3433082.5723318099</v>
      </c>
      <c r="AG19" s="8">
        <f t="shared" si="24"/>
        <v>3327692.8804577384</v>
      </c>
      <c r="AH19">
        <f t="shared" si="25"/>
        <v>5.5624218621343742</v>
      </c>
      <c r="AI19" s="8">
        <f t="shared" si="26"/>
        <v>5.7558407761591646</v>
      </c>
      <c r="AJ19">
        <f t="shared" si="45"/>
        <v>5.5624218621343742</v>
      </c>
      <c r="AK19" s="8">
        <f t="shared" si="31"/>
        <v>5.7558407761591646</v>
      </c>
      <c r="AL19" s="9">
        <f t="shared" si="18"/>
        <v>5.5624218621343742</v>
      </c>
      <c r="AM19" s="8">
        <f t="shared" si="19"/>
        <v>5.7558407761591646</v>
      </c>
      <c r="AN19">
        <f t="shared" si="32"/>
        <v>11.124843724268748</v>
      </c>
      <c r="AO19" s="8">
        <f t="shared" si="33"/>
        <v>11.511681552318329</v>
      </c>
      <c r="AP19">
        <f t="shared" si="34"/>
        <v>88.998749794149987</v>
      </c>
      <c r="AQ19" s="8">
        <f t="shared" si="35"/>
        <v>92.093452418546633</v>
      </c>
      <c r="AR19">
        <v>12.5</v>
      </c>
      <c r="AS19" s="8">
        <f t="shared" si="36"/>
        <v>100</v>
      </c>
      <c r="AT19">
        <f t="shared" si="28"/>
        <v>5.2894181971408187</v>
      </c>
      <c r="AU19" s="8">
        <f t="shared" si="37"/>
        <v>105.78836394281637</v>
      </c>
      <c r="AV19">
        <f t="shared" si="46"/>
        <v>4.0582258263103475</v>
      </c>
      <c r="AW19" s="8">
        <f t="shared" si="37"/>
        <v>81.164516526206953</v>
      </c>
      <c r="AX19">
        <f t="shared" si="29"/>
        <v>5.4733441108652725</v>
      </c>
      <c r="AY19" s="8">
        <f t="shared" ref="AY19" si="62">AX19*$AS$1</f>
        <v>109.46688221730545</v>
      </c>
      <c r="AZ19">
        <f t="shared" si="48"/>
        <v>4.1396850601473254</v>
      </c>
      <c r="BA19">
        <f t="shared" ref="BA19" si="63">AZ19*$AS$1</f>
        <v>82.793701202946508</v>
      </c>
      <c r="BB19" s="8"/>
      <c r="BC19" s="97" t="str">
        <f t="shared" si="40"/>
        <v>&lt; 0</v>
      </c>
      <c r="BD19" s="107" t="str">
        <f t="shared" si="41"/>
        <v>&lt; 0</v>
      </c>
      <c r="BE19" s="97" t="str">
        <f t="shared" si="42"/>
        <v>&lt; 0</v>
      </c>
      <c r="BF19" s="97" t="str">
        <f t="shared" si="43"/>
        <v>&lt; 0</v>
      </c>
      <c r="BI19">
        <v>0.49919999999999998</v>
      </c>
      <c r="BJ19">
        <v>7.0110000000000001</v>
      </c>
      <c r="BK19">
        <v>0.78349999999999997</v>
      </c>
    </row>
    <row r="20" spans="1:73" x14ac:dyDescent="0.25">
      <c r="A20" s="13">
        <v>14</v>
      </c>
      <c r="B20" s="10" t="s">
        <v>44</v>
      </c>
      <c r="C20" s="11">
        <v>1677323</v>
      </c>
      <c r="D20" s="10">
        <v>1674150</v>
      </c>
      <c r="E20" s="11">
        <v>81921</v>
      </c>
      <c r="F20" s="10">
        <v>82280</v>
      </c>
      <c r="G20" s="11">
        <v>698378</v>
      </c>
      <c r="H20" s="10">
        <v>698378</v>
      </c>
      <c r="I20">
        <f t="shared" si="9"/>
        <v>20.346985901798735</v>
      </c>
      <c r="L20" s="25">
        <v>44390</v>
      </c>
      <c r="AC20" s="9">
        <v>16</v>
      </c>
      <c r="AD20" s="10" t="s">
        <v>52</v>
      </c>
      <c r="AE20" s="10">
        <v>1418864</v>
      </c>
      <c r="AF20" s="8">
        <f t="shared" si="23"/>
        <v>2011088.1881305147</v>
      </c>
      <c r="AG20" s="8">
        <f t="shared" si="24"/>
        <v>1905698.4962564434</v>
      </c>
      <c r="AH20">
        <f t="shared" si="25"/>
        <v>3.1778533089976753</v>
      </c>
      <c r="AI20" s="8">
        <f t="shared" si="26"/>
        <v>3.3528123802761889</v>
      </c>
      <c r="AJ20">
        <f t="shared" si="45"/>
        <v>3.1778533089976753</v>
      </c>
      <c r="AK20" s="8">
        <f t="shared" si="31"/>
        <v>3.3528123802761889</v>
      </c>
      <c r="AL20" s="9">
        <f t="shared" si="18"/>
        <v>3.1778533089976753</v>
      </c>
      <c r="AM20" s="8">
        <f t="shared" si="19"/>
        <v>3.3528123802761889</v>
      </c>
      <c r="AN20">
        <f t="shared" si="32"/>
        <v>6.3557066179953505</v>
      </c>
      <c r="AO20" s="8">
        <f t="shared" si="33"/>
        <v>6.7056247605523778</v>
      </c>
      <c r="AP20">
        <f t="shared" si="34"/>
        <v>50.845652943962804</v>
      </c>
      <c r="AQ20" s="8">
        <f t="shared" si="35"/>
        <v>53.644998084419022</v>
      </c>
      <c r="AR20">
        <v>12.5</v>
      </c>
      <c r="AS20" s="8">
        <f t="shared" si="36"/>
        <v>100</v>
      </c>
      <c r="AT20">
        <f t="shared" si="28"/>
        <v>3.0218842685920695</v>
      </c>
      <c r="AU20" s="8">
        <f t="shared" si="37"/>
        <v>60.43768537184139</v>
      </c>
      <c r="AV20">
        <f t="shared" si="46"/>
        <v>2.9307280494389421</v>
      </c>
      <c r="AW20" s="8">
        <f t="shared" si="37"/>
        <v>58.614560988778841</v>
      </c>
      <c r="AX20">
        <f t="shared" si="29"/>
        <v>3.1882563486522333</v>
      </c>
      <c r="AY20" s="8">
        <f t="shared" ref="AY20" si="64">AX20*$AS$1</f>
        <v>63.765126973044666</v>
      </c>
      <c r="AZ20">
        <f t="shared" si="48"/>
        <v>3.0234884024080668</v>
      </c>
      <c r="BA20">
        <f t="shared" ref="BA20" si="65">AZ20*$AS$1</f>
        <v>60.469768048161335</v>
      </c>
      <c r="BB20" s="8"/>
      <c r="BC20" s="97" t="str">
        <f t="shared" si="40"/>
        <v>&lt; 0</v>
      </c>
      <c r="BD20" s="107" t="str">
        <f t="shared" si="41"/>
        <v>&lt; 0</v>
      </c>
      <c r="BE20" s="97" t="str">
        <f t="shared" si="42"/>
        <v>&lt; 0</v>
      </c>
      <c r="BF20" s="97" t="str">
        <f t="shared" si="43"/>
        <v>&lt; 0</v>
      </c>
    </row>
    <row r="21" spans="1:73" x14ac:dyDescent="0.25">
      <c r="A21" s="13">
        <v>15</v>
      </c>
      <c r="B21" s="10" t="s">
        <v>53</v>
      </c>
      <c r="C21" s="11">
        <v>2490772</v>
      </c>
      <c r="D21" s="10">
        <v>2485296</v>
      </c>
      <c r="E21" s="11">
        <v>370178</v>
      </c>
      <c r="F21" s="10">
        <v>371397</v>
      </c>
      <c r="G21" s="11">
        <v>704231</v>
      </c>
      <c r="H21" s="10">
        <v>702516</v>
      </c>
      <c r="I21">
        <f t="shared" si="9"/>
        <v>6.6917503372402036</v>
      </c>
      <c r="L21" t="s">
        <v>11</v>
      </c>
      <c r="AC21" s="9">
        <v>17</v>
      </c>
      <c r="AD21" s="88" t="s">
        <v>45</v>
      </c>
      <c r="AE21" s="88">
        <v>55058</v>
      </c>
      <c r="AF21" s="88">
        <f t="shared" si="23"/>
        <v>80129.170607707958</v>
      </c>
      <c r="AG21" s="88">
        <f t="shared" si="24"/>
        <v>0</v>
      </c>
      <c r="AH21" s="89">
        <f t="shared" si="25"/>
        <v>0</v>
      </c>
      <c r="AI21" s="88">
        <f t="shared" si="26"/>
        <v>0</v>
      </c>
      <c r="AJ21" s="89">
        <f>IF(AVERAGE($AH$21,$AH$37,$AH$45)&gt;0,IF(AH21-MAX($AH$21,$AH$37,$AH$45)&lt;=0,0,AH21-MAX($AH$21,$AH$37,$AH$45)),AH21)</f>
        <v>0</v>
      </c>
      <c r="AK21" s="88">
        <f>IF(AVERAGE($AI$21,$AI$37,$AI$45)&gt;0,IF(AI21-MAX($AI$21,$AI$37,$AI$45)&lt;=0,0,AI21-MAX($AI$21,$AI$37,$AI$45)),AI21)</f>
        <v>0</v>
      </c>
      <c r="AL21" s="92">
        <f t="shared" si="18"/>
        <v>0</v>
      </c>
      <c r="AM21" s="88">
        <f t="shared" si="19"/>
        <v>0</v>
      </c>
      <c r="AN21" s="89">
        <f t="shared" si="32"/>
        <v>0</v>
      </c>
      <c r="AO21" s="88">
        <f t="shared" si="33"/>
        <v>0</v>
      </c>
      <c r="AP21" s="89">
        <f>AN21*$AN$2</f>
        <v>0</v>
      </c>
      <c r="AQ21" s="88">
        <f>AO21*$AN$2</f>
        <v>0</v>
      </c>
      <c r="AR21" s="89">
        <v>0</v>
      </c>
      <c r="AS21" s="88">
        <f t="shared" si="36"/>
        <v>0</v>
      </c>
      <c r="AT21" s="89">
        <f t="shared" si="28"/>
        <v>0</v>
      </c>
      <c r="AU21" s="88">
        <f t="shared" si="37"/>
        <v>0</v>
      </c>
      <c r="AV21" s="89">
        <f t="shared" si="46"/>
        <v>0</v>
      </c>
      <c r="AW21" s="88">
        <f t="shared" si="37"/>
        <v>0</v>
      </c>
      <c r="AX21" s="89">
        <f t="shared" si="29"/>
        <v>0</v>
      </c>
      <c r="AY21" s="88">
        <f t="shared" ref="AY21" si="66">AX21*$AS$1</f>
        <v>0</v>
      </c>
      <c r="AZ21" s="89">
        <f t="shared" si="48"/>
        <v>0</v>
      </c>
      <c r="BA21" s="89">
        <f t="shared" ref="BA21" si="67">AZ21*$AS$1</f>
        <v>0</v>
      </c>
      <c r="BB21" s="88"/>
      <c r="BC21" s="102">
        <f t="shared" si="40"/>
        <v>0</v>
      </c>
      <c r="BD21" s="106">
        <f t="shared" si="41"/>
        <v>0</v>
      </c>
      <c r="BE21" s="102">
        <f t="shared" si="42"/>
        <v>0</v>
      </c>
      <c r="BF21" s="102">
        <f t="shared" si="43"/>
        <v>0</v>
      </c>
      <c r="BL21" t="s">
        <v>302</v>
      </c>
    </row>
    <row r="22" spans="1:73" x14ac:dyDescent="0.25">
      <c r="A22" s="9">
        <v>16</v>
      </c>
      <c r="B22" s="10" t="s">
        <v>52</v>
      </c>
      <c r="C22" s="11">
        <v>1428728</v>
      </c>
      <c r="D22" s="10">
        <v>1418864</v>
      </c>
      <c r="E22" s="11">
        <v>211316</v>
      </c>
      <c r="F22" s="10">
        <v>212327</v>
      </c>
      <c r="G22" s="11">
        <v>154556</v>
      </c>
      <c r="H22" s="10">
        <v>161933</v>
      </c>
      <c r="I22">
        <f t="shared" si="9"/>
        <v>6.6824473571425207</v>
      </c>
      <c r="L22" s="13">
        <v>1</v>
      </c>
      <c r="M22" s="13" t="s">
        <v>66</v>
      </c>
      <c r="N22" s="8">
        <v>74437</v>
      </c>
      <c r="O22">
        <f>IF(N22&lt;=0,0,N22*((10640.021*0+45198.58)/(10640.021*L22+45198.58)))</f>
        <v>60253.062204405869</v>
      </c>
      <c r="P22">
        <f>IF(AVERAGE($O$22:$O$23,$O$30,$O$32)&gt;0,IF(O22-AVERAGE($O$22:$O$23,$O$30,$O$32)&lt;=0,0,O22-AVERAGE($O$22:$O$23,$O$30,$O$32)),O22)</f>
        <v>10449.201215062487</v>
      </c>
      <c r="Q22">
        <v>0</v>
      </c>
      <c r="R22">
        <f t="shared" si="14"/>
        <v>0</v>
      </c>
      <c r="S22">
        <f t="shared" si="15"/>
        <v>0</v>
      </c>
      <c r="AC22" s="13">
        <v>18</v>
      </c>
      <c r="AD22" s="10" t="s">
        <v>46</v>
      </c>
      <c r="AE22" s="10">
        <v>2587406</v>
      </c>
      <c r="AF22" s="8">
        <f t="shared" si="23"/>
        <v>3869246.3136683097</v>
      </c>
      <c r="AG22" s="8">
        <f t="shared" si="24"/>
        <v>3763856.6217942382</v>
      </c>
      <c r="AH22">
        <f t="shared" si="25"/>
        <v>6.2938328671037418</v>
      </c>
      <c r="AI22" s="8">
        <f t="shared" si="26"/>
        <v>6.4929139090287222</v>
      </c>
      <c r="AJ22">
        <f t="shared" ref="AJ22:AJ28" si="68">IF(AVERAGE($AH$21,$AH$37,$AH$45)&gt;0,IF(AH22-MAX($AH$21,$AH$37,$AH$45)&lt;=0,0,AH22-MAX($AH$21,$AH$37,$AH$45)),AH22)</f>
        <v>6.2938328671037418</v>
      </c>
      <c r="AK22" s="8">
        <f t="shared" ref="AK22:AK28" si="69">IF(AVERAGE($AI$21,$AI$37,$AI$45)&gt;0,IF(AI22-MAX($AI$21,$AI$37,$AI$45)&lt;=0,0,AI22-MAX($AI$21,$AI$37,$AI$45)),AI22)</f>
        <v>6.4929139090287222</v>
      </c>
      <c r="AL22" s="9">
        <f t="shared" si="18"/>
        <v>6.2938328671037418</v>
      </c>
      <c r="AM22" s="8">
        <f t="shared" si="19"/>
        <v>6.4929139090287222</v>
      </c>
      <c r="AN22">
        <f t="shared" si="32"/>
        <v>12.587665734207484</v>
      </c>
      <c r="AO22" s="8">
        <f t="shared" si="33"/>
        <v>12.985827818057444</v>
      </c>
      <c r="AP22">
        <f t="shared" ref="AP22:AP29" si="70">AN22*$AN$2</f>
        <v>100.70132587365987</v>
      </c>
      <c r="AQ22" s="8">
        <f t="shared" ref="AQ22:AQ29" si="71">AO22*$AN$2</f>
        <v>103.88662254445956</v>
      </c>
      <c r="AR22">
        <v>12.5</v>
      </c>
      <c r="AS22" s="8">
        <f t="shared" si="36"/>
        <v>100</v>
      </c>
      <c r="AT22">
        <f t="shared" si="28"/>
        <v>5.9849315499862898</v>
      </c>
      <c r="AU22" s="8">
        <f t="shared" si="37"/>
        <v>119.69863099972579</v>
      </c>
      <c r="AV22">
        <f t="shared" si="46"/>
        <v>4.3604382351955886</v>
      </c>
      <c r="AW22" s="8">
        <f t="shared" si="37"/>
        <v>87.208764703911768</v>
      </c>
      <c r="AX22">
        <f t="shared" si="29"/>
        <v>6.1742416943735927</v>
      </c>
      <c r="AY22" s="8">
        <f t="shared" ref="AY22" si="72">AX22*$AS$1</f>
        <v>123.48483388747185</v>
      </c>
      <c r="AZ22">
        <f t="shared" si="48"/>
        <v>4.4401078392942193</v>
      </c>
      <c r="BA22">
        <f t="shared" ref="BA22" si="73">AZ22*$AS$1</f>
        <v>88.802156785884392</v>
      </c>
      <c r="BB22" s="8"/>
      <c r="BC22" s="97" t="str">
        <f t="shared" si="40"/>
        <v>&lt; 0</v>
      </c>
      <c r="BD22" s="107" t="str">
        <f t="shared" si="41"/>
        <v>&lt; 0</v>
      </c>
      <c r="BE22" s="97" t="str">
        <f t="shared" si="42"/>
        <v>&lt; 0</v>
      </c>
      <c r="BF22" s="97" t="str">
        <f t="shared" si="43"/>
        <v>&lt; 0</v>
      </c>
      <c r="BI22" t="s">
        <v>299</v>
      </c>
      <c r="BJ22" t="s">
        <v>300</v>
      </c>
      <c r="BK22" t="s">
        <v>301</v>
      </c>
      <c r="BL22" t="s">
        <v>273</v>
      </c>
      <c r="BM22" t="s">
        <v>274</v>
      </c>
    </row>
    <row r="23" spans="1:73" x14ac:dyDescent="0.25">
      <c r="A23" s="9">
        <v>17</v>
      </c>
      <c r="B23" s="10" t="s">
        <v>45</v>
      </c>
      <c r="C23" s="14">
        <v>0</v>
      </c>
      <c r="D23" s="10">
        <v>55058</v>
      </c>
      <c r="E23" s="14">
        <v>0</v>
      </c>
      <c r="F23" s="10">
        <v>0</v>
      </c>
      <c r="G23" s="11">
        <v>484784</v>
      </c>
      <c r="H23" s="10">
        <v>484784</v>
      </c>
      <c r="I23" t="e">
        <f t="shared" si="9"/>
        <v>#DIV/0!</v>
      </c>
      <c r="L23" s="13">
        <v>2</v>
      </c>
      <c r="M23" s="13" t="s">
        <v>67</v>
      </c>
      <c r="N23" s="8">
        <v>106760</v>
      </c>
      <c r="O23">
        <f t="shared" ref="O23:O32" si="74">IF(N23&lt;=0,0,N23*((10640.021*0+45198.58)/(10640.021*L23+45198.58)))</f>
        <v>72585.746449437531</v>
      </c>
      <c r="P23">
        <f t="shared" ref="P23:P32" si="75">IF(AVERAGE($O$22:$O$23,$O$30,$O$32)&gt;0,IF(O23-AVERAGE($O$22:$O$23,$O$30,$O$32)&lt;=0,0,O23-AVERAGE($O$22:$O$23,$O$30,$O$32)),O23)</f>
        <v>22781.885460094149</v>
      </c>
      <c r="Q23">
        <v>0</v>
      </c>
      <c r="R23">
        <f t="shared" si="14"/>
        <v>0</v>
      </c>
      <c r="S23">
        <f t="shared" si="15"/>
        <v>0</v>
      </c>
      <c r="AC23">
        <v>19</v>
      </c>
      <c r="AD23" s="8" t="s">
        <v>37</v>
      </c>
      <c r="AE23" s="11">
        <v>119458</v>
      </c>
      <c r="AF23" s="8">
        <f t="shared" si="23"/>
        <v>183695.16589982805</v>
      </c>
      <c r="AG23" s="8">
        <f>IF(AVERAGE($AF$10:$AF$12,$AF$23)&gt;0,IF(AF23-AVERAGE($AF$10:$AF$12,$AF$23)&lt;=0,0,AF23-AVERAGE($AF$10:$AF$12,$AF$23)),AF23)</f>
        <v>78305.474025756703</v>
      </c>
      <c r="AH23">
        <f t="shared" si="25"/>
        <v>0.1134643188257695</v>
      </c>
      <c r="AI23" s="8">
        <f t="shared" si="26"/>
        <v>0.2647008014634209</v>
      </c>
      <c r="AK23" s="8"/>
      <c r="AL23" s="9">
        <f t="shared" si="18"/>
        <v>0</v>
      </c>
      <c r="AM23" s="8">
        <f t="shared" si="19"/>
        <v>0</v>
      </c>
      <c r="AO23" s="8"/>
      <c r="AQ23" s="8"/>
      <c r="AR23">
        <v>0</v>
      </c>
      <c r="AS23" s="8">
        <f t="shared" si="36"/>
        <v>0</v>
      </c>
      <c r="AT23">
        <f t="shared" si="28"/>
        <v>0</v>
      </c>
      <c r="AU23" s="8">
        <f t="shared" si="37"/>
        <v>0</v>
      </c>
      <c r="AW23" s="8">
        <f t="shared" si="37"/>
        <v>0</v>
      </c>
      <c r="AX23">
        <f t="shared" si="29"/>
        <v>0</v>
      </c>
      <c r="AY23" s="8">
        <f t="shared" ref="AY23" si="76">AX23*$AS$1</f>
        <v>0</v>
      </c>
      <c r="BA23">
        <f t="shared" ref="BA23" si="77">AZ23*$AS$1</f>
        <v>0</v>
      </c>
      <c r="BB23" s="8"/>
      <c r="BC23" s="97">
        <f t="shared" si="40"/>
        <v>0</v>
      </c>
      <c r="BD23" s="107">
        <f t="shared" si="41"/>
        <v>0</v>
      </c>
      <c r="BE23" s="97">
        <f t="shared" si="42"/>
        <v>0</v>
      </c>
      <c r="BF23" s="97">
        <f t="shared" si="43"/>
        <v>0</v>
      </c>
      <c r="BI23" t="s">
        <v>169</v>
      </c>
      <c r="BJ23">
        <v>0.53100899999999995</v>
      </c>
      <c r="BK23">
        <v>0.52579799999999999</v>
      </c>
      <c r="BL23">
        <v>0.50407594852057924</v>
      </c>
      <c r="BM23">
        <v>0.49919651814028965</v>
      </c>
    </row>
    <row r="24" spans="1:73" x14ac:dyDescent="0.25">
      <c r="A24" s="13">
        <v>18</v>
      </c>
      <c r="B24" s="10" t="s">
        <v>46</v>
      </c>
      <c r="C24" s="14">
        <v>2595147</v>
      </c>
      <c r="D24" s="10">
        <v>2587406</v>
      </c>
      <c r="E24" s="14">
        <v>388001</v>
      </c>
      <c r="F24" s="10">
        <v>388001</v>
      </c>
      <c r="G24" s="14">
        <v>621346</v>
      </c>
      <c r="H24" s="10">
        <v>621346</v>
      </c>
      <c r="I24">
        <f t="shared" si="9"/>
        <v>6.6685549779510875</v>
      </c>
      <c r="L24" s="13">
        <v>3</v>
      </c>
      <c r="M24" s="13" t="s">
        <v>62</v>
      </c>
      <c r="N24" s="8">
        <v>350796</v>
      </c>
      <c r="O24">
        <f t="shared" si="74"/>
        <v>205598.54858545683</v>
      </c>
      <c r="P24">
        <f t="shared" si="75"/>
        <v>155794.68759611345</v>
      </c>
      <c r="Q24">
        <v>0.1</v>
      </c>
      <c r="R24">
        <f t="shared" si="14"/>
        <v>0.5</v>
      </c>
      <c r="S24">
        <f t="shared" si="15"/>
        <v>0.5</v>
      </c>
      <c r="AC24">
        <v>20</v>
      </c>
      <c r="AD24" s="10" t="s">
        <v>47</v>
      </c>
      <c r="AE24" s="10">
        <v>3032982</v>
      </c>
      <c r="AF24" s="8">
        <f t="shared" si="23"/>
        <v>4799776.5994222378</v>
      </c>
      <c r="AG24" s="8">
        <f t="shared" si="24"/>
        <v>4694386.9075481668</v>
      </c>
      <c r="AH24">
        <f t="shared" si="25"/>
        <v>7.8542562286885653</v>
      </c>
      <c r="AI24" s="8">
        <f t="shared" si="26"/>
        <v>8.0654170952151834</v>
      </c>
      <c r="AJ24">
        <f t="shared" si="68"/>
        <v>7.8542562286885653</v>
      </c>
      <c r="AK24" s="8">
        <f t="shared" si="69"/>
        <v>8.0654170952151834</v>
      </c>
      <c r="AL24" s="9">
        <f t="shared" si="18"/>
        <v>7.8542562286885653</v>
      </c>
      <c r="AM24" s="8">
        <f t="shared" si="19"/>
        <v>8.0654170952151834</v>
      </c>
      <c r="AN24">
        <f t="shared" si="32"/>
        <v>15.708512457377131</v>
      </c>
      <c r="AO24" s="8">
        <f t="shared" si="33"/>
        <v>16.130834190430367</v>
      </c>
      <c r="AP24">
        <f t="shared" si="70"/>
        <v>125.66809965901705</v>
      </c>
      <c r="AQ24" s="8">
        <f t="shared" si="71"/>
        <v>129.04667352344293</v>
      </c>
      <c r="AR24">
        <v>12.5</v>
      </c>
      <c r="AS24" s="8">
        <f t="shared" si="36"/>
        <v>100</v>
      </c>
      <c r="AT24">
        <f t="shared" si="28"/>
        <v>7.4687693329845306</v>
      </c>
      <c r="AU24" s="8">
        <f t="shared" si="37"/>
        <v>149.37538665969061</v>
      </c>
      <c r="AV24">
        <f t="shared" si="46"/>
        <v>4.9597164353519156</v>
      </c>
      <c r="AW24" s="8">
        <f t="shared" si="37"/>
        <v>99.194328707038309</v>
      </c>
      <c r="AX24">
        <f t="shared" si="29"/>
        <v>7.6695664241820216</v>
      </c>
      <c r="AY24" s="8">
        <f t="shared" ref="AY24" si="78">AX24*$AS$1</f>
        <v>153.39132848364042</v>
      </c>
      <c r="AZ24">
        <f t="shared" si="48"/>
        <v>5.0368130597030181</v>
      </c>
      <c r="BA24">
        <f t="shared" ref="BA24" si="79">AZ24*$AS$1</f>
        <v>100.73626119406036</v>
      </c>
      <c r="BB24" s="8"/>
      <c r="BC24" s="97" t="str">
        <f t="shared" si="40"/>
        <v>&lt; 0</v>
      </c>
      <c r="BD24" s="107" t="str">
        <f t="shared" si="41"/>
        <v>&lt; 0</v>
      </c>
      <c r="BE24" s="97" t="str">
        <f t="shared" si="42"/>
        <v>&lt; 0</v>
      </c>
      <c r="BF24" s="97" t="str">
        <f t="shared" si="43"/>
        <v>&lt; 0</v>
      </c>
      <c r="BI24" t="s">
        <v>170</v>
      </c>
      <c r="BJ24">
        <v>16.356290000000001</v>
      </c>
      <c r="BK24">
        <v>10.84248</v>
      </c>
      <c r="BL24">
        <v>10.838040615204671</v>
      </c>
      <c r="BM24">
        <v>7.0109859810614132</v>
      </c>
    </row>
    <row r="25" spans="1:73" x14ac:dyDescent="0.25">
      <c r="A25">
        <v>19</v>
      </c>
      <c r="B25" s="8" t="s">
        <v>37</v>
      </c>
      <c r="C25" s="14">
        <v>0</v>
      </c>
      <c r="D25" s="11">
        <v>119458</v>
      </c>
      <c r="E25" s="14">
        <v>0</v>
      </c>
      <c r="F25" s="10">
        <v>17404</v>
      </c>
      <c r="G25" s="11">
        <v>255550</v>
      </c>
      <c r="H25" s="65">
        <v>260587</v>
      </c>
      <c r="I25">
        <f t="shared" si="9"/>
        <v>6.863824408182027</v>
      </c>
      <c r="L25" s="13">
        <v>4</v>
      </c>
      <c r="M25" s="13" t="s">
        <v>63</v>
      </c>
      <c r="N25" s="8">
        <v>286253</v>
      </c>
      <c r="O25">
        <f t="shared" si="74"/>
        <v>147429.65003136327</v>
      </c>
      <c r="P25">
        <f t="shared" si="75"/>
        <v>97625.789042019896</v>
      </c>
      <c r="Q25">
        <v>0.1</v>
      </c>
      <c r="R25">
        <f t="shared" si="14"/>
        <v>0.5</v>
      </c>
      <c r="S25">
        <f t="shared" si="15"/>
        <v>0.5</v>
      </c>
      <c r="AC25">
        <v>21</v>
      </c>
      <c r="AD25" s="10" t="s">
        <v>48</v>
      </c>
      <c r="AE25" s="10">
        <v>3047949</v>
      </c>
      <c r="AF25" s="8">
        <f t="shared" si="23"/>
        <v>4968166.9095543101</v>
      </c>
      <c r="AG25" s="8">
        <f t="shared" si="24"/>
        <v>4862777.2176802391</v>
      </c>
      <c r="AH25">
        <f t="shared" si="25"/>
        <v>8.1366330387906753</v>
      </c>
      <c r="AI25" s="8">
        <f t="shared" si="26"/>
        <v>8.3499798904938665</v>
      </c>
      <c r="AJ25">
        <f t="shared" si="68"/>
        <v>8.1366330387906753</v>
      </c>
      <c r="AK25" s="8">
        <f t="shared" si="69"/>
        <v>8.3499798904938665</v>
      </c>
      <c r="AL25" s="9">
        <f t="shared" si="18"/>
        <v>8.1366330387906753</v>
      </c>
      <c r="AM25" s="8">
        <f t="shared" si="19"/>
        <v>8.3499798904938665</v>
      </c>
      <c r="AN25">
        <f t="shared" si="32"/>
        <v>16.273266077581351</v>
      </c>
      <c r="AO25" s="8">
        <f t="shared" si="33"/>
        <v>16.699959780987733</v>
      </c>
      <c r="AP25">
        <f t="shared" si="70"/>
        <v>130.18612862065081</v>
      </c>
      <c r="AQ25" s="8">
        <f t="shared" si="71"/>
        <v>133.59967824790186</v>
      </c>
      <c r="AR25">
        <v>12.5</v>
      </c>
      <c r="AS25" s="8">
        <f t="shared" si="36"/>
        <v>100</v>
      </c>
      <c r="AT25">
        <f t="shared" si="28"/>
        <v>7.7372870892468288</v>
      </c>
      <c r="AU25" s="8">
        <f t="shared" si="37"/>
        <v>154.74574178493657</v>
      </c>
      <c r="AV25">
        <f t="shared" si="46"/>
        <v>5.0626235483627182</v>
      </c>
      <c r="AW25" s="8">
        <f t="shared" si="37"/>
        <v>101.25247096725437</v>
      </c>
      <c r="AX25">
        <f t="shared" si="29"/>
        <v>7.9401628774684276</v>
      </c>
      <c r="AY25" s="8">
        <f t="shared" ref="AY25" si="80">AX25*$AS$1</f>
        <v>158.80325754936854</v>
      </c>
      <c r="AZ25">
        <f t="shared" si="48"/>
        <v>5.1393855904858556</v>
      </c>
      <c r="BA25">
        <f t="shared" ref="BA25" si="81">AZ25*$AS$1</f>
        <v>102.78771180971711</v>
      </c>
      <c r="BB25" s="8"/>
      <c r="BC25" s="97" t="str">
        <f t="shared" si="40"/>
        <v>&lt; 0</v>
      </c>
      <c r="BD25" s="107" t="str">
        <f t="shared" si="41"/>
        <v>&lt; 0</v>
      </c>
      <c r="BE25" s="97" t="str">
        <f t="shared" si="42"/>
        <v>&lt; 0</v>
      </c>
      <c r="BF25" s="97" t="str">
        <f t="shared" si="43"/>
        <v>&lt; 0</v>
      </c>
      <c r="BI25" t="s">
        <v>171</v>
      </c>
      <c r="BJ25">
        <v>0.92901999999999996</v>
      </c>
      <c r="BK25">
        <v>0.82628000000000001</v>
      </c>
      <c r="BL25">
        <v>0.8754123454106616</v>
      </c>
      <c r="BM25">
        <v>0.7834690532107339</v>
      </c>
    </row>
    <row r="26" spans="1:73" x14ac:dyDescent="0.25">
      <c r="A26">
        <v>20</v>
      </c>
      <c r="B26" s="10" t="s">
        <v>47</v>
      </c>
      <c r="C26" s="11">
        <v>3048676</v>
      </c>
      <c r="D26" s="10">
        <v>3032982</v>
      </c>
      <c r="E26" s="11">
        <v>456296</v>
      </c>
      <c r="F26" s="10">
        <v>456296</v>
      </c>
      <c r="G26" s="11">
        <v>177280</v>
      </c>
      <c r="H26" s="10">
        <v>177564</v>
      </c>
      <c r="I26">
        <f t="shared" si="9"/>
        <v>6.6469616214036504</v>
      </c>
      <c r="L26" s="13">
        <v>5</v>
      </c>
      <c r="M26" s="13" t="s">
        <v>64</v>
      </c>
      <c r="N26" s="8">
        <v>2047550</v>
      </c>
      <c r="O26">
        <f t="shared" si="74"/>
        <v>940524.28118322929</v>
      </c>
      <c r="P26">
        <f t="shared" si="75"/>
        <v>890720.42019388592</v>
      </c>
      <c r="Q26">
        <v>0.5</v>
      </c>
      <c r="R26">
        <f t="shared" si="14"/>
        <v>2.5</v>
      </c>
      <c r="S26">
        <f t="shared" si="15"/>
        <v>2.5</v>
      </c>
      <c r="AC26">
        <v>22</v>
      </c>
      <c r="AD26" s="10" t="s">
        <v>49</v>
      </c>
      <c r="AE26" s="10">
        <v>3165964</v>
      </c>
      <c r="AF26" s="8">
        <f t="shared" si="23"/>
        <v>5320136.6832470922</v>
      </c>
      <c r="AG26" s="8">
        <f t="shared" si="24"/>
        <v>5214746.9913730212</v>
      </c>
      <c r="AH26">
        <f t="shared" si="25"/>
        <v>8.7268576299193263</v>
      </c>
      <c r="AI26" s="8">
        <f t="shared" si="26"/>
        <v>8.9447736323491309</v>
      </c>
      <c r="AJ26">
        <f t="shared" si="68"/>
        <v>8.7268576299193263</v>
      </c>
      <c r="AK26" s="8">
        <f t="shared" si="69"/>
        <v>8.9447736323491309</v>
      </c>
      <c r="AL26" s="9">
        <f t="shared" si="18"/>
        <v>8.7268576299193263</v>
      </c>
      <c r="AM26" s="8">
        <f t="shared" si="19"/>
        <v>8.9447736323491309</v>
      </c>
      <c r="AN26">
        <f t="shared" si="32"/>
        <v>17.453715259838653</v>
      </c>
      <c r="AO26" s="8">
        <f t="shared" si="33"/>
        <v>17.889547264698262</v>
      </c>
      <c r="AP26">
        <f t="shared" si="70"/>
        <v>139.62972207870922</v>
      </c>
      <c r="AQ26" s="8">
        <f t="shared" si="71"/>
        <v>143.11637811758609</v>
      </c>
      <c r="AR26">
        <v>12.5</v>
      </c>
      <c r="AS26" s="8">
        <f t="shared" si="36"/>
        <v>100</v>
      </c>
      <c r="AT26">
        <f t="shared" si="28"/>
        <v>8.2985434574428858</v>
      </c>
      <c r="AU26" s="8">
        <f t="shared" si="37"/>
        <v>165.97086914885773</v>
      </c>
      <c r="AV26">
        <f t="shared" si="46"/>
        <v>5.2730083011315685</v>
      </c>
      <c r="AW26" s="8">
        <f t="shared" si="37"/>
        <v>105.46016602263137</v>
      </c>
      <c r="AX26">
        <f t="shared" si="29"/>
        <v>8.5057641424734349</v>
      </c>
      <c r="AY26" s="8">
        <f t="shared" ref="AY26" si="82">AX26*$AS$1</f>
        <v>170.11528284946871</v>
      </c>
      <c r="AZ26">
        <f t="shared" si="48"/>
        <v>5.3491689377296892</v>
      </c>
      <c r="BA26">
        <f t="shared" ref="BA26" si="83">AZ26*$AS$1</f>
        <v>106.98337875459379</v>
      </c>
      <c r="BB26" s="8"/>
      <c r="BC26" s="97" t="str">
        <f t="shared" si="40"/>
        <v>&lt; 0</v>
      </c>
      <c r="BD26" s="107" t="str">
        <f t="shared" si="41"/>
        <v>&lt; 0</v>
      </c>
      <c r="BE26" s="97" t="str">
        <f t="shared" si="42"/>
        <v>&lt; 0</v>
      </c>
      <c r="BF26" s="97" t="str">
        <f t="shared" si="43"/>
        <v>&lt; 0</v>
      </c>
    </row>
    <row r="27" spans="1:73" x14ac:dyDescent="0.25">
      <c r="A27">
        <v>21</v>
      </c>
      <c r="B27" s="10" t="s">
        <v>48</v>
      </c>
      <c r="C27" s="11">
        <v>3056463</v>
      </c>
      <c r="D27" s="10">
        <v>3047949</v>
      </c>
      <c r="E27" s="11">
        <v>458122</v>
      </c>
      <c r="F27" s="10">
        <v>459190</v>
      </c>
      <c r="G27" s="11">
        <v>826638</v>
      </c>
      <c r="H27" s="10">
        <v>823100</v>
      </c>
      <c r="I27">
        <f t="shared" si="9"/>
        <v>6.6376641477384091</v>
      </c>
      <c r="L27" s="13">
        <v>6</v>
      </c>
      <c r="M27" s="13" t="s">
        <v>65</v>
      </c>
      <c r="N27" s="8">
        <v>1640308</v>
      </c>
      <c r="O27">
        <f t="shared" si="74"/>
        <v>679938.29973220697</v>
      </c>
      <c r="P27">
        <f t="shared" si="75"/>
        <v>630134.4387428636</v>
      </c>
      <c r="Q27">
        <v>0.5</v>
      </c>
      <c r="R27">
        <f t="shared" si="14"/>
        <v>2.5</v>
      </c>
      <c r="S27">
        <f t="shared" si="15"/>
        <v>2.5</v>
      </c>
      <c r="AC27">
        <v>23</v>
      </c>
      <c r="AD27" s="10" t="s">
        <v>50</v>
      </c>
      <c r="AE27" s="10">
        <v>1900939</v>
      </c>
      <c r="AF27" s="8">
        <f t="shared" si="23"/>
        <v>3296316.878203806</v>
      </c>
      <c r="AG27" s="8">
        <f>IF(AVERAGE($AF$10:$AF$12,$AF$23)&gt;0,IF(AF27-AVERAGE($AF$10:$AF$12,$AF$23)&lt;=0,0,AF27-AVERAGE($AF$10:$AF$12,$AF$23)),AF27)</f>
        <v>3190927.1863297345</v>
      </c>
      <c r="AH27">
        <f t="shared" si="25"/>
        <v>5.3330769526263593</v>
      </c>
      <c r="AI27" s="8">
        <f t="shared" si="26"/>
        <v>5.5247204213788352</v>
      </c>
      <c r="AJ27">
        <f t="shared" si="68"/>
        <v>5.3330769526263593</v>
      </c>
      <c r="AK27" s="8">
        <f t="shared" si="69"/>
        <v>5.5247204213788352</v>
      </c>
      <c r="AL27" s="9">
        <f t="shared" si="18"/>
        <v>5.3330769526263593</v>
      </c>
      <c r="AM27" s="8">
        <f t="shared" si="19"/>
        <v>5.5247204213788352</v>
      </c>
      <c r="AN27">
        <f t="shared" si="32"/>
        <v>10.666153905252719</v>
      </c>
      <c r="AO27" s="8">
        <f t="shared" si="33"/>
        <v>11.04944084275767</v>
      </c>
      <c r="AP27">
        <f t="shared" si="70"/>
        <v>85.329231242021748</v>
      </c>
      <c r="AQ27" s="8">
        <f t="shared" si="71"/>
        <v>88.395526742061364</v>
      </c>
      <c r="AR27">
        <v>12.5</v>
      </c>
      <c r="AS27" s="8">
        <f t="shared" si="36"/>
        <v>100</v>
      </c>
      <c r="AT27">
        <f t="shared" si="28"/>
        <v>5.0713295357914578</v>
      </c>
      <c r="AU27" s="8">
        <f t="shared" si="37"/>
        <v>101.42659071582915</v>
      </c>
      <c r="AV27">
        <f t="shared" si="46"/>
        <v>3.9600833039389465</v>
      </c>
      <c r="AW27" s="8">
        <f t="shared" si="37"/>
        <v>79.201666078778928</v>
      </c>
      <c r="AX27">
        <f t="shared" si="29"/>
        <v>5.2535671430975617</v>
      </c>
      <c r="AY27" s="8">
        <f t="shared" ref="AY27" si="84">AX27*$AS$1</f>
        <v>105.07134286195124</v>
      </c>
      <c r="AZ27">
        <f t="shared" si="48"/>
        <v>4.0422104255923168</v>
      </c>
      <c r="BA27">
        <f t="shared" ref="BA27" si="85">AZ27*$AS$1</f>
        <v>80.844208511846332</v>
      </c>
      <c r="BB27" s="8"/>
      <c r="BC27" s="97" t="str">
        <f t="shared" si="40"/>
        <v>&lt; 0</v>
      </c>
      <c r="BD27" s="107" t="str">
        <f t="shared" si="41"/>
        <v>&lt; 0</v>
      </c>
      <c r="BE27" s="97" t="str">
        <f t="shared" si="42"/>
        <v>&lt; 0</v>
      </c>
      <c r="BF27" s="97" t="str">
        <f t="shared" si="43"/>
        <v>&lt; 0</v>
      </c>
    </row>
    <row r="28" spans="1:73" x14ac:dyDescent="0.25">
      <c r="A28">
        <v>22</v>
      </c>
      <c r="B28" s="10" t="s">
        <v>49</v>
      </c>
      <c r="C28" s="11">
        <v>3185164</v>
      </c>
      <c r="D28" s="10">
        <v>3165964</v>
      </c>
      <c r="E28" s="11">
        <v>478867</v>
      </c>
      <c r="F28" s="10">
        <v>479487</v>
      </c>
      <c r="G28" s="11">
        <v>726713</v>
      </c>
      <c r="H28" s="10">
        <v>722556</v>
      </c>
      <c r="I28">
        <f t="shared" si="9"/>
        <v>6.602815091962869</v>
      </c>
      <c r="L28" s="78">
        <v>7</v>
      </c>
      <c r="M28" s="78" t="s">
        <v>68</v>
      </c>
      <c r="N28" s="77">
        <v>8429272</v>
      </c>
      <c r="O28">
        <f t="shared" si="74"/>
        <v>3183449.0087261712</v>
      </c>
      <c r="P28">
        <f t="shared" si="75"/>
        <v>3133645.1477368278</v>
      </c>
      <c r="Q28" s="16">
        <v>1.5</v>
      </c>
      <c r="R28">
        <f t="shared" si="14"/>
        <v>7.5</v>
      </c>
      <c r="S28">
        <f t="shared" si="15"/>
        <v>7.5</v>
      </c>
      <c r="AC28">
        <v>24</v>
      </c>
      <c r="AD28" s="10" t="s">
        <v>51</v>
      </c>
      <c r="AE28" s="10">
        <v>1846744</v>
      </c>
      <c r="AF28" s="8">
        <f t="shared" si="23"/>
        <v>3307912.4829530809</v>
      </c>
      <c r="AG28" s="8">
        <f t="shared" si="24"/>
        <v>3202522.7910790094</v>
      </c>
      <c r="AH28">
        <f t="shared" si="25"/>
        <v>5.35252183563499</v>
      </c>
      <c r="AI28" s="8">
        <f t="shared" si="26"/>
        <v>5.5443158345460919</v>
      </c>
      <c r="AJ28">
        <f t="shared" si="68"/>
        <v>5.35252183563499</v>
      </c>
      <c r="AK28" s="8">
        <f t="shared" si="69"/>
        <v>5.5443158345460919</v>
      </c>
      <c r="AL28" s="9">
        <f t="shared" si="18"/>
        <v>5.35252183563499</v>
      </c>
      <c r="AM28" s="8">
        <f t="shared" si="19"/>
        <v>5.5443158345460919</v>
      </c>
      <c r="AN28">
        <f t="shared" si="32"/>
        <v>10.70504367126998</v>
      </c>
      <c r="AO28" s="8">
        <f t="shared" si="33"/>
        <v>11.088631669092184</v>
      </c>
      <c r="AP28">
        <f t="shared" si="70"/>
        <v>85.640349370159839</v>
      </c>
      <c r="AQ28" s="8">
        <f t="shared" si="71"/>
        <v>88.70905335273747</v>
      </c>
      <c r="AR28">
        <v>12.5</v>
      </c>
      <c r="AS28" s="8">
        <f t="shared" si="36"/>
        <v>100</v>
      </c>
      <c r="AT28">
        <f t="shared" si="28"/>
        <v>5.0898200639420246</v>
      </c>
      <c r="AU28" s="8">
        <f t="shared" si="37"/>
        <v>101.79640127884049</v>
      </c>
      <c r="AV28">
        <f t="shared" si="46"/>
        <v>3.9684719295288344</v>
      </c>
      <c r="AW28" s="8">
        <f t="shared" si="37"/>
        <v>79.369438590576692</v>
      </c>
      <c r="AX28">
        <f t="shared" si="29"/>
        <v>5.2722008133865694</v>
      </c>
      <c r="AY28" s="8">
        <f t="shared" ref="AY28" si="86">AX28*$AS$1</f>
        <v>105.44401626773139</v>
      </c>
      <c r="AZ28">
        <f t="shared" si="48"/>
        <v>4.0505401577684026</v>
      </c>
      <c r="BA28">
        <f t="shared" ref="BA28" si="87">AZ28*$AS$1</f>
        <v>81.010803155368052</v>
      </c>
      <c r="BB28" s="8"/>
      <c r="BC28" s="97" t="str">
        <f t="shared" si="40"/>
        <v>&lt; 0</v>
      </c>
      <c r="BD28" s="107" t="str">
        <f t="shared" si="41"/>
        <v>&lt; 0</v>
      </c>
      <c r="BE28" s="97" t="str">
        <f t="shared" si="42"/>
        <v>&lt; 0</v>
      </c>
      <c r="BF28" s="97" t="str">
        <f t="shared" si="43"/>
        <v>&lt; 0</v>
      </c>
    </row>
    <row r="29" spans="1:73" x14ac:dyDescent="0.25">
      <c r="A29">
        <v>23</v>
      </c>
      <c r="B29" s="10" t="s">
        <v>50</v>
      </c>
      <c r="C29" s="11">
        <v>1905445</v>
      </c>
      <c r="D29" s="10">
        <v>1900939</v>
      </c>
      <c r="E29" s="11">
        <v>286366</v>
      </c>
      <c r="F29" s="10">
        <v>286366</v>
      </c>
      <c r="G29" s="11">
        <v>633269</v>
      </c>
      <c r="H29" s="10">
        <v>632607</v>
      </c>
      <c r="I29">
        <f t="shared" si="9"/>
        <v>6.638144891502483</v>
      </c>
      <c r="L29" s="13">
        <v>8</v>
      </c>
      <c r="M29" s="13" t="s">
        <v>69</v>
      </c>
      <c r="N29" s="8">
        <v>4934748</v>
      </c>
      <c r="O29">
        <f t="shared" si="74"/>
        <v>1711523.5196845199</v>
      </c>
      <c r="P29">
        <f t="shared" si="75"/>
        <v>1661719.6586951765</v>
      </c>
      <c r="Q29">
        <v>1.5</v>
      </c>
      <c r="R29">
        <f t="shared" si="14"/>
        <v>7.5</v>
      </c>
      <c r="S29">
        <f t="shared" si="15"/>
        <v>7.5</v>
      </c>
      <c r="AC29">
        <v>26</v>
      </c>
      <c r="AD29" s="15" t="s">
        <v>42</v>
      </c>
      <c r="AE29" s="18">
        <v>1689371</v>
      </c>
      <c r="AF29" s="8">
        <f t="shared" si="23"/>
        <v>3239626.8650194462</v>
      </c>
      <c r="AG29" s="8">
        <f t="shared" si="24"/>
        <v>3134237.1731453747</v>
      </c>
      <c r="AH29">
        <f t="shared" si="25"/>
        <v>5.2380124261990924</v>
      </c>
      <c r="AI29" s="8">
        <f t="shared" si="26"/>
        <v>5.428919964669217</v>
      </c>
      <c r="AJ29">
        <f t="shared" ref="AJ29" si="88">IF(AVERAGE($AH$13,$AH$36,$AH$38)&gt;0,IF(AH29-MAX($AH$13,$AH$36,$AH$38)&lt;=0,0,AH29-MAX($AH$13,$AH$36,$AH$38)),AH29)</f>
        <v>5.2380124261990924</v>
      </c>
      <c r="AK29" s="8">
        <f t="shared" ref="AK29" si="89">IF(AVERAGE($AI$13,$AI$36,$AI$38)&gt;0,IF(AI29-MAX($AI$13,$AI$36,$AI$38)&lt;=0,0,AI29-MAX($AI$13,$AI$36,$AI$38)),AI29)</f>
        <v>5.428919964669217</v>
      </c>
      <c r="AL29" s="9">
        <f t="shared" si="18"/>
        <v>5.2380124261990924</v>
      </c>
      <c r="AM29" s="8">
        <f t="shared" si="19"/>
        <v>5.428919964669217</v>
      </c>
      <c r="AN29">
        <f>AL29*$AN$5</f>
        <v>10.476024852398185</v>
      </c>
      <c r="AO29" s="8">
        <f>AM29*$AN$5</f>
        <v>10.857839929338434</v>
      </c>
      <c r="AP29">
        <f t="shared" si="70"/>
        <v>83.808198819185478</v>
      </c>
      <c r="AQ29" s="8">
        <f t="shared" si="71"/>
        <v>86.862719434707472</v>
      </c>
      <c r="AR29">
        <v>12.5</v>
      </c>
      <c r="AS29" s="8">
        <f t="shared" si="36"/>
        <v>100</v>
      </c>
      <c r="AT29">
        <f t="shared" si="28"/>
        <v>4.9809307763212409</v>
      </c>
      <c r="AU29" s="8">
        <f t="shared" si="37"/>
        <v>99.618615526424819</v>
      </c>
      <c r="AV29">
        <f t="shared" si="46"/>
        <v>3.9188862761260683</v>
      </c>
      <c r="AW29" s="8">
        <f t="shared" si="37"/>
        <v>78.377725522521359</v>
      </c>
      <c r="AX29">
        <f t="shared" si="29"/>
        <v>5.1624685728032516</v>
      </c>
      <c r="AY29" s="8">
        <f t="shared" ref="AY29" si="90">AX29*$AS$1</f>
        <v>103.24937145606503</v>
      </c>
      <c r="AZ29">
        <f t="shared" si="48"/>
        <v>4.0013076818173943</v>
      </c>
      <c r="BA29">
        <f t="shared" ref="BA29" si="91">AZ29*$AS$1</f>
        <v>80.026153636347885</v>
      </c>
      <c r="BB29" s="8"/>
      <c r="BC29" s="97" t="str">
        <f t="shared" si="40"/>
        <v>&lt; 0</v>
      </c>
      <c r="BD29" s="107" t="str">
        <f t="shared" si="41"/>
        <v>&lt; 0</v>
      </c>
      <c r="BE29" s="97" t="str">
        <f t="shared" si="42"/>
        <v>&lt; 0</v>
      </c>
      <c r="BF29" s="97" t="str">
        <f t="shared" si="43"/>
        <v>&lt; 0</v>
      </c>
      <c r="BJ29" t="s">
        <v>175</v>
      </c>
      <c r="BK29" t="s">
        <v>182</v>
      </c>
      <c r="BL29" t="s">
        <v>273</v>
      </c>
      <c r="BN29" t="s">
        <v>274</v>
      </c>
    </row>
    <row r="30" spans="1:73" x14ac:dyDescent="0.25">
      <c r="A30">
        <v>24</v>
      </c>
      <c r="B30" s="10" t="s">
        <v>51</v>
      </c>
      <c r="C30" s="11">
        <v>1851368</v>
      </c>
      <c r="D30" s="10">
        <v>1846744</v>
      </c>
      <c r="E30" s="11">
        <v>272036</v>
      </c>
      <c r="F30" s="10">
        <v>273091</v>
      </c>
      <c r="G30" s="11">
        <v>396160</v>
      </c>
      <c r="H30" s="10">
        <v>391983</v>
      </c>
      <c r="I30">
        <f t="shared" si="9"/>
        <v>6.7623759113262611</v>
      </c>
      <c r="L30" s="13">
        <v>9</v>
      </c>
      <c r="M30" s="13" t="s">
        <v>70</v>
      </c>
      <c r="N30" s="6">
        <v>196373</v>
      </c>
      <c r="O30">
        <f t="shared" si="74"/>
        <v>62967.212421811084</v>
      </c>
      <c r="P30">
        <f t="shared" si="75"/>
        <v>13163.351432467702</v>
      </c>
      <c r="Q30">
        <v>0</v>
      </c>
      <c r="R30">
        <f t="shared" si="14"/>
        <v>0</v>
      </c>
      <c r="S30">
        <f t="shared" si="15"/>
        <v>0</v>
      </c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08"/>
      <c r="BD30" s="108"/>
      <c r="BE30" s="108"/>
      <c r="BF30" s="108"/>
      <c r="BJ30" t="s">
        <v>200</v>
      </c>
      <c r="BK30" t="s">
        <v>240</v>
      </c>
      <c r="BL30" t="s">
        <v>266</v>
      </c>
      <c r="BM30" t="s">
        <v>275</v>
      </c>
      <c r="BN30" t="s">
        <v>266</v>
      </c>
      <c r="BO30" t="s">
        <v>275</v>
      </c>
    </row>
    <row r="31" spans="1:73" x14ac:dyDescent="0.25">
      <c r="A31">
        <v>25</v>
      </c>
      <c r="B31" s="15" t="s">
        <v>34</v>
      </c>
      <c r="C31" s="18">
        <v>1834858</v>
      </c>
      <c r="D31" s="18">
        <v>1828086</v>
      </c>
      <c r="E31" s="18">
        <v>276540</v>
      </c>
      <c r="F31" s="18">
        <v>277591</v>
      </c>
      <c r="G31" s="18">
        <v>546547</v>
      </c>
      <c r="H31" s="18">
        <v>546547</v>
      </c>
      <c r="I31">
        <f t="shared" si="9"/>
        <v>6.5855377155599424</v>
      </c>
      <c r="L31" s="13">
        <v>11</v>
      </c>
      <c r="M31" s="13" t="s">
        <v>87</v>
      </c>
      <c r="N31" s="8">
        <v>5374327</v>
      </c>
      <c r="O31">
        <f t="shared" si="74"/>
        <v>1497249.3163529166</v>
      </c>
      <c r="P31">
        <f t="shared" si="75"/>
        <v>1447445.4553635733</v>
      </c>
      <c r="Q31">
        <v>1.5</v>
      </c>
      <c r="R31">
        <f t="shared" si="14"/>
        <v>7.5</v>
      </c>
      <c r="S31">
        <f t="shared" si="15"/>
        <v>7.5</v>
      </c>
      <c r="AC31" s="25">
        <v>44390</v>
      </c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08"/>
      <c r="BD31" s="108"/>
      <c r="BE31" s="108"/>
      <c r="BF31" s="108"/>
      <c r="BI31" t="s">
        <v>169</v>
      </c>
      <c r="BJ31" t="s">
        <v>281</v>
      </c>
      <c r="BK31" t="s">
        <v>276</v>
      </c>
      <c r="BL31" s="24"/>
      <c r="BM31" s="94">
        <f>AVERAGE(BD59:BD62)</f>
        <v>18.742173245361897</v>
      </c>
      <c r="BN31" s="94"/>
      <c r="BO31" s="94">
        <f>AVERAGE(BF59:BF62)</f>
        <v>17.291662941570241</v>
      </c>
      <c r="BP31" s="24" t="s">
        <v>200</v>
      </c>
    </row>
    <row r="32" spans="1:73" x14ac:dyDescent="0.25">
      <c r="A32">
        <v>26</v>
      </c>
      <c r="B32" s="15" t="s">
        <v>42</v>
      </c>
      <c r="C32" s="18">
        <v>1690647</v>
      </c>
      <c r="D32" s="18">
        <v>1689371</v>
      </c>
      <c r="E32" s="18">
        <v>252040</v>
      </c>
      <c r="F32" s="18">
        <v>253647</v>
      </c>
      <c r="G32" s="18">
        <v>727384</v>
      </c>
      <c r="H32" s="18">
        <v>726819</v>
      </c>
      <c r="I32">
        <f t="shared" si="9"/>
        <v>6.6603232050842314</v>
      </c>
      <c r="L32" s="13">
        <v>21</v>
      </c>
      <c r="M32" s="13" t="s">
        <v>88</v>
      </c>
      <c r="N32" s="8">
        <v>20264</v>
      </c>
      <c r="O32">
        <f t="shared" si="74"/>
        <v>3409.4228817190337</v>
      </c>
      <c r="P32">
        <f t="shared" si="75"/>
        <v>0</v>
      </c>
      <c r="Q32">
        <v>0</v>
      </c>
      <c r="R32">
        <f t="shared" si="14"/>
        <v>0</v>
      </c>
      <c r="S32">
        <f t="shared" si="15"/>
        <v>0</v>
      </c>
      <c r="AC32" t="s">
        <v>11</v>
      </c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08"/>
      <c r="BD32" s="108"/>
      <c r="BE32" s="108"/>
      <c r="BF32" s="108"/>
      <c r="BM32" s="54">
        <f>STDEV(BD59:BD62)</f>
        <v>13.96580985305912</v>
      </c>
      <c r="BN32" s="54"/>
      <c r="BO32" s="54">
        <f>STDEV(BF59:BF62)</f>
        <v>13.932232943410314</v>
      </c>
      <c r="BP32" t="s">
        <v>280</v>
      </c>
    </row>
    <row r="33" spans="1:68" x14ac:dyDescent="0.25">
      <c r="L33" s="13"/>
      <c r="M33" s="13"/>
      <c r="N33" s="13"/>
      <c r="AC33">
        <v>1</v>
      </c>
      <c r="AD33" s="4" t="s">
        <v>66</v>
      </c>
      <c r="AE33" s="8">
        <v>74437</v>
      </c>
      <c r="AF33" s="63">
        <f>IF(AE33&lt;=0,0,AE33*((10640.021*0+45198.58)/(10640.021*AC33+45198.58)))</f>
        <v>60253.062204405869</v>
      </c>
      <c r="AG33" s="8">
        <f>IF(AVERAGE($AF$33:$AF$35,$AF$46)&gt;0,IF(AF33-AVERAGE($AF$33:$AF$35,$AF$46)&lt;=0,0,AF33-AVERAGE($AF$33:$AF$35,$AF$46)),AF33)</f>
        <v>10449.201215062487</v>
      </c>
      <c r="AH33">
        <f>IF(AG33&lt;=0,0,(AG33-99770.048)/208751.361)</f>
        <v>-0.42788150629081412</v>
      </c>
      <c r="AI33" s="8">
        <f>IF(AG33&lt;=0,0,(AG33-57119.137)/207554.453)</f>
        <v>-0.22485634545714861</v>
      </c>
      <c r="AK33" s="8"/>
      <c r="AL33" s="9">
        <f t="shared" ref="AL33:AL52" si="92">IF(AJ33&lt;=0,0,AJ33)</f>
        <v>0</v>
      </c>
      <c r="AM33" s="8">
        <f t="shared" ref="AM33:AM52" si="93">IF(AK33&lt;=0,0,AK33)</f>
        <v>0</v>
      </c>
      <c r="AO33" s="8"/>
      <c r="AQ33" s="8"/>
      <c r="AR33">
        <v>0</v>
      </c>
      <c r="AS33" s="8">
        <f t="shared" si="36"/>
        <v>0</v>
      </c>
      <c r="AT33">
        <f t="shared" ref="AT33:AT52" si="94">$AV$2*AN33</f>
        <v>0</v>
      </c>
      <c r="AU33" s="8">
        <f t="shared" si="37"/>
        <v>0</v>
      </c>
      <c r="AW33" s="8">
        <f t="shared" si="37"/>
        <v>0</v>
      </c>
      <c r="AY33" s="8">
        <f t="shared" ref="AY33" si="95">AX33*$AS$1</f>
        <v>0</v>
      </c>
      <c r="BA33">
        <f t="shared" ref="BA33" si="96">AZ33*$AS$1</f>
        <v>0</v>
      </c>
      <c r="BB33" s="8"/>
      <c r="BC33" s="97"/>
      <c r="BD33" s="107"/>
      <c r="BE33" s="97"/>
      <c r="BF33" s="97"/>
      <c r="BJ33" t="s">
        <v>282</v>
      </c>
      <c r="BK33" t="s">
        <v>277</v>
      </c>
      <c r="BL33" s="24"/>
      <c r="BM33" s="94">
        <f>AVERAGE(BD82:BD85)</f>
        <v>4.7215244518921793</v>
      </c>
      <c r="BN33" s="94"/>
      <c r="BO33" s="94">
        <f>AVERAGE(BF82:BF85)</f>
        <v>2.3897167264605059</v>
      </c>
      <c r="BP33" s="24" t="s">
        <v>200</v>
      </c>
    </row>
    <row r="34" spans="1:68" x14ac:dyDescent="0.25">
      <c r="B34" s="10"/>
      <c r="L34" s="13"/>
      <c r="M34" s="13"/>
      <c r="N34" s="13"/>
      <c r="AC34">
        <v>2</v>
      </c>
      <c r="AD34" s="8" t="s">
        <v>67</v>
      </c>
      <c r="AE34" s="8">
        <v>106760</v>
      </c>
      <c r="AF34" s="63">
        <f t="shared" ref="AF34:AF52" si="97">IF(AE34&lt;=0,0,AE34*((10640.021*0+45198.58)/(10640.021*AC34+45198.58)))</f>
        <v>72585.746449437531</v>
      </c>
      <c r="AG34" s="8">
        <f t="shared" ref="AG34:AG52" si="98">IF(AVERAGE($AF$33:$AF$35,$AF$46)&gt;0,IF(AF34-AVERAGE($AF$33:$AF$35,$AF$46)&lt;=0,0,AF34-AVERAGE($AF$33:$AF$35,$AF$46)),AF34)</f>
        <v>22781.885460094149</v>
      </c>
      <c r="AH34">
        <f t="shared" ref="AH34:AH52" si="99">IF(AG34&lt;=0,0,(AG34-99770.048)/208751.361)</f>
        <v>-0.36880316454514439</v>
      </c>
      <c r="AI34" s="8">
        <f t="shared" ref="AI34:AI52" si="100">IF(AG34&lt;=0,0,(AG34-57119.137)/207554.453)</f>
        <v>-0.16543731557475114</v>
      </c>
      <c r="AK34" s="8"/>
      <c r="AL34" s="9">
        <f t="shared" si="92"/>
        <v>0</v>
      </c>
      <c r="AM34" s="8">
        <f t="shared" si="93"/>
        <v>0</v>
      </c>
      <c r="AO34" s="8"/>
      <c r="AQ34" s="8"/>
      <c r="AR34">
        <v>0</v>
      </c>
      <c r="AS34" s="8">
        <f t="shared" si="36"/>
        <v>0</v>
      </c>
      <c r="AT34">
        <f t="shared" si="94"/>
        <v>0</v>
      </c>
      <c r="AU34" s="8">
        <f t="shared" si="37"/>
        <v>0</v>
      </c>
      <c r="AW34" s="8">
        <f t="shared" si="37"/>
        <v>0</v>
      </c>
      <c r="AY34" s="8">
        <f t="shared" ref="AY34" si="101">AX34*$AS$1</f>
        <v>0</v>
      </c>
      <c r="BA34">
        <f t="shared" ref="BA34" si="102">AZ34*$AS$1</f>
        <v>0</v>
      </c>
      <c r="BB34" s="8"/>
      <c r="BC34" s="97"/>
      <c r="BD34" s="107"/>
      <c r="BE34" s="97"/>
      <c r="BF34" s="97"/>
      <c r="BM34" s="54" t="e">
        <f>STDEV(BD82:BD85)</f>
        <v>#DIV/0!</v>
      </c>
      <c r="BN34" s="54"/>
      <c r="BO34" s="54" t="e">
        <f>STDEV(BF82:BF85)</f>
        <v>#DIV/0!</v>
      </c>
      <c r="BP34" t="s">
        <v>280</v>
      </c>
    </row>
    <row r="35" spans="1:68" x14ac:dyDescent="0.25">
      <c r="L35" s="75">
        <v>44393</v>
      </c>
      <c r="M35" s="13"/>
      <c r="N35" s="13"/>
      <c r="AC35" s="7">
        <v>9</v>
      </c>
      <c r="AD35" s="6" t="s">
        <v>70</v>
      </c>
      <c r="AE35" s="6">
        <v>196373</v>
      </c>
      <c r="AF35" s="63">
        <f t="shared" si="97"/>
        <v>62967.212421811084</v>
      </c>
      <c r="AG35" s="8">
        <f t="shared" si="98"/>
        <v>13163.351432467702</v>
      </c>
      <c r="AH35">
        <f t="shared" si="99"/>
        <v>-0.4148796738505206</v>
      </c>
      <c r="AI35" s="8">
        <f t="shared" si="100"/>
        <v>-0.21177953511569467</v>
      </c>
      <c r="AK35" s="8"/>
      <c r="AL35" s="9">
        <f t="shared" si="92"/>
        <v>0</v>
      </c>
      <c r="AM35" s="8">
        <f t="shared" si="93"/>
        <v>0</v>
      </c>
      <c r="AO35" s="8"/>
      <c r="AQ35" s="8"/>
      <c r="AR35">
        <v>0</v>
      </c>
      <c r="AS35" s="8">
        <f t="shared" si="36"/>
        <v>0</v>
      </c>
      <c r="AT35">
        <f t="shared" si="94"/>
        <v>0</v>
      </c>
      <c r="AU35" s="8">
        <f t="shared" si="37"/>
        <v>0</v>
      </c>
      <c r="AW35" s="8">
        <f t="shared" si="37"/>
        <v>0</v>
      </c>
      <c r="AY35" s="8">
        <f t="shared" ref="AY35" si="103">AX35*$AS$1</f>
        <v>0</v>
      </c>
      <c r="BA35">
        <f t="shared" ref="BA35" si="104">AZ35*$AS$1</f>
        <v>0</v>
      </c>
      <c r="BB35" s="8"/>
      <c r="BC35" s="97"/>
      <c r="BD35" s="107"/>
      <c r="BE35" s="97"/>
      <c r="BF35" s="97"/>
      <c r="BI35" t="s">
        <v>169</v>
      </c>
      <c r="BJ35" t="s">
        <v>278</v>
      </c>
      <c r="BK35" t="s">
        <v>276</v>
      </c>
      <c r="BL35" s="24"/>
      <c r="BM35" s="94">
        <f>AVERAGE(BD39:BD44)</f>
        <v>33.406671572575029</v>
      </c>
      <c r="BN35" s="24"/>
      <c r="BO35" s="94">
        <f>AVERAGE(BF39:BF44)</f>
        <v>26.969514862950184</v>
      </c>
      <c r="BP35" s="24" t="s">
        <v>200</v>
      </c>
    </row>
    <row r="36" spans="1:68" x14ac:dyDescent="0.25">
      <c r="L36" s="13" t="s">
        <v>11</v>
      </c>
      <c r="M36" s="13"/>
      <c r="N36" s="13"/>
      <c r="AC36">
        <v>10</v>
      </c>
      <c r="AD36" s="88" t="s">
        <v>71</v>
      </c>
      <c r="AE36" s="88">
        <v>74542</v>
      </c>
      <c r="AF36" s="90">
        <f t="shared" si="97"/>
        <v>22224.402650971024</v>
      </c>
      <c r="AG36" s="88">
        <f t="shared" si="98"/>
        <v>0</v>
      </c>
      <c r="AH36" s="89">
        <f t="shared" si="99"/>
        <v>0</v>
      </c>
      <c r="AI36" s="88">
        <f t="shared" si="100"/>
        <v>0</v>
      </c>
      <c r="AJ36" s="89">
        <f>IF(AVERAGE($AH$13,$AH$36,$AH$38)&gt;0,IF(AH36-MAX($AH$13,$AH$36,$AH$38)&lt;=0,0,AH36-MAX($AH$13,$AH$36,$AH$38)),AH36)</f>
        <v>0</v>
      </c>
      <c r="AK36" s="88">
        <f>IF(AVERAGE($AI$13,$AI$36,$AI$38)&gt;0,IF(AI36-MAX($AI$13,$AI$36,$AI$38)&lt;=0,0,AI36-MAX($AI$13,$AI$36,$AI$38)),AI36)</f>
        <v>0</v>
      </c>
      <c r="AL36" s="92">
        <f t="shared" si="92"/>
        <v>0</v>
      </c>
      <c r="AM36" s="88">
        <f t="shared" si="93"/>
        <v>0</v>
      </c>
      <c r="AN36" s="89">
        <f t="shared" ref="AN36:AN44" si="105">AL36*$AN$5</f>
        <v>0</v>
      </c>
      <c r="AO36" s="88">
        <f t="shared" ref="AO36:AO44" si="106">AM36*$AN$5</f>
        <v>0</v>
      </c>
      <c r="AP36" s="89">
        <f>AN36*$AN$2</f>
        <v>0</v>
      </c>
      <c r="AQ36" s="88">
        <f>AO36*$AN$2</f>
        <v>0</v>
      </c>
      <c r="AR36" s="89">
        <v>0</v>
      </c>
      <c r="AS36" s="88">
        <f t="shared" si="36"/>
        <v>0</v>
      </c>
      <c r="AT36" s="89">
        <f t="shared" si="94"/>
        <v>0</v>
      </c>
      <c r="AU36" s="88">
        <f t="shared" si="37"/>
        <v>0</v>
      </c>
      <c r="AV36" s="89">
        <f t="shared" si="46"/>
        <v>0</v>
      </c>
      <c r="AW36" s="88">
        <f t="shared" si="37"/>
        <v>0</v>
      </c>
      <c r="AX36" s="89">
        <f t="shared" ref="AX36:AX52" si="107">$AV$2*AO36</f>
        <v>0</v>
      </c>
      <c r="AY36" s="88">
        <f t="shared" ref="AY36" si="108">AX36*$AS$1</f>
        <v>0</v>
      </c>
      <c r="AZ36" s="89">
        <f t="shared" si="48"/>
        <v>0</v>
      </c>
      <c r="BA36" s="89">
        <f t="shared" ref="BA36" si="109">AZ36*$AS$1</f>
        <v>0</v>
      </c>
      <c r="BB36" s="88"/>
      <c r="BC36" s="102"/>
      <c r="BD36" s="106"/>
      <c r="BE36" s="102"/>
      <c r="BF36" s="102"/>
      <c r="BM36" s="54">
        <f>STDEV(BD39:BD44)</f>
        <v>13.822954773607176</v>
      </c>
      <c r="BN36" s="54"/>
      <c r="BO36" s="54">
        <f>STDEV(BF39:BF44)</f>
        <v>13.545883330708529</v>
      </c>
      <c r="BP36" t="s">
        <v>280</v>
      </c>
    </row>
    <row r="37" spans="1:68" x14ac:dyDescent="0.25">
      <c r="A37" t="s">
        <v>60</v>
      </c>
      <c r="L37" s="13">
        <v>1</v>
      </c>
      <c r="M37" s="13" t="s">
        <v>93</v>
      </c>
      <c r="N37" s="4">
        <v>17881</v>
      </c>
      <c r="O37">
        <f>IF(N37&lt;=0,0,N37*((6989.33*0+66642.357)/(6989.33*L37+66642.357)))</f>
        <v>16183.684417240094</v>
      </c>
      <c r="P37">
        <f>IF(AVERAGE($O$37:$O$38,$O$45:$O$46)&gt;0,IF(O37-AVERAGE($O$37:$O$38,$O$45:$O$46)&lt;=0,0,O37-AVERAGE($O$37:$O$38,$O$45:$O$46)),O37)</f>
        <v>0</v>
      </c>
      <c r="Q37">
        <v>0</v>
      </c>
      <c r="R37">
        <f t="shared" si="14"/>
        <v>0</v>
      </c>
      <c r="S37">
        <f t="shared" si="15"/>
        <v>0</v>
      </c>
      <c r="AC37" s="7">
        <v>12</v>
      </c>
      <c r="AD37" s="91" t="s">
        <v>72</v>
      </c>
      <c r="AE37" s="91">
        <v>161777</v>
      </c>
      <c r="AF37" s="90">
        <f t="shared" si="97"/>
        <v>42296.043952101667</v>
      </c>
      <c r="AG37" s="88">
        <f t="shared" si="98"/>
        <v>0</v>
      </c>
      <c r="AH37" s="89">
        <f t="shared" si="99"/>
        <v>0</v>
      </c>
      <c r="AI37" s="88">
        <f t="shared" si="100"/>
        <v>0</v>
      </c>
      <c r="AJ37" s="89">
        <f t="shared" ref="AJ37:AJ43" si="110">IF(AVERAGE($AH$13,$AH$36,$AH$38)&gt;0,IF(AH37-MAX($AH$13,$AH$36,$AH$38)&lt;=0,0,AH37-MAX($AH$13,$AH$36,$AH$38)),AH37)</f>
        <v>0</v>
      </c>
      <c r="AK37" s="88">
        <f>IF(AVERAGE($AI$21,$AI$37,$AI$45)&gt;0,IF(AI37-MAX($AI$21,$AI$37,$AI$45)&lt;=0,0,AI37-MAX($AI$21,$AI$37,$AI$45)),AI37)</f>
        <v>0</v>
      </c>
      <c r="AL37" s="92">
        <f t="shared" si="92"/>
        <v>0</v>
      </c>
      <c r="AM37" s="88">
        <f t="shared" si="93"/>
        <v>0</v>
      </c>
      <c r="AN37" s="89">
        <f t="shared" si="105"/>
        <v>0</v>
      </c>
      <c r="AO37" s="88">
        <f t="shared" si="106"/>
        <v>0</v>
      </c>
      <c r="AP37" s="89">
        <f t="shared" ref="AP37:AP52" si="111">AN37*$AN$2</f>
        <v>0</v>
      </c>
      <c r="AQ37" s="88">
        <f t="shared" ref="AQ37:AQ52" si="112">AO37*$AN$2</f>
        <v>0</v>
      </c>
      <c r="AR37" s="89">
        <v>0</v>
      </c>
      <c r="AS37" s="88">
        <f t="shared" si="36"/>
        <v>0</v>
      </c>
      <c r="AT37" s="89">
        <f t="shared" si="94"/>
        <v>0</v>
      </c>
      <c r="AU37" s="88">
        <f t="shared" si="37"/>
        <v>0</v>
      </c>
      <c r="AV37" s="89">
        <f t="shared" si="46"/>
        <v>0</v>
      </c>
      <c r="AW37" s="88">
        <f t="shared" si="37"/>
        <v>0</v>
      </c>
      <c r="AX37" s="89">
        <f t="shared" si="107"/>
        <v>0</v>
      </c>
      <c r="AY37" s="88">
        <f t="shared" ref="AY37" si="113">AX37*$AS$1</f>
        <v>0</v>
      </c>
      <c r="AZ37" s="89">
        <f t="shared" si="48"/>
        <v>0</v>
      </c>
      <c r="BA37" s="89">
        <f t="shared" ref="BA37" si="114">AZ37*$AS$1</f>
        <v>0</v>
      </c>
      <c r="BB37" s="88"/>
      <c r="BC37" s="102"/>
      <c r="BD37" s="106"/>
      <c r="BE37" s="102"/>
      <c r="BF37" s="102"/>
      <c r="BJ37" t="s">
        <v>279</v>
      </c>
      <c r="BK37" t="s">
        <v>277</v>
      </c>
      <c r="BL37" s="24"/>
      <c r="BM37" s="94">
        <f>AVERAGE(BD47:BD52)</f>
        <v>44.564824650782136</v>
      </c>
      <c r="BN37" s="24"/>
      <c r="BO37" s="94">
        <f>AVERAGE(BF47:BF52)</f>
        <v>37.854936274636437</v>
      </c>
      <c r="BP37" s="24" t="s">
        <v>200</v>
      </c>
    </row>
    <row r="38" spans="1:68" x14ac:dyDescent="0.25">
      <c r="A38" t="s">
        <v>61</v>
      </c>
      <c r="L38" s="13">
        <v>2</v>
      </c>
      <c r="M38" s="13" t="s">
        <v>94</v>
      </c>
      <c r="N38" s="8">
        <v>29907</v>
      </c>
      <c r="O38">
        <f t="shared" ref="O38:O46" si="115">IF(N38&lt;=0,0,N38*((6989.33*0+66642.357)/(6989.33*L38+66642.357)))</f>
        <v>24721.506189868578</v>
      </c>
      <c r="P38">
        <f t="shared" ref="P38:P46" si="116">IF(AVERAGE($O$37:$O$38,$O$45:$O$46)&gt;0,IF(O38-AVERAGE($O$37:$O$38,$O$45:$O$46)&lt;=0,0,O38-AVERAGE($O$37:$O$38,$O$45:$O$46)),O38)</f>
        <v>1026.471631157794</v>
      </c>
      <c r="Q38">
        <v>0</v>
      </c>
      <c r="R38">
        <f t="shared" si="14"/>
        <v>0</v>
      </c>
      <c r="S38">
        <f t="shared" si="15"/>
        <v>0</v>
      </c>
      <c r="AC38">
        <v>13</v>
      </c>
      <c r="AD38" s="88" t="s">
        <v>73</v>
      </c>
      <c r="AE38" s="88">
        <v>159672</v>
      </c>
      <c r="AF38" s="90">
        <f t="shared" si="97"/>
        <v>39325.374738256454</v>
      </c>
      <c r="AG38" s="88">
        <f t="shared" si="98"/>
        <v>0</v>
      </c>
      <c r="AH38" s="89">
        <f t="shared" si="99"/>
        <v>0</v>
      </c>
      <c r="AI38" s="88">
        <f t="shared" si="100"/>
        <v>0</v>
      </c>
      <c r="AJ38" s="89">
        <f t="shared" si="110"/>
        <v>0</v>
      </c>
      <c r="AK38" s="88">
        <f>IF(AVERAGE($AI$13,$AI$36,$AI$38)&gt;0,IF(AI38-MAX($AI$13,$AI$36,$AI$38)&lt;=0,0,AI38-MAX($AI$13,$AI$36,$AI$38)),AI38)</f>
        <v>0</v>
      </c>
      <c r="AL38" s="92">
        <f t="shared" si="92"/>
        <v>0</v>
      </c>
      <c r="AM38" s="88">
        <f t="shared" si="93"/>
        <v>0</v>
      </c>
      <c r="AN38" s="89">
        <f t="shared" si="105"/>
        <v>0</v>
      </c>
      <c r="AO38" s="88">
        <f t="shared" si="106"/>
        <v>0</v>
      </c>
      <c r="AP38" s="89">
        <f t="shared" si="111"/>
        <v>0</v>
      </c>
      <c r="AQ38" s="88">
        <f t="shared" si="112"/>
        <v>0</v>
      </c>
      <c r="AR38" s="89">
        <v>0</v>
      </c>
      <c r="AS38" s="88">
        <f t="shared" si="36"/>
        <v>0</v>
      </c>
      <c r="AT38" s="89">
        <f t="shared" si="94"/>
        <v>0</v>
      </c>
      <c r="AU38" s="88">
        <f t="shared" si="37"/>
        <v>0</v>
      </c>
      <c r="AV38" s="89">
        <f t="shared" si="46"/>
        <v>0</v>
      </c>
      <c r="AW38" s="88">
        <f t="shared" si="37"/>
        <v>0</v>
      </c>
      <c r="AX38" s="89">
        <f t="shared" si="107"/>
        <v>0</v>
      </c>
      <c r="AY38" s="88">
        <f t="shared" ref="AY38" si="117">AX38*$AS$1</f>
        <v>0</v>
      </c>
      <c r="AZ38" s="89">
        <f t="shared" si="48"/>
        <v>0</v>
      </c>
      <c r="BA38" s="89">
        <f t="shared" ref="BA38" si="118">AZ38*$AS$1</f>
        <v>0</v>
      </c>
      <c r="BB38" s="88"/>
      <c r="BC38" s="102"/>
      <c r="BD38" s="106"/>
      <c r="BE38" s="102"/>
      <c r="BF38" s="102"/>
      <c r="BM38" s="54">
        <f>STDEV(BD47:BD52)</f>
        <v>15.194717632001018</v>
      </c>
      <c r="BN38" s="54"/>
      <c r="BO38" s="54">
        <f>STDEV(BF47:BF52)</f>
        <v>14.795792921329951</v>
      </c>
      <c r="BP38" t="s">
        <v>280</v>
      </c>
    </row>
    <row r="39" spans="1:68" x14ac:dyDescent="0.25">
      <c r="A39" t="s">
        <v>2</v>
      </c>
      <c r="L39" s="13">
        <v>3</v>
      </c>
      <c r="M39" s="13" t="s">
        <v>95</v>
      </c>
      <c r="N39" s="8">
        <v>165906</v>
      </c>
      <c r="O39">
        <f t="shared" si="115"/>
        <v>126199.32757990331</v>
      </c>
      <c r="P39">
        <f t="shared" si="116"/>
        <v>102504.29302119253</v>
      </c>
      <c r="Q39">
        <v>0.05</v>
      </c>
      <c r="R39">
        <f t="shared" si="14"/>
        <v>0.25</v>
      </c>
      <c r="S39">
        <f t="shared" si="15"/>
        <v>0.25</v>
      </c>
      <c r="AC39">
        <v>14</v>
      </c>
      <c r="AD39" s="8" t="s">
        <v>74</v>
      </c>
      <c r="AE39" s="8">
        <v>3716147</v>
      </c>
      <c r="AF39" s="63">
        <f t="shared" si="97"/>
        <v>865088.28574716602</v>
      </c>
      <c r="AG39" s="8">
        <f t="shared" si="98"/>
        <v>815284.42475782265</v>
      </c>
      <c r="AH39">
        <f t="shared" si="99"/>
        <v>3.4275914338006288</v>
      </c>
      <c r="AI39" s="8">
        <f t="shared" si="100"/>
        <v>3.6528500198346632</v>
      </c>
      <c r="AJ39">
        <f>IF(AVERAGE($AH$13,$AH$36,$AH$38)&gt;0,IF(AH39-MAX($AH$13,$AH$36,$AH$38)&lt;=0,0,AH39-MAX($AH$13,$AH$36,$AH$38)),AH39)</f>
        <v>3.4275914338006288</v>
      </c>
      <c r="AK39" s="8">
        <f t="shared" ref="AK39:AK44" si="119">IF(AVERAGE($AI$13,$AI$36,$AI$38)&gt;0,IF(AI39-MAX($AI$13,$AI$36,$AI$38)&lt;=0,0,AI39-MAX($AI$13,$AI$36,$AI$38)),AI39)</f>
        <v>3.6528500198346632</v>
      </c>
      <c r="AL39" s="9">
        <f t="shared" si="92"/>
        <v>3.4275914338006288</v>
      </c>
      <c r="AM39" s="8">
        <f t="shared" si="93"/>
        <v>3.6528500198346632</v>
      </c>
      <c r="AN39">
        <f t="shared" si="105"/>
        <v>6.8551828676012576</v>
      </c>
      <c r="AO39" s="8">
        <f t="shared" si="106"/>
        <v>7.3057000396693264</v>
      </c>
      <c r="AP39">
        <f t="shared" si="111"/>
        <v>54.841462940810061</v>
      </c>
      <c r="AQ39" s="8">
        <f t="shared" si="112"/>
        <v>58.445600317354611</v>
      </c>
      <c r="AR39">
        <v>12.5</v>
      </c>
      <c r="AS39" s="8">
        <f t="shared" si="36"/>
        <v>100</v>
      </c>
      <c r="AT39">
        <f t="shared" si="94"/>
        <v>3.2593652462296938</v>
      </c>
      <c r="AU39" s="8">
        <f t="shared" si="37"/>
        <v>65.187304924593874</v>
      </c>
      <c r="AV39">
        <f t="shared" si="46"/>
        <v>3.0625147764208398</v>
      </c>
      <c r="AW39" s="8">
        <f t="shared" si="37"/>
        <v>61.2502955284168</v>
      </c>
      <c r="AX39">
        <f t="shared" si="107"/>
        <v>3.473568140861178</v>
      </c>
      <c r="AY39" s="8">
        <f t="shared" ref="AY39" si="120">AX39*$AS$1</f>
        <v>69.471362817223564</v>
      </c>
      <c r="AZ39">
        <f t="shared" si="48"/>
        <v>3.1779734538865827</v>
      </c>
      <c r="BA39">
        <f t="shared" ref="BA39" si="121">AZ39*$AS$1</f>
        <v>63.559469077731656</v>
      </c>
      <c r="BB39" s="8"/>
      <c r="BC39" s="97" t="str">
        <f t="shared" si="40"/>
        <v>&lt; 0</v>
      </c>
      <c r="BD39" s="107" t="str">
        <f t="shared" si="41"/>
        <v>&lt; 0</v>
      </c>
      <c r="BE39" s="97" t="str">
        <f t="shared" si="42"/>
        <v>&lt; 0</v>
      </c>
      <c r="BF39" s="97" t="str">
        <f t="shared" si="43"/>
        <v>&lt; 0</v>
      </c>
      <c r="BI39" t="s">
        <v>170</v>
      </c>
      <c r="BK39" t="s">
        <v>276</v>
      </c>
    </row>
    <row r="40" spans="1:68" x14ac:dyDescent="0.25">
      <c r="A40" t="s">
        <v>4</v>
      </c>
      <c r="L40" s="13">
        <v>4</v>
      </c>
      <c r="M40" s="13" t="s">
        <v>96</v>
      </c>
      <c r="N40" s="8">
        <v>185386</v>
      </c>
      <c r="O40">
        <f t="shared" si="115"/>
        <v>130598.33169199934</v>
      </c>
      <c r="P40">
        <f t="shared" si="116"/>
        <v>106903.29713328855</v>
      </c>
      <c r="Q40">
        <v>0.05</v>
      </c>
      <c r="R40">
        <f t="shared" si="14"/>
        <v>0.25</v>
      </c>
      <c r="S40">
        <f t="shared" si="15"/>
        <v>0.25</v>
      </c>
      <c r="AC40">
        <v>15</v>
      </c>
      <c r="AD40" s="8" t="s">
        <v>75</v>
      </c>
      <c r="AE40" s="8">
        <v>2829348</v>
      </c>
      <c r="AF40" s="63">
        <f t="shared" si="97"/>
        <v>624429.69687819842</v>
      </c>
      <c r="AG40" s="8">
        <f t="shared" si="98"/>
        <v>574625.83588885504</v>
      </c>
      <c r="AH40">
        <f t="shared" si="99"/>
        <v>2.2747434345534878</v>
      </c>
      <c r="AI40" s="8">
        <f t="shared" si="100"/>
        <v>2.4933538712795289</v>
      </c>
      <c r="AJ40">
        <f t="shared" si="110"/>
        <v>2.2747434345534878</v>
      </c>
      <c r="AK40" s="8">
        <f t="shared" si="119"/>
        <v>2.4933538712795289</v>
      </c>
      <c r="AL40" s="9">
        <f t="shared" si="92"/>
        <v>2.2747434345534878</v>
      </c>
      <c r="AM40" s="8">
        <f t="shared" si="93"/>
        <v>2.4933538712795289</v>
      </c>
      <c r="AN40">
        <f t="shared" si="105"/>
        <v>4.5494868691069756</v>
      </c>
      <c r="AO40" s="8">
        <f t="shared" si="106"/>
        <v>4.9867077425590578</v>
      </c>
      <c r="AP40">
        <f t="shared" si="111"/>
        <v>36.395894952855805</v>
      </c>
      <c r="AQ40" s="8">
        <f t="shared" si="112"/>
        <v>39.893661940472462</v>
      </c>
      <c r="AR40">
        <v>12.5</v>
      </c>
      <c r="AS40" s="8">
        <f t="shared" si="36"/>
        <v>100</v>
      </c>
      <c r="AT40">
        <f t="shared" si="94"/>
        <v>2.1630990267856025</v>
      </c>
      <c r="AU40" s="8">
        <f t="shared" si="37"/>
        <v>43.261980535712048</v>
      </c>
      <c r="AV40">
        <f t="shared" si="46"/>
        <v>2.4129732525618248</v>
      </c>
      <c r="AW40" s="8">
        <f t="shared" si="37"/>
        <v>48.259465051236496</v>
      </c>
      <c r="AX40">
        <f t="shared" si="107"/>
        <v>2.3709800632771296</v>
      </c>
      <c r="AY40" s="8">
        <f t="shared" ref="AY40" si="122">AX40*$AS$1</f>
        <v>47.419601265542596</v>
      </c>
      <c r="AZ40">
        <f t="shared" si="48"/>
        <v>2.5452061685659775</v>
      </c>
      <c r="BA40">
        <f t="shared" ref="BA40" si="123">AZ40*$AS$1</f>
        <v>50.90412337131955</v>
      </c>
      <c r="BB40" s="8"/>
      <c r="BC40" s="97">
        <f t="shared" si="40"/>
        <v>20.342124511432147</v>
      </c>
      <c r="BD40" s="107">
        <f t="shared" si="41"/>
        <v>15.344639995907698</v>
      </c>
      <c r="BE40" s="97">
        <f t="shared" si="42"/>
        <v>12.686736793984949</v>
      </c>
      <c r="BF40" s="97">
        <f t="shared" si="43"/>
        <v>9.202214688207988</v>
      </c>
      <c r="BK40" t="s">
        <v>277</v>
      </c>
    </row>
    <row r="41" spans="1:68" x14ac:dyDescent="0.25">
      <c r="A41" s="1"/>
      <c r="B41" s="2"/>
      <c r="C41" t="s">
        <v>8</v>
      </c>
      <c r="E41" t="s">
        <v>9</v>
      </c>
      <c r="F41" s="8"/>
      <c r="G41" t="s">
        <v>6</v>
      </c>
      <c r="H41" s="8"/>
      <c r="I41" s="63" t="s">
        <v>210</v>
      </c>
      <c r="L41" s="13">
        <v>5</v>
      </c>
      <c r="M41" s="13" t="s">
        <v>97</v>
      </c>
      <c r="N41" s="8">
        <v>1864943</v>
      </c>
      <c r="O41">
        <f t="shared" si="115"/>
        <v>1223402.0280427684</v>
      </c>
      <c r="P41">
        <f t="shared" si="116"/>
        <v>1199706.9934840575</v>
      </c>
      <c r="Q41">
        <v>0.5</v>
      </c>
      <c r="R41">
        <f t="shared" si="14"/>
        <v>2.5</v>
      </c>
      <c r="S41">
        <f t="shared" si="15"/>
        <v>2.5</v>
      </c>
      <c r="AC41">
        <v>16</v>
      </c>
      <c r="AD41" s="8" t="s">
        <v>76</v>
      </c>
      <c r="AE41" s="8">
        <v>1709465</v>
      </c>
      <c r="AF41" s="63">
        <f t="shared" si="97"/>
        <v>358641.75328332972</v>
      </c>
      <c r="AG41" s="8">
        <f t="shared" si="98"/>
        <v>308837.89229398634</v>
      </c>
      <c r="AH41">
        <f t="shared" si="99"/>
        <v>1.0015160777513987</v>
      </c>
      <c r="AI41" s="8">
        <f t="shared" si="100"/>
        <v>1.2127841713614611</v>
      </c>
      <c r="AJ41">
        <f t="shared" si="110"/>
        <v>1.0015160777513987</v>
      </c>
      <c r="AK41" s="8">
        <f t="shared" si="119"/>
        <v>1.2127841713614611</v>
      </c>
      <c r="AL41" s="9">
        <f t="shared" si="92"/>
        <v>1.0015160777513987</v>
      </c>
      <c r="AM41" s="8">
        <f t="shared" si="93"/>
        <v>1.2127841713614611</v>
      </c>
      <c r="AN41">
        <f t="shared" si="105"/>
        <v>2.0030321555027975</v>
      </c>
      <c r="AO41" s="8">
        <f t="shared" si="106"/>
        <v>2.4255683427229222</v>
      </c>
      <c r="AP41">
        <f t="shared" si="111"/>
        <v>16.02425724402238</v>
      </c>
      <c r="AQ41" s="8">
        <f t="shared" si="112"/>
        <v>19.404546741783378</v>
      </c>
      <c r="AR41">
        <v>12.5</v>
      </c>
      <c r="AS41" s="8">
        <f t="shared" si="36"/>
        <v>100</v>
      </c>
      <c r="AT41">
        <f t="shared" si="94"/>
        <v>0.95236166865536009</v>
      </c>
      <c r="AU41" s="8">
        <f t="shared" si="37"/>
        <v>19.047233373107201</v>
      </c>
      <c r="AV41">
        <f t="shared" si="46"/>
        <v>1.4976398627281584</v>
      </c>
      <c r="AW41" s="8">
        <f t="shared" si="37"/>
        <v>29.952797254563169</v>
      </c>
      <c r="AX41">
        <f t="shared" si="107"/>
        <v>1.1532607242310406</v>
      </c>
      <c r="AY41" s="8">
        <f t="shared" ref="AY41" si="124">AX41*$AS$1</f>
        <v>23.065214484620814</v>
      </c>
      <c r="AZ41">
        <f t="shared" si="48"/>
        <v>1.6739337832222279</v>
      </c>
      <c r="BA41">
        <f t="shared" ref="BA41" si="125">AZ41*$AS$1</f>
        <v>33.478675664444559</v>
      </c>
      <c r="BB41" s="8"/>
      <c r="BC41" s="97">
        <f t="shared" si="40"/>
        <v>64.928509382870416</v>
      </c>
      <c r="BD41" s="107">
        <f t="shared" si="41"/>
        <v>54.022945501414455</v>
      </c>
      <c r="BE41" s="97">
        <f t="shared" si="42"/>
        <v>57.530238773595812</v>
      </c>
      <c r="BF41" s="97">
        <f t="shared" si="43"/>
        <v>47.116777593772063</v>
      </c>
      <c r="BI41" t="s">
        <v>171</v>
      </c>
      <c r="BK41" t="s">
        <v>276</v>
      </c>
    </row>
    <row r="42" spans="1:68" x14ac:dyDescent="0.25">
      <c r="A42" s="5" t="s">
        <v>11</v>
      </c>
      <c r="B42" s="6" t="s">
        <v>12</v>
      </c>
      <c r="C42" s="7" t="s">
        <v>16</v>
      </c>
      <c r="D42" s="6" t="s">
        <v>17</v>
      </c>
      <c r="E42" s="7" t="s">
        <v>18</v>
      </c>
      <c r="F42" s="6" t="s">
        <v>19</v>
      </c>
      <c r="G42" s="7" t="s">
        <v>14</v>
      </c>
      <c r="H42" s="6" t="s">
        <v>15</v>
      </c>
      <c r="I42" s="23" t="s">
        <v>211</v>
      </c>
      <c r="L42" s="13">
        <v>6</v>
      </c>
      <c r="M42" s="13" t="s">
        <v>98</v>
      </c>
      <c r="N42" s="8">
        <v>1991144</v>
      </c>
      <c r="O42">
        <f t="shared" si="115"/>
        <v>1222108.6908561513</v>
      </c>
      <c r="P42">
        <f t="shared" si="116"/>
        <v>1198413.6562974404</v>
      </c>
      <c r="Q42">
        <v>0.5</v>
      </c>
      <c r="R42">
        <f t="shared" si="14"/>
        <v>2.5</v>
      </c>
      <c r="S42">
        <f t="shared" si="15"/>
        <v>2.5</v>
      </c>
      <c r="AC42">
        <v>17</v>
      </c>
      <c r="AD42" s="8" t="s">
        <v>77</v>
      </c>
      <c r="AE42" s="8">
        <v>2483082</v>
      </c>
      <c r="AF42" s="63">
        <f t="shared" si="97"/>
        <v>496427.40678473725</v>
      </c>
      <c r="AG42" s="8">
        <f t="shared" si="98"/>
        <v>446623.54579539387</v>
      </c>
      <c r="AH42">
        <f>IF(AG42&lt;=0,0,(AG42-99770.048)/208751.361)</f>
        <v>1.6615628091420869</v>
      </c>
      <c r="AI42" s="8">
        <f t="shared" si="100"/>
        <v>1.8766372061185981</v>
      </c>
      <c r="AJ42">
        <f t="shared" si="110"/>
        <v>1.6615628091420869</v>
      </c>
      <c r="AK42" s="8">
        <f t="shared" si="119"/>
        <v>1.8766372061185981</v>
      </c>
      <c r="AL42" s="9">
        <f t="shared" si="92"/>
        <v>1.6615628091420869</v>
      </c>
      <c r="AM42" s="8">
        <f t="shared" si="93"/>
        <v>1.8766372061185981</v>
      </c>
      <c r="AN42">
        <f t="shared" si="105"/>
        <v>3.3231256182841737</v>
      </c>
      <c r="AO42" s="8">
        <f t="shared" si="106"/>
        <v>3.7532744122371962</v>
      </c>
      <c r="AP42">
        <f t="shared" si="111"/>
        <v>26.58500494627339</v>
      </c>
      <c r="AQ42" s="8">
        <f t="shared" si="112"/>
        <v>30.026195297897569</v>
      </c>
      <c r="AR42">
        <v>12.5</v>
      </c>
      <c r="AS42" s="8">
        <f t="shared" si="36"/>
        <v>100</v>
      </c>
      <c r="AT42">
        <f t="shared" si="94"/>
        <v>1.5800133064693933</v>
      </c>
      <c r="AU42" s="8">
        <f t="shared" si="37"/>
        <v>31.600266129387865</v>
      </c>
      <c r="AV42">
        <f t="shared" si="46"/>
        <v>2.0101928147287436</v>
      </c>
      <c r="AW42" s="8">
        <f t="shared" si="37"/>
        <v>40.203856294574869</v>
      </c>
      <c r="AX42">
        <f t="shared" si="107"/>
        <v>1.7845318520422973</v>
      </c>
      <c r="AY42" s="8">
        <f t="shared" ref="AY42" si="126">AX42*$AS$1</f>
        <v>35.690637040845942</v>
      </c>
      <c r="AZ42">
        <f t="shared" si="48"/>
        <v>2.1576134817122901</v>
      </c>
      <c r="BA42">
        <f t="shared" ref="BA42" si="127">AZ42*$AS$1</f>
        <v>43.152269634245798</v>
      </c>
      <c r="BB42" s="8"/>
      <c r="BC42" s="97">
        <f t="shared" si="40"/>
        <v>41.814728924338745</v>
      </c>
      <c r="BD42" s="107">
        <f t="shared" si="41"/>
        <v>33.211138759151737</v>
      </c>
      <c r="BE42" s="97">
        <f t="shared" si="42"/>
        <v>34.283167661256485</v>
      </c>
      <c r="BF42" s="97">
        <f t="shared" si="43"/>
        <v>26.82153506785663</v>
      </c>
      <c r="BK42" t="s">
        <v>277</v>
      </c>
    </row>
    <row r="43" spans="1:68" ht="15.75" thickBot="1" x14ac:dyDescent="0.3">
      <c r="A43">
        <v>1</v>
      </c>
      <c r="B43" s="4" t="s">
        <v>66</v>
      </c>
      <c r="C43">
        <v>0</v>
      </c>
      <c r="D43" s="8">
        <v>74437</v>
      </c>
      <c r="E43" s="14">
        <v>0</v>
      </c>
      <c r="F43" s="8">
        <v>0</v>
      </c>
      <c r="G43">
        <v>0</v>
      </c>
      <c r="H43" s="65">
        <v>55367</v>
      </c>
      <c r="L43" s="13">
        <v>7</v>
      </c>
      <c r="M43" s="13" t="s">
        <v>99</v>
      </c>
      <c r="N43" s="8">
        <v>4449364</v>
      </c>
      <c r="O43">
        <f t="shared" si="115"/>
        <v>2565735.8308613086</v>
      </c>
      <c r="P43">
        <f t="shared" si="116"/>
        <v>2542040.796302598</v>
      </c>
      <c r="Q43" s="16">
        <v>1</v>
      </c>
      <c r="R43">
        <f t="shared" si="14"/>
        <v>5</v>
      </c>
      <c r="S43">
        <f t="shared" si="15"/>
        <v>5</v>
      </c>
      <c r="AC43">
        <v>18</v>
      </c>
      <c r="AD43" s="8" t="s">
        <v>78</v>
      </c>
      <c r="AE43" s="8">
        <v>2553685</v>
      </c>
      <c r="AF43" s="63">
        <f t="shared" si="97"/>
        <v>487594.81176535081</v>
      </c>
      <c r="AG43" s="8">
        <f t="shared" si="98"/>
        <v>437790.95077600743</v>
      </c>
      <c r="AH43">
        <f t="shared" si="99"/>
        <v>1.6192512525751026</v>
      </c>
      <c r="AI43" s="8">
        <f t="shared" si="100"/>
        <v>1.8340816507367703</v>
      </c>
      <c r="AJ43">
        <f t="shared" si="110"/>
        <v>1.6192512525751026</v>
      </c>
      <c r="AK43" s="8">
        <f t="shared" si="119"/>
        <v>1.8340816507367703</v>
      </c>
      <c r="AL43" s="9">
        <f t="shared" si="92"/>
        <v>1.6192512525751026</v>
      </c>
      <c r="AM43" s="8">
        <f t="shared" si="93"/>
        <v>1.8340816507367703</v>
      </c>
      <c r="AN43">
        <f t="shared" si="105"/>
        <v>3.2385025051502052</v>
      </c>
      <c r="AO43" s="8">
        <f t="shared" si="106"/>
        <v>3.6681633014735406</v>
      </c>
      <c r="AP43">
        <f t="shared" si="111"/>
        <v>25.908020041201642</v>
      </c>
      <c r="AQ43" s="8">
        <f t="shared" si="112"/>
        <v>29.345306411788325</v>
      </c>
      <c r="AR43">
        <v>12.5</v>
      </c>
      <c r="AS43" s="8">
        <f t="shared" si="36"/>
        <v>100</v>
      </c>
      <c r="AT43">
        <f t="shared" si="94"/>
        <v>1.5397784010987166</v>
      </c>
      <c r="AU43" s="8">
        <f t="shared" si="37"/>
        <v>30.795568021974333</v>
      </c>
      <c r="AV43">
        <f t="shared" si="46"/>
        <v>1.9802697185502662</v>
      </c>
      <c r="AW43" s="8">
        <f t="shared" si="37"/>
        <v>39.605394371005325</v>
      </c>
      <c r="AX43">
        <f t="shared" si="107"/>
        <v>1.7440649233186096</v>
      </c>
      <c r="AY43" s="8">
        <f t="shared" ref="AY43" si="128">AX43*$AS$1</f>
        <v>34.881298466372193</v>
      </c>
      <c r="AZ43">
        <f t="shared" si="48"/>
        <v>2.1290298026356425</v>
      </c>
      <c r="BA43">
        <f t="shared" ref="BA43" si="129">AZ43*$AS$1</f>
        <v>42.580596052712849</v>
      </c>
      <c r="BB43" s="8"/>
      <c r="BC43" s="97">
        <f t="shared" si="40"/>
        <v>43.296411936824029</v>
      </c>
      <c r="BD43" s="107">
        <f t="shared" si="41"/>
        <v>34.48658558779303</v>
      </c>
      <c r="BE43" s="97">
        <f t="shared" si="42"/>
        <v>35.773395121839485</v>
      </c>
      <c r="BF43" s="97">
        <f t="shared" si="43"/>
        <v>28.074097535498822</v>
      </c>
    </row>
    <row r="44" spans="1:68" x14ac:dyDescent="0.25">
      <c r="A44">
        <v>2</v>
      </c>
      <c r="B44" s="8" t="s">
        <v>67</v>
      </c>
      <c r="C44">
        <v>0</v>
      </c>
      <c r="D44" s="8">
        <v>106760</v>
      </c>
      <c r="E44">
        <v>0</v>
      </c>
      <c r="F44" s="8">
        <v>15856</v>
      </c>
      <c r="G44">
        <v>0</v>
      </c>
      <c r="H44" s="65">
        <v>48985</v>
      </c>
      <c r="I44">
        <f t="shared" ref="I44:I68" si="130">D44/F44</f>
        <v>6.733097880928355</v>
      </c>
      <c r="L44" s="13">
        <v>8</v>
      </c>
      <c r="M44" s="13" t="s">
        <v>100</v>
      </c>
      <c r="N44" s="8">
        <v>3387624</v>
      </c>
      <c r="O44">
        <f t="shared" si="115"/>
        <v>1842075.5527305228</v>
      </c>
      <c r="P44">
        <f t="shared" si="116"/>
        <v>1818380.5181718119</v>
      </c>
      <c r="Q44">
        <v>1</v>
      </c>
      <c r="R44">
        <f t="shared" si="14"/>
        <v>5</v>
      </c>
      <c r="S44">
        <f t="shared" si="15"/>
        <v>5</v>
      </c>
      <c r="AC44" s="7">
        <v>19</v>
      </c>
      <c r="AD44" s="6" t="s">
        <v>79</v>
      </c>
      <c r="AE44" s="6">
        <v>2840796</v>
      </c>
      <c r="AF44" s="63">
        <f t="shared" si="97"/>
        <v>519083.42195122014</v>
      </c>
      <c r="AG44" s="8">
        <f t="shared" si="98"/>
        <v>469279.56096187676</v>
      </c>
      <c r="AH44">
        <f t="shared" si="99"/>
        <v>1.7700939107260563</v>
      </c>
      <c r="AI44" s="8">
        <f t="shared" si="100"/>
        <v>1.9857941759595819</v>
      </c>
      <c r="AJ44">
        <f>IF(AVERAGE($AH$13,$AH$36,$AH$38)&gt;0,IF(AH44-MAX($AH$13,$AH$36,$AH$38)&lt;=0,0,AH44-MAX($AH$13,$AH$36,$AH$38)),AH44)</f>
        <v>1.7700939107260563</v>
      </c>
      <c r="AK44" s="8">
        <f t="shared" si="119"/>
        <v>1.9857941759595819</v>
      </c>
      <c r="AL44" s="9">
        <f t="shared" si="92"/>
        <v>1.7700939107260563</v>
      </c>
      <c r="AM44" s="8">
        <f t="shared" si="93"/>
        <v>1.9857941759595819</v>
      </c>
      <c r="AN44">
        <f t="shared" si="105"/>
        <v>3.5401878214521125</v>
      </c>
      <c r="AO44" s="8">
        <f t="shared" si="106"/>
        <v>3.9715883519191637</v>
      </c>
      <c r="AP44">
        <f t="shared" si="111"/>
        <v>28.3215025716169</v>
      </c>
      <c r="AQ44" s="8">
        <f t="shared" si="112"/>
        <v>31.77270681535331</v>
      </c>
      <c r="AR44">
        <v>12.5</v>
      </c>
      <c r="AS44" s="8">
        <f t="shared" si="36"/>
        <v>100</v>
      </c>
      <c r="AT44">
        <f t="shared" si="94"/>
        <v>1.6832177015876213</v>
      </c>
      <c r="AU44" s="8">
        <f t="shared" si="37"/>
        <v>33.664354031752424</v>
      </c>
      <c r="AV44">
        <f t="shared" si="46"/>
        <v>2.0855224704887441</v>
      </c>
      <c r="AW44" s="8">
        <f t="shared" si="37"/>
        <v>41.710449409774881</v>
      </c>
      <c r="AX44">
        <f t="shared" si="107"/>
        <v>1.8883313978034855</v>
      </c>
      <c r="AY44" s="8">
        <f t="shared" ref="AY44" si="131">AX44*$AS$1</f>
        <v>37.766627956069712</v>
      </c>
      <c r="AZ44">
        <f t="shared" si="48"/>
        <v>2.2297171877615636</v>
      </c>
      <c r="BA44">
        <f t="shared" ref="BA44" si="132">AZ44*$AS$1</f>
        <v>44.594343755231272</v>
      </c>
      <c r="BB44" s="8"/>
      <c r="BC44" s="97">
        <f t="shared" si="40"/>
        <v>38.014143396630672</v>
      </c>
      <c r="BD44" s="107">
        <f t="shared" si="41"/>
        <v>29.968048018608215</v>
      </c>
      <c r="BE44" s="97">
        <f t="shared" si="42"/>
        <v>30.460665228576971</v>
      </c>
      <c r="BF44" s="97">
        <f t="shared" si="43"/>
        <v>23.632949429415419</v>
      </c>
      <c r="BI44" s="109" t="s">
        <v>175</v>
      </c>
      <c r="BJ44" s="110" t="s">
        <v>182</v>
      </c>
      <c r="BK44" s="110" t="s">
        <v>303</v>
      </c>
      <c r="BL44" s="110"/>
      <c r="BM44" s="110" t="s">
        <v>304</v>
      </c>
      <c r="BN44" s="111"/>
    </row>
    <row r="45" spans="1:68" x14ac:dyDescent="0.25">
      <c r="A45">
        <v>3</v>
      </c>
      <c r="B45" s="8" t="s">
        <v>62</v>
      </c>
      <c r="C45">
        <v>349590</v>
      </c>
      <c r="D45" s="8">
        <v>350796</v>
      </c>
      <c r="E45">
        <v>0</v>
      </c>
      <c r="F45" s="8">
        <v>53442</v>
      </c>
      <c r="G45">
        <v>175709</v>
      </c>
      <c r="H45" s="8">
        <v>175709</v>
      </c>
      <c r="I45">
        <f t="shared" si="130"/>
        <v>6.5640507466037947</v>
      </c>
      <c r="L45" s="13">
        <v>9</v>
      </c>
      <c r="M45" s="13" t="s">
        <v>101</v>
      </c>
      <c r="N45" s="8">
        <v>79262</v>
      </c>
      <c r="O45">
        <f t="shared" si="115"/>
        <v>40774.652765986953</v>
      </c>
      <c r="P45">
        <f t="shared" si="116"/>
        <v>17079.618207276169</v>
      </c>
      <c r="Q45">
        <v>0</v>
      </c>
      <c r="R45">
        <f t="shared" si="14"/>
        <v>0</v>
      </c>
      <c r="S45">
        <f t="shared" si="15"/>
        <v>0</v>
      </c>
      <c r="AC45">
        <v>20</v>
      </c>
      <c r="AD45" s="88" t="s">
        <v>80</v>
      </c>
      <c r="AE45" s="88">
        <v>352166</v>
      </c>
      <c r="AF45" s="90">
        <f t="shared" si="97"/>
        <v>61695.600077054565</v>
      </c>
      <c r="AG45" s="88">
        <f t="shared" si="98"/>
        <v>11891.739087711183</v>
      </c>
      <c r="AH45" s="89">
        <f t="shared" si="99"/>
        <v>-0.42097119027783875</v>
      </c>
      <c r="AI45" s="88">
        <f t="shared" si="100"/>
        <v>-0.21790617960043873</v>
      </c>
      <c r="AJ45" s="89">
        <f>IF(AVERAGE($AH$21,$AH$37,$AH$45)&gt;0,IF(AH45-MAX($AH$21,$AH$37,$AH$45)&lt;=0,0,AH45-MAX($AH$21,$AH$37,$AH$45)),AH45)</f>
        <v>-0.42097119027783875</v>
      </c>
      <c r="AK45" s="88">
        <f>IF(AVERAGE($AI$21,$AI$37,$AI$45)&gt;0,IF(AI45-MAX($AI$21,$AI$37,$AI$45)&lt;=0,0,AI45-MAX($AI$21,$AI$37,$AI$45)),AI45)</f>
        <v>-0.21790617960043873</v>
      </c>
      <c r="AL45" s="92">
        <f t="shared" si="92"/>
        <v>0</v>
      </c>
      <c r="AM45" s="88">
        <f t="shared" si="93"/>
        <v>0</v>
      </c>
      <c r="AN45" s="89">
        <f>AL45*$AN$5</f>
        <v>0</v>
      </c>
      <c r="AO45" s="88">
        <f>AM45*$AN$5</f>
        <v>0</v>
      </c>
      <c r="AP45" s="89">
        <f t="shared" si="111"/>
        <v>0</v>
      </c>
      <c r="AQ45" s="88">
        <f t="shared" si="112"/>
        <v>0</v>
      </c>
      <c r="AR45" s="89">
        <v>0</v>
      </c>
      <c r="AS45" s="88">
        <f t="shared" si="36"/>
        <v>0</v>
      </c>
      <c r="AT45" s="89">
        <f t="shared" si="94"/>
        <v>0</v>
      </c>
      <c r="AU45" s="88">
        <f t="shared" si="37"/>
        <v>0</v>
      </c>
      <c r="AV45" s="89">
        <f t="shared" si="46"/>
        <v>0</v>
      </c>
      <c r="AW45" s="88">
        <f t="shared" si="37"/>
        <v>0</v>
      </c>
      <c r="AX45" s="89">
        <f t="shared" si="107"/>
        <v>0</v>
      </c>
      <c r="AY45" s="88">
        <f t="shared" ref="AY45" si="133">AX45*$AS$1</f>
        <v>0</v>
      </c>
      <c r="AZ45" s="89">
        <f t="shared" si="48"/>
        <v>0</v>
      </c>
      <c r="BA45" s="89">
        <f t="shared" ref="BA45" si="134">AZ45*$AS$1</f>
        <v>0</v>
      </c>
      <c r="BB45" s="88"/>
      <c r="BC45" s="102">
        <f t="shared" si="40"/>
        <v>0</v>
      </c>
      <c r="BD45" s="106">
        <f t="shared" si="41"/>
        <v>0</v>
      </c>
      <c r="BE45" s="102">
        <f t="shared" si="42"/>
        <v>0</v>
      </c>
      <c r="BF45" s="102">
        <f t="shared" si="43"/>
        <v>0</v>
      </c>
      <c r="BI45" s="112"/>
      <c r="BJ45" s="13" t="s">
        <v>240</v>
      </c>
      <c r="BK45" s="13" t="s">
        <v>266</v>
      </c>
      <c r="BL45" s="13" t="s">
        <v>265</v>
      </c>
      <c r="BM45" s="13" t="s">
        <v>266</v>
      </c>
      <c r="BN45" s="113" t="s">
        <v>265</v>
      </c>
    </row>
    <row r="46" spans="1:68" x14ac:dyDescent="0.25">
      <c r="A46">
        <v>4</v>
      </c>
      <c r="B46" s="8" t="s">
        <v>63</v>
      </c>
      <c r="C46">
        <v>286253</v>
      </c>
      <c r="D46" s="8">
        <v>286253</v>
      </c>
      <c r="E46">
        <v>0</v>
      </c>
      <c r="F46" s="8">
        <v>42659</v>
      </c>
      <c r="G46">
        <v>99557</v>
      </c>
      <c r="H46" s="8">
        <v>107586</v>
      </c>
      <c r="I46">
        <f t="shared" si="130"/>
        <v>6.7102604374223489</v>
      </c>
      <c r="L46" s="13">
        <v>20</v>
      </c>
      <c r="M46" s="13" t="s">
        <v>118</v>
      </c>
      <c r="N46" s="6">
        <v>40579</v>
      </c>
      <c r="O46">
        <f t="shared" si="115"/>
        <v>13100.294861747523</v>
      </c>
      <c r="P46">
        <f t="shared" si="116"/>
        <v>0</v>
      </c>
      <c r="Q46">
        <v>0</v>
      </c>
      <c r="R46">
        <f t="shared" si="14"/>
        <v>0</v>
      </c>
      <c r="S46">
        <f t="shared" si="15"/>
        <v>0</v>
      </c>
      <c r="AC46">
        <v>21</v>
      </c>
      <c r="AD46" s="8" t="s">
        <v>88</v>
      </c>
      <c r="AE46" s="8">
        <v>20264</v>
      </c>
      <c r="AF46" s="63">
        <f t="shared" si="97"/>
        <v>3409.4228817190337</v>
      </c>
      <c r="AG46" s="8">
        <f t="shared" si="98"/>
        <v>0</v>
      </c>
      <c r="AH46">
        <f t="shared" si="99"/>
        <v>0</v>
      </c>
      <c r="AI46" s="8">
        <f t="shared" si="100"/>
        <v>0</v>
      </c>
      <c r="AK46" s="8"/>
      <c r="AL46" s="9">
        <f t="shared" si="92"/>
        <v>0</v>
      </c>
      <c r="AM46" s="8">
        <f t="shared" si="93"/>
        <v>0</v>
      </c>
      <c r="AO46" s="8"/>
      <c r="AQ46" s="8"/>
      <c r="AR46">
        <v>0</v>
      </c>
      <c r="AS46" s="8">
        <f t="shared" si="36"/>
        <v>0</v>
      </c>
      <c r="AT46">
        <f t="shared" si="94"/>
        <v>0</v>
      </c>
      <c r="AU46" s="8">
        <f t="shared" si="37"/>
        <v>0</v>
      </c>
      <c r="AV46">
        <f t="shared" si="46"/>
        <v>0</v>
      </c>
      <c r="AW46" s="8">
        <f t="shared" si="37"/>
        <v>0</v>
      </c>
      <c r="AX46">
        <f t="shared" si="107"/>
        <v>0</v>
      </c>
      <c r="AY46" s="8">
        <f t="shared" ref="AY46" si="135">AX46*$AS$1</f>
        <v>0</v>
      </c>
      <c r="AZ46">
        <f t="shared" si="48"/>
        <v>0</v>
      </c>
      <c r="BA46">
        <f t="shared" ref="BA46" si="136">AZ46*$AS$1</f>
        <v>0</v>
      </c>
      <c r="BB46" s="8"/>
      <c r="BC46" s="97"/>
      <c r="BD46" s="107"/>
      <c r="BE46" s="97"/>
      <c r="BF46" s="97"/>
      <c r="BI46" s="112" t="s">
        <v>169</v>
      </c>
      <c r="BJ46" s="13"/>
      <c r="BK46" s="13"/>
      <c r="BL46" s="13"/>
      <c r="BM46" s="13"/>
      <c r="BN46" s="113"/>
    </row>
    <row r="47" spans="1:68" x14ac:dyDescent="0.25">
      <c r="A47">
        <v>5</v>
      </c>
      <c r="B47" s="8" t="s">
        <v>64</v>
      </c>
      <c r="C47">
        <v>2057396</v>
      </c>
      <c r="D47" s="8">
        <v>2047550</v>
      </c>
      <c r="E47">
        <v>308210</v>
      </c>
      <c r="F47" s="8">
        <v>309392</v>
      </c>
      <c r="G47">
        <v>268000</v>
      </c>
      <c r="H47" s="8">
        <v>269557</v>
      </c>
      <c r="I47">
        <f t="shared" si="130"/>
        <v>6.6179797796969542</v>
      </c>
      <c r="L47" s="13"/>
      <c r="M47" s="13"/>
      <c r="N47" s="13"/>
      <c r="AC47">
        <v>22</v>
      </c>
      <c r="AD47" s="8" t="s">
        <v>81</v>
      </c>
      <c r="AE47" s="8">
        <v>2172556</v>
      </c>
      <c r="AF47" s="63">
        <f t="shared" si="97"/>
        <v>351606.92856601824</v>
      </c>
      <c r="AG47" s="8">
        <f t="shared" si="98"/>
        <v>301803.06757667486</v>
      </c>
      <c r="AH47">
        <f t="shared" si="99"/>
        <v>0.96781653833947867</v>
      </c>
      <c r="AI47" s="8">
        <f t="shared" si="100"/>
        <v>1.178890296209038</v>
      </c>
      <c r="AJ47">
        <f t="shared" ref="AJ47:AJ52" si="137">IF(AVERAGE($AH$21,$AH$37,$AH$45)&gt;0,IF(AH47-MAX($AH$21,$AH$37,$AH$45)&lt;=0,0,AH47-MAX($AH$21,$AH$37,$AH$45)),AH47)</f>
        <v>0.96781653833947867</v>
      </c>
      <c r="AK47" s="8">
        <f t="shared" ref="AK47:AK52" si="138">IF(AVERAGE($AI$21,$AI$37,$AI$45)&gt;0,IF(AI47-MAX($AI$21,$AI$37,$AI$45)&lt;=0,0,AI47-MAX($AI$21,$AI$37,$AI$45)),AI47)</f>
        <v>1.178890296209038</v>
      </c>
      <c r="AL47" s="9">
        <f t="shared" si="92"/>
        <v>0.96781653833947867</v>
      </c>
      <c r="AM47" s="8">
        <f t="shared" si="93"/>
        <v>1.178890296209038</v>
      </c>
      <c r="AN47">
        <f t="shared" ref="AN47:AN52" si="139">AL47*$AN$5</f>
        <v>1.9356330766789573</v>
      </c>
      <c r="AO47" s="8">
        <f t="shared" ref="AO47:AO52" si="140">AM47*$AN$5</f>
        <v>2.3577805924180759</v>
      </c>
      <c r="AP47">
        <f t="shared" si="111"/>
        <v>15.485064613431659</v>
      </c>
      <c r="AQ47" s="8">
        <f t="shared" si="112"/>
        <v>18.862244739344607</v>
      </c>
      <c r="AR47">
        <v>12.5</v>
      </c>
      <c r="AS47" s="8">
        <f t="shared" si="36"/>
        <v>100</v>
      </c>
      <c r="AT47">
        <f t="shared" si="94"/>
        <v>0.92031610263777708</v>
      </c>
      <c r="AU47" s="8">
        <f t="shared" si="37"/>
        <v>18.406322052755542</v>
      </c>
      <c r="AV47">
        <f t="shared" si="46"/>
        <v>1.4681304588251438</v>
      </c>
      <c r="AW47" s="8">
        <f t="shared" si="37"/>
        <v>29.362609176502875</v>
      </c>
      <c r="AX47">
        <f t="shared" si="107"/>
        <v>1.1210303604710983</v>
      </c>
      <c r="AY47" s="8">
        <f t="shared" ref="AY47" si="141">AX47*$AS$1</f>
        <v>22.420607209421966</v>
      </c>
      <c r="AZ47">
        <f t="shared" si="48"/>
        <v>1.6465727364160645</v>
      </c>
      <c r="BA47">
        <f t="shared" ref="BA47" si="142">AZ47*$AS$1</f>
        <v>32.931454728321292</v>
      </c>
      <c r="BB47" s="8"/>
      <c r="BC47" s="97">
        <f t="shared" si="40"/>
        <v>66.108613333812798</v>
      </c>
      <c r="BD47" s="107">
        <f t="shared" si="41"/>
        <v>55.152326210065468</v>
      </c>
      <c r="BE47" s="97">
        <f t="shared" si="42"/>
        <v>58.717148051233423</v>
      </c>
      <c r="BF47" s="97">
        <f t="shared" si="43"/>
        <v>48.206300532334097</v>
      </c>
      <c r="BI47" s="112" t="s">
        <v>281</v>
      </c>
      <c r="BJ47" s="13" t="s">
        <v>276</v>
      </c>
      <c r="BK47" s="40">
        <f>AVERAGE(BC59:BC62)</f>
        <v>24.289418079741861</v>
      </c>
      <c r="BL47" s="40">
        <f t="shared" ref="BL47:BN47" si="143">AVERAGE(BD59:BD62)</f>
        <v>18.742173245361897</v>
      </c>
      <c r="BM47" s="40">
        <f t="shared" si="143"/>
        <v>22.516183928793509</v>
      </c>
      <c r="BN47" s="114">
        <f t="shared" si="143"/>
        <v>17.291662941570241</v>
      </c>
    </row>
    <row r="48" spans="1:68" x14ac:dyDescent="0.25">
      <c r="A48">
        <v>6</v>
      </c>
      <c r="B48" s="8" t="s">
        <v>65</v>
      </c>
      <c r="C48">
        <v>1651055</v>
      </c>
      <c r="D48" s="8">
        <v>1640308</v>
      </c>
      <c r="E48">
        <v>243361</v>
      </c>
      <c r="F48" s="8">
        <v>244612</v>
      </c>
      <c r="G48">
        <v>349302</v>
      </c>
      <c r="H48" s="8">
        <v>349302</v>
      </c>
      <c r="I48">
        <f t="shared" si="130"/>
        <v>6.7057544192435365</v>
      </c>
      <c r="L48" s="13"/>
      <c r="M48" s="13"/>
      <c r="N48" s="13"/>
      <c r="AC48">
        <v>23</v>
      </c>
      <c r="AD48" s="8" t="s">
        <v>82</v>
      </c>
      <c r="AE48" s="8">
        <v>1894244</v>
      </c>
      <c r="AF48" s="63">
        <f t="shared" si="97"/>
        <v>295313.93378406443</v>
      </c>
      <c r="AG48" s="8">
        <f t="shared" si="98"/>
        <v>245510.07279472105</v>
      </c>
      <c r="AH48">
        <f t="shared" si="99"/>
        <v>0.69815125562089653</v>
      </c>
      <c r="AI48" s="8">
        <f t="shared" si="100"/>
        <v>0.90766992985075134</v>
      </c>
      <c r="AJ48">
        <f t="shared" si="137"/>
        <v>0.69815125562089653</v>
      </c>
      <c r="AK48" s="8">
        <f t="shared" si="138"/>
        <v>0.90766992985075134</v>
      </c>
      <c r="AL48" s="9">
        <f t="shared" si="92"/>
        <v>0.69815125562089653</v>
      </c>
      <c r="AM48" s="8">
        <f t="shared" si="93"/>
        <v>0.90766992985075134</v>
      </c>
      <c r="AN48">
        <f t="shared" si="139"/>
        <v>1.3963025112417931</v>
      </c>
      <c r="AO48" s="8">
        <f t="shared" si="140"/>
        <v>1.8153398597015027</v>
      </c>
      <c r="AP48">
        <f t="shared" si="111"/>
        <v>11.170420089934344</v>
      </c>
      <c r="AQ48" s="8">
        <f t="shared" si="112"/>
        <v>14.522718877612022</v>
      </c>
      <c r="AR48">
        <v>12.5</v>
      </c>
      <c r="AS48" s="8">
        <f t="shared" si="36"/>
        <v>100</v>
      </c>
      <c r="AT48">
        <f t="shared" si="94"/>
        <v>0.66388599199502296</v>
      </c>
      <c r="AU48" s="8">
        <f t="shared" si="37"/>
        <v>13.27771983990046</v>
      </c>
      <c r="AV48">
        <f t="shared" si="46"/>
        <v>1.2142105219123362</v>
      </c>
      <c r="AW48" s="8">
        <f t="shared" si="37"/>
        <v>24.284210438246724</v>
      </c>
      <c r="AX48">
        <f t="shared" si="107"/>
        <v>0.86312148969367641</v>
      </c>
      <c r="AY48" s="8">
        <f t="shared" ref="AY48" si="144">AX48*$AS$1</f>
        <v>17.26242979387353</v>
      </c>
      <c r="AZ48">
        <f t="shared" si="48"/>
        <v>1.4143709495784023</v>
      </c>
      <c r="BA48">
        <f t="shared" ref="BA48" si="145">AZ48*$AS$1</f>
        <v>28.287418991568046</v>
      </c>
      <c r="BB48" s="8"/>
      <c r="BC48" s="97">
        <f t="shared" si="40"/>
        <v>75.551860070165191</v>
      </c>
      <c r="BD48" s="107">
        <f t="shared" si="41"/>
        <v>64.54536947181893</v>
      </c>
      <c r="BE48" s="97">
        <f t="shared" si="42"/>
        <v>68.214851328514442</v>
      </c>
      <c r="BF48" s="97">
        <f t="shared" si="43"/>
        <v>57.189862130819932</v>
      </c>
      <c r="BI48" s="112"/>
      <c r="BJ48" s="13"/>
      <c r="BK48" s="13"/>
      <c r="BL48" s="13"/>
      <c r="BM48" s="13"/>
      <c r="BN48" s="113"/>
    </row>
    <row r="49" spans="1:66" x14ac:dyDescent="0.25">
      <c r="A49">
        <v>7</v>
      </c>
      <c r="B49" s="8" t="s">
        <v>68</v>
      </c>
      <c r="C49">
        <v>8464427</v>
      </c>
      <c r="D49" s="8">
        <v>8429272</v>
      </c>
      <c r="E49">
        <v>1265896</v>
      </c>
      <c r="F49" s="8">
        <v>1265166</v>
      </c>
      <c r="G49">
        <v>314847</v>
      </c>
      <c r="H49" s="8">
        <v>314847</v>
      </c>
      <c r="I49">
        <f t="shared" si="130"/>
        <v>6.6625818272068642</v>
      </c>
      <c r="L49" s="75">
        <v>44395</v>
      </c>
      <c r="M49" s="13"/>
      <c r="N49" s="13"/>
      <c r="AC49">
        <v>24</v>
      </c>
      <c r="AD49" s="8" t="s">
        <v>83</v>
      </c>
      <c r="AE49" s="8">
        <v>2928756</v>
      </c>
      <c r="AF49" s="63">
        <f t="shared" si="97"/>
        <v>440431.24767601432</v>
      </c>
      <c r="AG49" s="8">
        <f t="shared" si="98"/>
        <v>390627.38668667094</v>
      </c>
      <c r="AH49">
        <f t="shared" si="99"/>
        <v>1.3933194844495933</v>
      </c>
      <c r="AI49" s="8">
        <f t="shared" si="100"/>
        <v>1.6068469978173436</v>
      </c>
      <c r="AJ49">
        <f t="shared" si="137"/>
        <v>1.3933194844495933</v>
      </c>
      <c r="AK49" s="8">
        <f t="shared" si="138"/>
        <v>1.6068469978173436</v>
      </c>
      <c r="AL49" s="9">
        <f t="shared" si="92"/>
        <v>1.3933194844495933</v>
      </c>
      <c r="AM49" s="8">
        <f t="shared" si="93"/>
        <v>1.6068469978173436</v>
      </c>
      <c r="AN49">
        <f t="shared" si="139"/>
        <v>2.7866389688991866</v>
      </c>
      <c r="AO49" s="8">
        <f t="shared" si="140"/>
        <v>3.2136939956346873</v>
      </c>
      <c r="AP49">
        <f t="shared" si="111"/>
        <v>22.293111751193493</v>
      </c>
      <c r="AQ49" s="8">
        <f t="shared" si="112"/>
        <v>25.709551965077498</v>
      </c>
      <c r="AR49">
        <v>12.5</v>
      </c>
      <c r="AS49" s="8">
        <f t="shared" si="36"/>
        <v>100</v>
      </c>
      <c r="AT49">
        <f t="shared" si="94"/>
        <v>1.3249353641528072</v>
      </c>
      <c r="AU49" s="8">
        <f t="shared" si="37"/>
        <v>26.498707283056145</v>
      </c>
      <c r="AV49">
        <f t="shared" si="46"/>
        <v>1.8145912991276569</v>
      </c>
      <c r="AW49" s="8">
        <f t="shared" si="37"/>
        <v>36.291825982553135</v>
      </c>
      <c r="AX49">
        <f t="shared" si="107"/>
        <v>1.5279829471644684</v>
      </c>
      <c r="AY49" s="8">
        <f t="shared" ref="AY49" si="146">AX49*$AS$1</f>
        <v>30.559658943289367</v>
      </c>
      <c r="AZ49">
        <f>$AY$2*(AO49^$AZ$2)</f>
        <v>1.971435482293326</v>
      </c>
      <c r="BA49">
        <f t="shared" ref="BA49" si="147">AZ49*$AS$1</f>
        <v>39.428709645866519</v>
      </c>
      <c r="BB49" s="8"/>
      <c r="BC49" s="97">
        <f t="shared" si="40"/>
        <v>51.208180965750358</v>
      </c>
      <c r="BD49" s="107">
        <f t="shared" si="41"/>
        <v>41.415062266253372</v>
      </c>
      <c r="BE49" s="97">
        <f t="shared" si="42"/>
        <v>43.730789091633135</v>
      </c>
      <c r="BF49" s="97">
        <f t="shared" si="43"/>
        <v>34.861738389055986</v>
      </c>
      <c r="BI49" s="112" t="s">
        <v>282</v>
      </c>
      <c r="BJ49" s="13" t="s">
        <v>277</v>
      </c>
      <c r="BK49" s="40">
        <f>AVERAGE(BC82:BC85)</f>
        <v>7.0250774041403901</v>
      </c>
      <c r="BL49" s="40">
        <f t="shared" ref="BL49:BN49" si="148">AVERAGE(BD82:BD85)</f>
        <v>4.7215244518921793</v>
      </c>
      <c r="BM49" s="40">
        <f t="shared" si="148"/>
        <v>4.0542444989926025</v>
      </c>
      <c r="BN49" s="114">
        <f t="shared" si="148"/>
        <v>2.3897167264605059</v>
      </c>
    </row>
    <row r="50" spans="1:66" x14ac:dyDescent="0.25">
      <c r="A50">
        <v>8</v>
      </c>
      <c r="B50" s="8" t="s">
        <v>69</v>
      </c>
      <c r="C50">
        <v>4968377</v>
      </c>
      <c r="D50" s="8">
        <v>4934748</v>
      </c>
      <c r="E50">
        <v>735822</v>
      </c>
      <c r="F50" s="8">
        <v>735822</v>
      </c>
      <c r="G50">
        <v>299855</v>
      </c>
      <c r="H50" s="8">
        <v>299855</v>
      </c>
      <c r="I50">
        <f t="shared" si="130"/>
        <v>6.7064425907352589</v>
      </c>
      <c r="L50" s="13" t="s">
        <v>11</v>
      </c>
      <c r="M50" s="13"/>
      <c r="N50" s="13"/>
      <c r="AC50">
        <v>25</v>
      </c>
      <c r="AD50" s="8" t="s">
        <v>84</v>
      </c>
      <c r="AE50" s="8">
        <v>3412430</v>
      </c>
      <c r="AF50" s="63">
        <f t="shared" si="97"/>
        <v>495621.57432747108</v>
      </c>
      <c r="AG50" s="8">
        <f t="shared" si="98"/>
        <v>445817.71333812771</v>
      </c>
      <c r="AH50">
        <f t="shared" si="99"/>
        <v>1.6577025590656038</v>
      </c>
      <c r="AI50" s="8">
        <f t="shared" si="100"/>
        <v>1.8727546950685163</v>
      </c>
      <c r="AJ50">
        <f t="shared" si="137"/>
        <v>1.6577025590656038</v>
      </c>
      <c r="AK50" s="8">
        <f t="shared" si="138"/>
        <v>1.8727546950685163</v>
      </c>
      <c r="AL50" s="9">
        <f t="shared" si="92"/>
        <v>1.6577025590656038</v>
      </c>
      <c r="AM50" s="8">
        <f t="shared" si="93"/>
        <v>1.8727546950685163</v>
      </c>
      <c r="AN50">
        <f t="shared" si="139"/>
        <v>3.3154051181312076</v>
      </c>
      <c r="AO50" s="8">
        <f t="shared" si="140"/>
        <v>3.7455093901370327</v>
      </c>
      <c r="AP50">
        <f t="shared" si="111"/>
        <v>26.523240945049661</v>
      </c>
      <c r="AQ50" s="8">
        <f t="shared" si="112"/>
        <v>29.964075121096261</v>
      </c>
      <c r="AR50">
        <v>12.5</v>
      </c>
      <c r="AS50" s="8">
        <f t="shared" si="36"/>
        <v>100</v>
      </c>
      <c r="AT50">
        <f t="shared" si="94"/>
        <v>1.5763425174666639</v>
      </c>
      <c r="AU50" s="8">
        <f t="shared" si="37"/>
        <v>31.526850349333277</v>
      </c>
      <c r="AV50">
        <f t="shared" si="46"/>
        <v>2.0074761395733396</v>
      </c>
      <c r="AW50" s="8">
        <f t="shared" si="37"/>
        <v>40.149522791466794</v>
      </c>
      <c r="AX50">
        <f t="shared" si="107"/>
        <v>1.7808398946345536</v>
      </c>
      <c r="AY50" s="8">
        <f t="shared" ref="AY50" si="149">AX50*$AS$1</f>
        <v>35.616797892691075</v>
      </c>
      <c r="AZ50">
        <f t="shared" si="48"/>
        <v>2.1550170064941621</v>
      </c>
      <c r="BA50">
        <f t="shared" ref="BA50" si="150">AZ50*$AS$1</f>
        <v>43.100340129883243</v>
      </c>
      <c r="BB50" s="8"/>
      <c r="BC50" s="97">
        <f t="shared" si="40"/>
        <v>41.949908705617062</v>
      </c>
      <c r="BD50" s="107">
        <f t="shared" si="41"/>
        <v>33.327236263483542</v>
      </c>
      <c r="BE50" s="97">
        <f t="shared" si="42"/>
        <v>34.41912698621266</v>
      </c>
      <c r="BF50" s="97">
        <f t="shared" si="43"/>
        <v>26.935584749020492</v>
      </c>
      <c r="BI50" s="112"/>
      <c r="BJ50" s="13"/>
      <c r="BK50" s="13"/>
      <c r="BL50" s="13"/>
      <c r="BM50" s="13"/>
      <c r="BN50" s="113"/>
    </row>
    <row r="51" spans="1:66" x14ac:dyDescent="0.25">
      <c r="A51" s="7">
        <v>9</v>
      </c>
      <c r="B51" s="6" t="s">
        <v>70</v>
      </c>
      <c r="C51" s="7">
        <v>196373</v>
      </c>
      <c r="D51" s="6">
        <v>196373</v>
      </c>
      <c r="E51" s="7">
        <v>0</v>
      </c>
      <c r="F51" s="6">
        <v>29737</v>
      </c>
      <c r="G51" s="7">
        <v>169252</v>
      </c>
      <c r="H51" s="66">
        <v>169443</v>
      </c>
      <c r="I51">
        <f t="shared" si="130"/>
        <v>6.6036587416349999</v>
      </c>
      <c r="L51" s="13">
        <v>1</v>
      </c>
      <c r="M51" s="13" t="s">
        <v>121</v>
      </c>
      <c r="N51" s="4">
        <v>15880</v>
      </c>
      <c r="O51">
        <f>IF(N51&lt;=0,0,N51*((28427.929*0+316209.399)/(28427.929*L51+316209.399)))</f>
        <v>14570.114285821064</v>
      </c>
      <c r="P51">
        <f>IF(AVERAGE($O$51:$O$52,$O$59:$O$60)&gt;0,IF(O51-AVERAGE($O$51:$O$52,$O$59:$O$60)&lt;=0,0,O51-AVERAGE($O$51:$O$52,$O$59:$O$60)),O51)</f>
        <v>0</v>
      </c>
      <c r="Q51">
        <v>0</v>
      </c>
      <c r="R51">
        <f t="shared" si="14"/>
        <v>0</v>
      </c>
      <c r="S51">
        <f t="shared" si="15"/>
        <v>0</v>
      </c>
      <c r="AC51">
        <v>26</v>
      </c>
      <c r="AD51" s="8" t="s">
        <v>85</v>
      </c>
      <c r="AE51" s="8">
        <v>2726658</v>
      </c>
      <c r="AF51" s="63">
        <f t="shared" si="97"/>
        <v>382927.55538256088</v>
      </c>
      <c r="AG51" s="8">
        <f t="shared" si="98"/>
        <v>333123.69439321751</v>
      </c>
      <c r="AH51">
        <f t="shared" si="99"/>
        <v>1.117854490985654</v>
      </c>
      <c r="AI51" s="8">
        <f t="shared" si="100"/>
        <v>1.3297934754173524</v>
      </c>
      <c r="AJ51">
        <f t="shared" si="137"/>
        <v>1.117854490985654</v>
      </c>
      <c r="AK51" s="8">
        <f t="shared" si="138"/>
        <v>1.3297934754173524</v>
      </c>
      <c r="AL51" s="9">
        <f t="shared" si="92"/>
        <v>1.117854490985654</v>
      </c>
      <c r="AM51" s="8">
        <f t="shared" si="93"/>
        <v>1.3297934754173524</v>
      </c>
      <c r="AN51">
        <f t="shared" si="139"/>
        <v>2.2357089819713081</v>
      </c>
      <c r="AO51" s="8">
        <f t="shared" si="140"/>
        <v>2.6595869508347048</v>
      </c>
      <c r="AP51">
        <f t="shared" si="111"/>
        <v>17.885671855770465</v>
      </c>
      <c r="AQ51" s="8">
        <f t="shared" si="112"/>
        <v>21.276695606677638</v>
      </c>
      <c r="AR51">
        <v>12.5</v>
      </c>
      <c r="AS51" s="8">
        <f t="shared" si="36"/>
        <v>100</v>
      </c>
      <c r="AT51">
        <f t="shared" si="94"/>
        <v>1.062990192568078</v>
      </c>
      <c r="AU51" s="8">
        <f t="shared" si="37"/>
        <v>21.259803851361561</v>
      </c>
      <c r="AV51">
        <f t="shared" si="46"/>
        <v>1.5964562712254495</v>
      </c>
      <c r="AW51" s="8">
        <f t="shared" si="37"/>
        <v>31.929125424508989</v>
      </c>
      <c r="AX51">
        <f t="shared" si="107"/>
        <v>1.2645272116438686</v>
      </c>
      <c r="AY51" s="8">
        <f t="shared" ref="AY51" si="151">AX51*$AS$1</f>
        <v>25.290544232877373</v>
      </c>
      <c r="AZ51">
        <f t="shared" si="48"/>
        <v>1.766019393030521</v>
      </c>
      <c r="BA51">
        <f t="shared" ref="BA51" si="152">AZ51*$AS$1</f>
        <v>35.320387860610424</v>
      </c>
      <c r="BB51" s="8"/>
      <c r="BC51" s="97">
        <f t="shared" si="40"/>
        <v>60.854524292867978</v>
      </c>
      <c r="BD51" s="107">
        <f t="shared" si="41"/>
        <v>50.18520271972055</v>
      </c>
      <c r="BE51" s="97">
        <f t="shared" si="42"/>
        <v>53.432760160444985</v>
      </c>
      <c r="BF51" s="97">
        <f t="shared" si="43"/>
        <v>43.402916532711941</v>
      </c>
      <c r="BI51" s="112" t="s">
        <v>278</v>
      </c>
      <c r="BJ51" s="13" t="s">
        <v>276</v>
      </c>
      <c r="BK51" s="40">
        <f>AVERAGE(BC40:BC44)</f>
        <v>41.679183630419196</v>
      </c>
      <c r="BL51" s="40">
        <f t="shared" ref="BL51:BN51" si="153">AVERAGE(BD40:BD44)</f>
        <v>33.406671572575029</v>
      </c>
      <c r="BM51" s="40">
        <f t="shared" si="153"/>
        <v>34.146840715850743</v>
      </c>
      <c r="BN51" s="114">
        <f t="shared" si="153"/>
        <v>26.969514862950184</v>
      </c>
    </row>
    <row r="52" spans="1:66" x14ac:dyDescent="0.25">
      <c r="A52">
        <v>10</v>
      </c>
      <c r="B52" s="8" t="s">
        <v>71</v>
      </c>
      <c r="C52" s="14">
        <v>0</v>
      </c>
      <c r="D52" s="8">
        <v>74542</v>
      </c>
      <c r="E52" s="14">
        <v>0</v>
      </c>
      <c r="F52" s="8">
        <v>0</v>
      </c>
      <c r="G52">
        <v>132547</v>
      </c>
      <c r="H52" s="8">
        <v>0</v>
      </c>
      <c r="L52" s="13">
        <v>2</v>
      </c>
      <c r="M52" s="13" t="s">
        <v>122</v>
      </c>
      <c r="N52" s="8">
        <v>24957</v>
      </c>
      <c r="O52">
        <f t="shared" ref="O52:O60" si="154">IF(N52&lt;=0,0,N52*((28427.929*0+316209.399)/(28427.929*L52+316209.399)))</f>
        <v>21153.505513495187</v>
      </c>
      <c r="P52">
        <f t="shared" ref="P52:P60" si="155">IF(AVERAGE($O$51:$O$52,$O$59:$O$60)&gt;0,IF(O52-AVERAGE($O$51:$O$52,$O$59:$O$60)&lt;=0,0,O52-AVERAGE($O$51:$O$52,$O$59:$O$60)),O52)</f>
        <v>0</v>
      </c>
      <c r="Q52">
        <v>0</v>
      </c>
      <c r="R52">
        <f t="shared" si="14"/>
        <v>0</v>
      </c>
      <c r="S52">
        <f t="shared" si="15"/>
        <v>0</v>
      </c>
      <c r="AC52">
        <v>27</v>
      </c>
      <c r="AD52" s="8" t="s">
        <v>86</v>
      </c>
      <c r="AE52" s="8">
        <v>4195581</v>
      </c>
      <c r="AF52" s="63">
        <f t="shared" si="97"/>
        <v>570364.5031156796</v>
      </c>
      <c r="AG52" s="8">
        <f t="shared" si="98"/>
        <v>520560.64212633623</v>
      </c>
      <c r="AH52">
        <f t="shared" si="99"/>
        <v>2.0157501829477233</v>
      </c>
      <c r="AI52" s="8">
        <f t="shared" si="100"/>
        <v>2.2328670786279696</v>
      </c>
      <c r="AJ52">
        <f t="shared" si="137"/>
        <v>2.0157501829477233</v>
      </c>
      <c r="AK52" s="8">
        <f t="shared" si="138"/>
        <v>2.2328670786279696</v>
      </c>
      <c r="AL52" s="9">
        <f t="shared" si="92"/>
        <v>2.0157501829477233</v>
      </c>
      <c r="AM52" s="8">
        <f t="shared" si="93"/>
        <v>2.2328670786279696</v>
      </c>
      <c r="AN52">
        <f t="shared" si="139"/>
        <v>4.0315003658954467</v>
      </c>
      <c r="AO52" s="8">
        <f t="shared" si="140"/>
        <v>4.4657341572559393</v>
      </c>
      <c r="AP52">
        <f t="shared" si="111"/>
        <v>32.252002927163574</v>
      </c>
      <c r="AQ52" s="8">
        <f t="shared" si="112"/>
        <v>35.725873258047514</v>
      </c>
      <c r="AR52">
        <v>12.5</v>
      </c>
      <c r="AS52" s="8">
        <f t="shared" si="36"/>
        <v>100</v>
      </c>
      <c r="AT52">
        <f t="shared" si="94"/>
        <v>1.9168171639686491</v>
      </c>
      <c r="AU52" s="8">
        <f t="shared" si="37"/>
        <v>38.336343279372983</v>
      </c>
      <c r="AV52">
        <f t="shared" si="46"/>
        <v>2.2492123049742738</v>
      </c>
      <c r="AW52" s="8">
        <f t="shared" si="37"/>
        <v>44.984246099485475</v>
      </c>
      <c r="AX52">
        <f t="shared" si="107"/>
        <v>2.1232779624089089</v>
      </c>
      <c r="AY52" s="8">
        <f t="shared" ref="AY52" si="156">AX52*$AS$1</f>
        <v>42.465559248178181</v>
      </c>
      <c r="AZ52">
        <f t="shared" si="48"/>
        <v>2.3870455714038155</v>
      </c>
      <c r="BA52">
        <f t="shared" ref="BA52" si="157">AZ52*$AS$1</f>
        <v>47.740911428076309</v>
      </c>
      <c r="BB52" s="8"/>
      <c r="BC52" s="97">
        <f t="shared" si="40"/>
        <v>29.411653793463444</v>
      </c>
      <c r="BD52" s="107">
        <f t="shared" si="41"/>
        <v>22.763750973350952</v>
      </c>
      <c r="BE52" s="97">
        <f t="shared" si="42"/>
        <v>21.808567493774305</v>
      </c>
      <c r="BF52" s="97">
        <f t="shared" si="43"/>
        <v>16.533215313876184</v>
      </c>
      <c r="BI52" s="112"/>
      <c r="BJ52" s="13"/>
      <c r="BK52" s="13"/>
      <c r="BL52" s="13"/>
      <c r="BM52" s="13"/>
      <c r="BN52" s="113"/>
    </row>
    <row r="53" spans="1:66" x14ac:dyDescent="0.25">
      <c r="A53">
        <v>11</v>
      </c>
      <c r="B53" s="8" t="s">
        <v>87</v>
      </c>
      <c r="C53">
        <v>5413381</v>
      </c>
      <c r="D53" s="8">
        <v>5374327</v>
      </c>
      <c r="E53">
        <v>806425</v>
      </c>
      <c r="F53" s="8">
        <v>806425</v>
      </c>
      <c r="G53">
        <v>264113</v>
      </c>
      <c r="H53" s="8">
        <v>264930</v>
      </c>
      <c r="I53">
        <f t="shared" si="130"/>
        <v>6.6643854047183559</v>
      </c>
      <c r="L53" s="13">
        <v>3</v>
      </c>
      <c r="M53" s="13" t="s">
        <v>123</v>
      </c>
      <c r="N53" s="8">
        <v>387228</v>
      </c>
      <c r="O53">
        <f t="shared" si="154"/>
        <v>304974.37422505097</v>
      </c>
      <c r="P53">
        <f t="shared" si="155"/>
        <v>272968.84642493218</v>
      </c>
      <c r="Q53">
        <v>0.1</v>
      </c>
      <c r="R53">
        <f t="shared" si="14"/>
        <v>0.5</v>
      </c>
      <c r="S53">
        <f t="shared" si="15"/>
        <v>0.5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08"/>
      <c r="BD53" s="108"/>
      <c r="BE53" s="108"/>
      <c r="BF53" s="108"/>
      <c r="BI53" s="112" t="s">
        <v>279</v>
      </c>
      <c r="BJ53" s="13" t="s">
        <v>277</v>
      </c>
      <c r="BK53" s="40">
        <f>AVERAGE(BC47:BC52)</f>
        <v>54.1807901936128</v>
      </c>
      <c r="BL53" s="40">
        <f t="shared" ref="BL53:BN53" si="158">AVERAGE(BD47:BD52)</f>
        <v>44.564824650782136</v>
      </c>
      <c r="BM53" s="40">
        <f t="shared" si="158"/>
        <v>46.720540518635488</v>
      </c>
      <c r="BN53" s="114">
        <f t="shared" si="158"/>
        <v>37.854936274636437</v>
      </c>
    </row>
    <row r="54" spans="1:66" x14ac:dyDescent="0.25">
      <c r="A54" s="7">
        <v>12</v>
      </c>
      <c r="B54" s="6" t="s">
        <v>72</v>
      </c>
      <c r="C54" s="7">
        <v>158891</v>
      </c>
      <c r="D54" s="6">
        <v>161777</v>
      </c>
      <c r="E54" s="7">
        <v>0</v>
      </c>
      <c r="F54" s="6">
        <v>22775</v>
      </c>
      <c r="G54" s="7">
        <v>102258</v>
      </c>
      <c r="H54" s="6">
        <v>104274</v>
      </c>
      <c r="I54">
        <f t="shared" si="130"/>
        <v>7.1032711306256857</v>
      </c>
      <c r="L54" s="13">
        <v>4</v>
      </c>
      <c r="M54" s="13" t="s">
        <v>124</v>
      </c>
      <c r="N54" s="8">
        <v>369283</v>
      </c>
      <c r="O54">
        <f t="shared" si="154"/>
        <v>271609.72424189263</v>
      </c>
      <c r="P54">
        <f t="shared" si="155"/>
        <v>239604.19644177388</v>
      </c>
      <c r="Q54">
        <v>0.1</v>
      </c>
      <c r="R54">
        <f t="shared" si="14"/>
        <v>0.5</v>
      </c>
      <c r="S54">
        <f t="shared" si="15"/>
        <v>0.5</v>
      </c>
      <c r="AC54" s="75">
        <v>44393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08"/>
      <c r="BD54" s="108"/>
      <c r="BE54" s="108"/>
      <c r="BF54" s="108"/>
      <c r="BI54" s="112"/>
      <c r="BJ54" s="13"/>
      <c r="BK54" s="13"/>
      <c r="BL54" s="13"/>
      <c r="BM54" s="13"/>
      <c r="BN54" s="113"/>
    </row>
    <row r="55" spans="1:66" x14ac:dyDescent="0.25">
      <c r="A55">
        <v>13</v>
      </c>
      <c r="B55" s="8" t="s">
        <v>73</v>
      </c>
      <c r="C55">
        <v>0</v>
      </c>
      <c r="D55" s="8">
        <v>159672</v>
      </c>
      <c r="E55">
        <v>0</v>
      </c>
      <c r="F55" s="8">
        <v>23746</v>
      </c>
      <c r="G55">
        <v>185800</v>
      </c>
      <c r="H55" s="8">
        <v>185913</v>
      </c>
      <c r="I55">
        <f t="shared" si="130"/>
        <v>6.7241640697380616</v>
      </c>
      <c r="L55" s="13">
        <v>5</v>
      </c>
      <c r="M55" s="13" t="s">
        <v>125</v>
      </c>
      <c r="N55" s="8">
        <v>1914527</v>
      </c>
      <c r="O55">
        <f t="shared" si="154"/>
        <v>1320808.7590977347</v>
      </c>
      <c r="P55">
        <f t="shared" si="155"/>
        <v>1288803.2312976159</v>
      </c>
      <c r="Q55">
        <v>0.5</v>
      </c>
      <c r="R55">
        <f t="shared" si="14"/>
        <v>2.5</v>
      </c>
      <c r="S55">
        <f t="shared" si="15"/>
        <v>2.5</v>
      </c>
      <c r="AC55" s="13" t="s">
        <v>11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08"/>
      <c r="BD55" s="108"/>
      <c r="BE55" s="108"/>
      <c r="BF55" s="108"/>
      <c r="BI55" s="112" t="s">
        <v>170</v>
      </c>
      <c r="BJ55" s="13"/>
      <c r="BK55" s="13"/>
      <c r="BL55" s="13"/>
      <c r="BM55" s="13"/>
      <c r="BN55" s="113"/>
    </row>
    <row r="56" spans="1:66" x14ac:dyDescent="0.25">
      <c r="A56">
        <v>14</v>
      </c>
      <c r="B56" s="8" t="s">
        <v>74</v>
      </c>
      <c r="C56">
        <v>3732609</v>
      </c>
      <c r="D56" s="8">
        <v>3716147</v>
      </c>
      <c r="E56">
        <v>551364</v>
      </c>
      <c r="F56" s="8">
        <v>551364</v>
      </c>
      <c r="H56" s="8"/>
      <c r="I56">
        <f t="shared" si="130"/>
        <v>6.7399159176152237</v>
      </c>
      <c r="L56" s="13">
        <v>6</v>
      </c>
      <c r="M56" s="13" t="s">
        <v>126</v>
      </c>
      <c r="N56" s="8">
        <v>2039245</v>
      </c>
      <c r="O56">
        <f t="shared" si="154"/>
        <v>1324689.6867156345</v>
      </c>
      <c r="P56">
        <f t="shared" si="155"/>
        <v>1292684.1589155158</v>
      </c>
      <c r="Q56">
        <v>0.5</v>
      </c>
      <c r="R56">
        <f t="shared" si="14"/>
        <v>2.5</v>
      </c>
      <c r="S56">
        <f t="shared" si="15"/>
        <v>2.5</v>
      </c>
      <c r="AC56">
        <v>1</v>
      </c>
      <c r="AD56" s="4" t="s">
        <v>93</v>
      </c>
      <c r="AE56" s="4">
        <v>17881</v>
      </c>
      <c r="AF56" s="63">
        <f>IF(AE56&lt;=0,0,AE56*((6989.33*0+66642.357)/(6989.33*AC56+66642.357)))</f>
        <v>16183.684417240094</v>
      </c>
      <c r="AG56" s="8">
        <f>IF(AVERAGE($AF$56:$AF$58,$AF$69)&gt;0,IF(AF56-AVERAGE($AF$56:$AF$58,$AF$69)&lt;=0,0,AF56-AVERAGE($AF$56:$AF$58,$AF$69)),AF56)</f>
        <v>0</v>
      </c>
      <c r="AH56">
        <f>IF(AG56&lt;=0,0,(AG56-35862.287)/441695.292)</f>
        <v>0</v>
      </c>
      <c r="AI56" s="8">
        <f>IF(AG56&lt;=0,0,(AG56-15104.801)/440968.234)</f>
        <v>0</v>
      </c>
      <c r="AK56" s="8"/>
      <c r="AL56" s="9">
        <f t="shared" ref="AL56:AL75" si="159">IF(AJ56&lt;=0,0,AJ56)</f>
        <v>0</v>
      </c>
      <c r="AM56" s="8">
        <f t="shared" ref="AM56:AM75" si="160">IF(AK56&lt;=0,0,AK56)</f>
        <v>0</v>
      </c>
      <c r="AO56" s="8"/>
      <c r="AQ56" s="8"/>
      <c r="AR56">
        <v>0</v>
      </c>
      <c r="AS56" s="8">
        <f t="shared" ref="AS56:AS58" si="161">AR56*$AN$2</f>
        <v>0</v>
      </c>
      <c r="AU56" s="8">
        <f t="shared" si="37"/>
        <v>0</v>
      </c>
      <c r="AW56" s="8">
        <f t="shared" si="37"/>
        <v>0</v>
      </c>
      <c r="AY56" s="8">
        <f t="shared" ref="AY56" si="162">AX56*$AS$1</f>
        <v>0</v>
      </c>
      <c r="BA56">
        <f t="shared" ref="BA56" si="163">AZ56*$AS$1</f>
        <v>0</v>
      </c>
      <c r="BB56" s="8"/>
      <c r="BC56" s="97"/>
      <c r="BD56" s="107"/>
      <c r="BE56" s="97"/>
      <c r="BF56" s="97"/>
      <c r="BI56" s="112" t="s">
        <v>284</v>
      </c>
      <c r="BJ56" s="13" t="s">
        <v>276</v>
      </c>
      <c r="BK56" s="40">
        <f>AVERAGE(BC65:BC68)</f>
        <v>27.156124333801927</v>
      </c>
      <c r="BL56" s="40"/>
      <c r="BM56" s="40">
        <f>AVERAGE(BE65:BE68)</f>
        <v>27.077240482603433</v>
      </c>
      <c r="BN56" s="114"/>
    </row>
    <row r="57" spans="1:66" x14ac:dyDescent="0.25">
      <c r="A57">
        <v>15</v>
      </c>
      <c r="B57" s="8" t="s">
        <v>75</v>
      </c>
      <c r="C57">
        <v>2840501</v>
      </c>
      <c r="D57" s="8">
        <v>2829348</v>
      </c>
      <c r="E57">
        <v>425019</v>
      </c>
      <c r="F57" s="8">
        <v>425019</v>
      </c>
      <c r="G57">
        <v>223213</v>
      </c>
      <c r="H57" s="8">
        <v>223213</v>
      </c>
      <c r="I57">
        <f t="shared" si="130"/>
        <v>6.6569918050722441</v>
      </c>
      <c r="L57" s="13">
        <v>7</v>
      </c>
      <c r="M57" s="13" t="s">
        <v>127</v>
      </c>
      <c r="N57" s="8">
        <v>4252537</v>
      </c>
      <c r="O57">
        <f t="shared" si="154"/>
        <v>2610014.3142567826</v>
      </c>
      <c r="P57">
        <f t="shared" si="155"/>
        <v>2578008.7864566641</v>
      </c>
      <c r="Q57">
        <v>1.5</v>
      </c>
      <c r="R57">
        <f t="shared" si="14"/>
        <v>7.5</v>
      </c>
      <c r="S57">
        <f t="shared" si="15"/>
        <v>7.5</v>
      </c>
      <c r="AC57">
        <v>2</v>
      </c>
      <c r="AD57" s="8" t="s">
        <v>94</v>
      </c>
      <c r="AE57" s="8">
        <v>29907</v>
      </c>
      <c r="AF57" s="63">
        <f t="shared" ref="AF57:AF75" si="164">IF(AE57&lt;=0,0,AE57*((6989.33*0+66642.357)/(6989.33*AC57+66642.357)))</f>
        <v>24721.506189868578</v>
      </c>
      <c r="AG57" s="8">
        <f t="shared" ref="AG57:AG75" si="165">IF(AVERAGE($AF$56:$AF$58,$AF$69)&gt;0,IF(AF57-AVERAGE($AF$56:$AF$58,$AF$69)&lt;=0,0,AF57-AVERAGE($AF$56:$AF$58,$AF$69)),AF57)</f>
        <v>1026.471631157794</v>
      </c>
      <c r="AH57">
        <f t="shared" ref="AH57:AH75" si="166">IF(AG57&lt;=0,0,(AG57-35862.287)/441695.292)</f>
        <v>-7.8868432604534536E-2</v>
      </c>
      <c r="AI57" s="8">
        <f t="shared" ref="AI57:AI75" si="167">IF(AG57&lt;=0,0,(AG57-15104.801)/440968.234)</f>
        <v>-3.1925949044307365E-2</v>
      </c>
      <c r="AK57" s="8"/>
      <c r="AL57" s="9">
        <f t="shared" si="159"/>
        <v>0</v>
      </c>
      <c r="AM57" s="8">
        <f t="shared" si="160"/>
        <v>0</v>
      </c>
      <c r="AO57" s="8"/>
      <c r="AQ57" s="8"/>
      <c r="AR57">
        <v>0</v>
      </c>
      <c r="AS57" s="8">
        <f t="shared" si="161"/>
        <v>0</v>
      </c>
      <c r="AU57" s="8">
        <f t="shared" si="37"/>
        <v>0</v>
      </c>
      <c r="AW57" s="8">
        <f t="shared" si="37"/>
        <v>0</v>
      </c>
      <c r="AY57" s="8">
        <f t="shared" ref="AY57" si="168">AX57*$AS$1</f>
        <v>0</v>
      </c>
      <c r="BA57">
        <f t="shared" ref="BA57" si="169">AZ57*$AS$1</f>
        <v>0</v>
      </c>
      <c r="BB57" s="8"/>
      <c r="BC57" s="97"/>
      <c r="BD57" s="107"/>
      <c r="BE57" s="97"/>
      <c r="BF57" s="97"/>
      <c r="BI57" s="112"/>
      <c r="BJ57" s="13"/>
      <c r="BK57" s="13"/>
      <c r="BL57" s="13"/>
      <c r="BM57" s="13"/>
      <c r="BN57" s="113"/>
    </row>
    <row r="58" spans="1:66" x14ac:dyDescent="0.25">
      <c r="A58">
        <v>16</v>
      </c>
      <c r="B58" s="8" t="s">
        <v>76</v>
      </c>
      <c r="C58">
        <v>1713271</v>
      </c>
      <c r="D58" s="8">
        <v>1709465</v>
      </c>
      <c r="E58">
        <v>252374</v>
      </c>
      <c r="F58" s="8">
        <v>252374</v>
      </c>
      <c r="G58">
        <v>425303</v>
      </c>
      <c r="H58" s="8">
        <v>423513</v>
      </c>
      <c r="I58">
        <f t="shared" si="130"/>
        <v>6.7735384786071462</v>
      </c>
      <c r="L58" s="13">
        <v>8</v>
      </c>
      <c r="M58" s="13" t="s">
        <v>128</v>
      </c>
      <c r="N58" s="8">
        <v>4610723</v>
      </c>
      <c r="O58">
        <f t="shared" si="154"/>
        <v>2681872.5169773214</v>
      </c>
      <c r="P58">
        <f t="shared" si="155"/>
        <v>2649866.9891772028</v>
      </c>
      <c r="Q58">
        <v>1.5</v>
      </c>
      <c r="R58">
        <f t="shared" si="14"/>
        <v>7.5</v>
      </c>
      <c r="S58">
        <f t="shared" si="15"/>
        <v>7.5</v>
      </c>
      <c r="AC58">
        <v>9</v>
      </c>
      <c r="AD58" s="8" t="s">
        <v>101</v>
      </c>
      <c r="AE58" s="8">
        <v>79262</v>
      </c>
      <c r="AF58" s="63">
        <f t="shared" si="164"/>
        <v>40774.652765986953</v>
      </c>
      <c r="AG58" s="8">
        <f t="shared" si="165"/>
        <v>17079.618207276169</v>
      </c>
      <c r="AH58">
        <f t="shared" si="166"/>
        <v>-4.2524041195177206E-2</v>
      </c>
      <c r="AI58" s="8">
        <f t="shared" si="167"/>
        <v>4.4783661384465391E-3</v>
      </c>
      <c r="AK58" s="8"/>
      <c r="AL58" s="9">
        <f t="shared" si="159"/>
        <v>0</v>
      </c>
      <c r="AM58" s="8">
        <f t="shared" si="160"/>
        <v>0</v>
      </c>
      <c r="AO58" s="8"/>
      <c r="AQ58" s="8"/>
      <c r="AR58">
        <v>0</v>
      </c>
      <c r="AS58" s="8">
        <f t="shared" si="161"/>
        <v>0</v>
      </c>
      <c r="AU58" s="8">
        <f t="shared" si="37"/>
        <v>0</v>
      </c>
      <c r="AW58" s="8">
        <f t="shared" si="37"/>
        <v>0</v>
      </c>
      <c r="AY58" s="8">
        <f t="shared" ref="AY58" si="170">AX58*$AS$1</f>
        <v>0</v>
      </c>
      <c r="BA58">
        <f t="shared" ref="BA58" si="171">AZ58*$AS$1</f>
        <v>0</v>
      </c>
      <c r="BB58" s="8"/>
      <c r="BC58" s="97"/>
      <c r="BD58" s="107"/>
      <c r="BE58" s="97"/>
      <c r="BF58" s="97"/>
      <c r="BI58" s="112" t="s">
        <v>285</v>
      </c>
      <c r="BJ58" s="13" t="s">
        <v>277</v>
      </c>
      <c r="BK58" s="40">
        <f>AVERAGE(BC72:BC75)</f>
        <v>39.235112573541421</v>
      </c>
      <c r="BL58" s="40"/>
      <c r="BM58" s="40">
        <f>AVERAGE(BE72:BE75)</f>
        <v>32.60149402707146</v>
      </c>
      <c r="BN58" s="114"/>
    </row>
    <row r="59" spans="1:66" x14ac:dyDescent="0.25">
      <c r="A59">
        <v>17</v>
      </c>
      <c r="B59" s="8" t="s">
        <v>77</v>
      </c>
      <c r="C59">
        <v>2483899</v>
      </c>
      <c r="D59" s="8">
        <v>2483082</v>
      </c>
      <c r="E59">
        <v>370293</v>
      </c>
      <c r="F59" s="8">
        <v>370702</v>
      </c>
      <c r="G59">
        <v>261023</v>
      </c>
      <c r="H59" s="8">
        <v>260886</v>
      </c>
      <c r="I59">
        <f t="shared" si="130"/>
        <v>6.6983237209402704</v>
      </c>
      <c r="L59" s="13">
        <v>9</v>
      </c>
      <c r="M59" s="13" t="s">
        <v>129</v>
      </c>
      <c r="N59" s="6">
        <v>105093</v>
      </c>
      <c r="O59">
        <f t="shared" si="154"/>
        <v>58090.672692017884</v>
      </c>
      <c r="P59">
        <f t="shared" si="155"/>
        <v>26085.144891899119</v>
      </c>
      <c r="Q59">
        <v>0</v>
      </c>
      <c r="R59">
        <f t="shared" si="14"/>
        <v>0</v>
      </c>
      <c r="S59">
        <f t="shared" si="15"/>
        <v>0</v>
      </c>
      <c r="AC59">
        <v>10</v>
      </c>
      <c r="AD59" s="10" t="s">
        <v>102</v>
      </c>
      <c r="AE59" s="8">
        <v>2588454</v>
      </c>
      <c r="AF59" s="63">
        <f t="shared" si="164"/>
        <v>1263411.1801730883</v>
      </c>
      <c r="AG59" s="8">
        <f t="shared" si="165"/>
        <v>1239716.1456143775</v>
      </c>
      <c r="AH59">
        <f t="shared" si="166"/>
        <v>2.7255302024237502</v>
      </c>
      <c r="AI59" s="8">
        <f t="shared" si="167"/>
        <v>2.7770965121591447</v>
      </c>
      <c r="AJ59">
        <f>IF(AVERAGE($AH$13,$AH$36,$AH$38)&gt;0,IF(AH59-MAX($AH$13,$AH$36,$AH$38)&lt;=0,0,AH59-MAX($AH$13,$AH$36,$AH$38)),AH59)</f>
        <v>2.7255302024237502</v>
      </c>
      <c r="AK59" s="8">
        <f t="shared" ref="AK59:AK62" si="172">IF(AVERAGE($AI$13,$AI$36,$AI$38)&gt;0,IF(AI59-MAX($AI$13,$AI$36,$AI$38)&lt;=0,0,AI59-MAX($AI$13,$AI$36,$AI$38)),AI59)</f>
        <v>2.7770965121591447</v>
      </c>
      <c r="AL59" s="9">
        <f t="shared" si="159"/>
        <v>2.7255302024237502</v>
      </c>
      <c r="AM59" s="8">
        <f t="shared" si="160"/>
        <v>2.7770965121591447</v>
      </c>
      <c r="AN59">
        <f t="shared" ref="AN59:AN62" si="173">AL59*$AN$5</f>
        <v>5.4510604048475004</v>
      </c>
      <c r="AO59" s="8">
        <f t="shared" ref="AO59:AO62" si="174">AM59*$AN$5</f>
        <v>5.5541930243182893</v>
      </c>
      <c r="AP59">
        <f>AN59*$AN$2</f>
        <v>43.608483238780003</v>
      </c>
      <c r="AQ59" s="8">
        <f>AO59*$AN$2</f>
        <v>44.433544194546315</v>
      </c>
      <c r="AR59">
        <v>12.5</v>
      </c>
      <c r="AS59" s="8">
        <f t="shared" ref="AS59:AS62" si="175">AR59*$AN$2</f>
        <v>100</v>
      </c>
      <c r="AT59">
        <f>$AV$2*AN59</f>
        <v>2.5917611800887923</v>
      </c>
      <c r="AU59" s="8">
        <f t="shared" si="37"/>
        <v>51.835223601775844</v>
      </c>
      <c r="AV59">
        <f t="shared" ref="AV59:AV62" si="176">$AY$2*(AN59^$AZ$2)</f>
        <v>2.6804319124642553</v>
      </c>
      <c r="AW59" s="8">
        <f t="shared" si="37"/>
        <v>53.608638249285107</v>
      </c>
      <c r="AX59">
        <f>$AV$2*AO59</f>
        <v>2.6407966153423739</v>
      </c>
      <c r="AY59" s="8">
        <f t="shared" ref="AY59" si="177">AX59*$AS$1</f>
        <v>52.815932306847479</v>
      </c>
      <c r="AZ59">
        <f>$AY$2*(AO59^$AZ$2)</f>
        <v>2.7098017793032287</v>
      </c>
      <c r="BA59">
        <f t="shared" ref="BA59" si="178">AZ59*$AS$1</f>
        <v>54.196035586064575</v>
      </c>
      <c r="BB59" s="8"/>
      <c r="BC59" s="97">
        <f t="shared" si="40"/>
        <v>4.5562931594441523</v>
      </c>
      <c r="BD59" s="107">
        <f t="shared" si="41"/>
        <v>2.7828785119348822</v>
      </c>
      <c r="BE59" s="97">
        <f t="shared" si="42"/>
        <v>2.7505234986062135</v>
      </c>
      <c r="BF59" s="97">
        <f t="shared" si="43"/>
        <v>1.3704202193891035</v>
      </c>
      <c r="BI59" s="112"/>
      <c r="BJ59" s="13"/>
      <c r="BK59" s="13"/>
      <c r="BL59" s="13"/>
      <c r="BM59" s="13"/>
      <c r="BN59" s="113"/>
    </row>
    <row r="60" spans="1:66" x14ac:dyDescent="0.25">
      <c r="A60">
        <v>18</v>
      </c>
      <c r="B60" s="8" t="s">
        <v>78</v>
      </c>
      <c r="C60">
        <v>2569336</v>
      </c>
      <c r="D60" s="8">
        <v>2553685</v>
      </c>
      <c r="E60">
        <v>387039</v>
      </c>
      <c r="F60" s="8">
        <v>386763</v>
      </c>
      <c r="G60">
        <v>127766</v>
      </c>
      <c r="H60" s="8">
        <v>0</v>
      </c>
      <c r="I60">
        <f t="shared" si="130"/>
        <v>6.6027127724213539</v>
      </c>
      <c r="L60" s="13">
        <v>20</v>
      </c>
      <c r="M60" s="13" t="s">
        <v>134</v>
      </c>
      <c r="N60" s="2">
        <v>95715</v>
      </c>
      <c r="O60">
        <f t="shared" si="154"/>
        <v>34207.81870914092</v>
      </c>
      <c r="P60">
        <f t="shared" si="155"/>
        <v>2202.2909090221547</v>
      </c>
      <c r="Q60">
        <v>0</v>
      </c>
      <c r="R60">
        <f t="shared" si="14"/>
        <v>0</v>
      </c>
      <c r="S60">
        <f t="shared" si="15"/>
        <v>0</v>
      </c>
      <c r="AC60">
        <v>11</v>
      </c>
      <c r="AD60" s="10" t="s">
        <v>103</v>
      </c>
      <c r="AE60" s="8">
        <v>3373853</v>
      </c>
      <c r="AF60" s="63">
        <f t="shared" si="164"/>
        <v>1566567.0542197712</v>
      </c>
      <c r="AG60" s="8">
        <f t="shared" si="165"/>
        <v>1542872.0196610603</v>
      </c>
      <c r="AH60">
        <f t="shared" si="166"/>
        <v>3.4118763771225802</v>
      </c>
      <c r="AI60" s="8">
        <f t="shared" si="167"/>
        <v>3.4645743182060147</v>
      </c>
      <c r="AJ60">
        <f t="shared" ref="AJ60:AJ62" si="179">IF(AVERAGE($AH$13,$AH$36,$AH$38)&gt;0,IF(AH60-MAX($AH$13,$AH$36,$AH$38)&lt;=0,0,AH60-MAX($AH$13,$AH$36,$AH$38)),AH60)</f>
        <v>3.4118763771225802</v>
      </c>
      <c r="AK60" s="8">
        <f t="shared" si="172"/>
        <v>3.4645743182060147</v>
      </c>
      <c r="AL60" s="9">
        <f t="shared" si="159"/>
        <v>3.4118763771225802</v>
      </c>
      <c r="AM60" s="8">
        <f t="shared" si="160"/>
        <v>3.4645743182060147</v>
      </c>
      <c r="AN60">
        <f t="shared" si="173"/>
        <v>6.8237527542451604</v>
      </c>
      <c r="AO60" s="8">
        <f t="shared" si="174"/>
        <v>6.9291486364120294</v>
      </c>
      <c r="AP60">
        <f t="shared" ref="AP60:AP62" si="180">AN60*$AN$2</f>
        <v>54.590022033961283</v>
      </c>
      <c r="AQ60" s="8">
        <f t="shared" ref="AQ60:AQ62" si="181">AO60*$AN$2</f>
        <v>55.433189091296235</v>
      </c>
      <c r="AR60">
        <v>12.5</v>
      </c>
      <c r="AS60" s="8">
        <f t="shared" si="175"/>
        <v>100</v>
      </c>
      <c r="AT60">
        <f>$AV$2*AN60</f>
        <v>3.2444214845334041</v>
      </c>
      <c r="AU60" s="8">
        <f t="shared" si="37"/>
        <v>64.888429690668076</v>
      </c>
      <c r="AV60">
        <f t="shared" si="176"/>
        <v>3.0543430747622331</v>
      </c>
      <c r="AW60" s="8">
        <f t="shared" si="37"/>
        <v>61.086861495244662</v>
      </c>
      <c r="AX60">
        <f>$AV$2*AO60</f>
        <v>3.2945330106684634</v>
      </c>
      <c r="AY60" s="8">
        <f t="shared" ref="AY60" si="182">AX60*$AS$1</f>
        <v>65.890660213369273</v>
      </c>
      <c r="AZ60">
        <f t="shared" ref="AZ60:AZ62" si="183">$AY$2*(AO60^$AZ$2)</f>
        <v>3.0816839347966991</v>
      </c>
      <c r="BA60">
        <f t="shared" ref="BA60" si="184">AZ60*$AS$1</f>
        <v>61.63367869593398</v>
      </c>
      <c r="BB60" s="8"/>
      <c r="BC60" s="97" t="str">
        <f t="shared" si="40"/>
        <v>&lt; 0</v>
      </c>
      <c r="BD60" s="107" t="str">
        <f t="shared" si="41"/>
        <v>&lt; 0</v>
      </c>
      <c r="BE60" s="97" t="str">
        <f t="shared" si="42"/>
        <v>&lt; 0</v>
      </c>
      <c r="BF60" s="97" t="str">
        <f t="shared" si="43"/>
        <v>&lt; 0</v>
      </c>
      <c r="BI60" s="112" t="s">
        <v>171</v>
      </c>
      <c r="BJ60" s="13"/>
      <c r="BK60" s="13"/>
      <c r="BL60" s="13"/>
      <c r="BM60" s="13"/>
      <c r="BN60" s="113"/>
    </row>
    <row r="61" spans="1:66" x14ac:dyDescent="0.25">
      <c r="A61" s="7">
        <v>19</v>
      </c>
      <c r="B61" s="6" t="s">
        <v>79</v>
      </c>
      <c r="C61" s="7">
        <v>2848591</v>
      </c>
      <c r="D61" s="6">
        <v>2840796</v>
      </c>
      <c r="E61" s="7">
        <v>428125</v>
      </c>
      <c r="F61" s="6">
        <v>428125</v>
      </c>
      <c r="G61" s="7">
        <v>139570</v>
      </c>
      <c r="H61" s="6"/>
      <c r="I61">
        <f t="shared" si="130"/>
        <v>6.6354359124087594</v>
      </c>
      <c r="L61" s="13"/>
      <c r="M61" s="13"/>
      <c r="N61" s="13"/>
      <c r="AC61">
        <v>12</v>
      </c>
      <c r="AD61" s="10" t="s">
        <v>104</v>
      </c>
      <c r="AE61" s="8">
        <v>1942122</v>
      </c>
      <c r="AF61" s="63">
        <f t="shared" si="164"/>
        <v>859902.16905116092</v>
      </c>
      <c r="AG61" s="8">
        <f t="shared" si="165"/>
        <v>836207.13449245016</v>
      </c>
      <c r="AH61">
        <f t="shared" si="166"/>
        <v>1.8119841030418999</v>
      </c>
      <c r="AI61" s="8">
        <f t="shared" si="167"/>
        <v>1.8620441795643043</v>
      </c>
      <c r="AJ61">
        <f t="shared" si="179"/>
        <v>1.8119841030418999</v>
      </c>
      <c r="AK61" s="8">
        <f t="shared" si="172"/>
        <v>1.8620441795643043</v>
      </c>
      <c r="AL61" s="9">
        <f t="shared" si="159"/>
        <v>1.8119841030418999</v>
      </c>
      <c r="AM61" s="8">
        <f t="shared" si="160"/>
        <v>1.8620441795643043</v>
      </c>
      <c r="AN61">
        <f t="shared" si="173"/>
        <v>3.6239682060837999</v>
      </c>
      <c r="AO61" s="8">
        <f t="shared" si="174"/>
        <v>3.7240883591286087</v>
      </c>
      <c r="AP61">
        <f t="shared" si="180"/>
        <v>28.991745648670399</v>
      </c>
      <c r="AQ61" s="8">
        <f t="shared" si="181"/>
        <v>29.79270687302887</v>
      </c>
      <c r="AR61">
        <v>12.5</v>
      </c>
      <c r="AS61" s="8">
        <f t="shared" si="175"/>
        <v>100</v>
      </c>
      <c r="AT61">
        <f>$AV$2*AN61</f>
        <v>1.7230519232646035</v>
      </c>
      <c r="AU61" s="8">
        <f t="shared" si="37"/>
        <v>34.46103846529207</v>
      </c>
      <c r="AV61">
        <f t="shared" si="176"/>
        <v>2.1140778771724076</v>
      </c>
      <c r="AW61" s="8">
        <f t="shared" si="37"/>
        <v>42.281557543448152</v>
      </c>
      <c r="AX61">
        <f>$AV$2*AO61</f>
        <v>1.7706550512312882</v>
      </c>
      <c r="AY61" s="8">
        <f t="shared" ref="AY61" si="185">AX61*$AS$1</f>
        <v>35.41310102462576</v>
      </c>
      <c r="AZ61">
        <f t="shared" si="183"/>
        <v>2.1478425157854826</v>
      </c>
      <c r="BA61">
        <f t="shared" ref="BA61" si="186">AZ61*$AS$1</f>
        <v>42.956850315709652</v>
      </c>
      <c r="BB61" s="8"/>
      <c r="BC61" s="97">
        <f t="shared" si="40"/>
        <v>36.547215886037534</v>
      </c>
      <c r="BD61" s="107">
        <f t="shared" si="41"/>
        <v>28.726696807881453</v>
      </c>
      <c r="BE61" s="97">
        <f t="shared" si="42"/>
        <v>34.794192102345363</v>
      </c>
      <c r="BF61" s="97">
        <f t="shared" si="43"/>
        <v>27.250442811261479</v>
      </c>
      <c r="BI61" s="112" t="s">
        <v>286</v>
      </c>
      <c r="BJ61" s="13" t="s">
        <v>276</v>
      </c>
      <c r="BK61" s="40">
        <f>AVERAGE(BC88:BC91)</f>
        <v>10.706511703114584</v>
      </c>
      <c r="BL61" s="40"/>
      <c r="BM61" s="40">
        <f>AVERAGE(BE88:BE91)</f>
        <v>7.6744448314678282</v>
      </c>
      <c r="BN61" s="114"/>
    </row>
    <row r="62" spans="1:66" x14ac:dyDescent="0.25">
      <c r="A62">
        <v>20</v>
      </c>
      <c r="B62" s="8" t="s">
        <v>80</v>
      </c>
      <c r="C62">
        <v>351216</v>
      </c>
      <c r="D62" s="8">
        <v>352166</v>
      </c>
      <c r="E62">
        <v>0</v>
      </c>
      <c r="F62" s="8">
        <v>52990</v>
      </c>
      <c r="G62">
        <v>261376</v>
      </c>
      <c r="H62" s="8">
        <v>261549</v>
      </c>
      <c r="I62">
        <f t="shared" si="130"/>
        <v>6.6458954519720699</v>
      </c>
      <c r="L62" s="13"/>
      <c r="M62" s="13"/>
      <c r="N62" s="13"/>
      <c r="AC62" s="7">
        <v>13</v>
      </c>
      <c r="AD62" s="20" t="s">
        <v>105</v>
      </c>
      <c r="AE62" s="23">
        <v>2174874</v>
      </c>
      <c r="AF62" s="23">
        <f t="shared" si="164"/>
        <v>920224.59351698693</v>
      </c>
      <c r="AG62" s="6">
        <f t="shared" si="165"/>
        <v>896529.55895827617</v>
      </c>
      <c r="AH62" s="7">
        <f t="shared" si="166"/>
        <v>1.9485543259045564</v>
      </c>
      <c r="AI62" s="6">
        <f t="shared" si="167"/>
        <v>1.9988395761819799</v>
      </c>
      <c r="AJ62" s="7">
        <f t="shared" si="179"/>
        <v>1.9485543259045564</v>
      </c>
      <c r="AK62" s="6">
        <f t="shared" si="172"/>
        <v>1.9988395761819799</v>
      </c>
      <c r="AL62" s="5">
        <f t="shared" si="159"/>
        <v>1.9485543259045564</v>
      </c>
      <c r="AM62" s="6">
        <f t="shared" si="160"/>
        <v>1.9988395761819799</v>
      </c>
      <c r="AN62" s="7">
        <f t="shared" si="173"/>
        <v>3.8971086518091127</v>
      </c>
      <c r="AO62" s="6">
        <f t="shared" si="174"/>
        <v>3.9976791523639599</v>
      </c>
      <c r="AP62" s="5">
        <f t="shared" si="180"/>
        <v>31.176869214472902</v>
      </c>
      <c r="AQ62" s="6">
        <f t="shared" si="181"/>
        <v>31.981433218911679</v>
      </c>
      <c r="AR62" s="7">
        <v>12.5</v>
      </c>
      <c r="AS62" s="6">
        <f t="shared" si="175"/>
        <v>100</v>
      </c>
      <c r="AT62">
        <f>$AV$2*AN62</f>
        <v>1.8529192795891607</v>
      </c>
      <c r="AU62" s="6">
        <f t="shared" si="37"/>
        <v>37.058385591783214</v>
      </c>
      <c r="AV62" s="7">
        <f t="shared" si="176"/>
        <v>2.2053093184628869</v>
      </c>
      <c r="AW62" s="6">
        <f t="shared" si="37"/>
        <v>44.106186369257742</v>
      </c>
      <c r="AX62">
        <f>$AV$2*AO62</f>
        <v>1.9007365297829684</v>
      </c>
      <c r="AY62" s="6">
        <f t="shared" ref="AY62" si="187">AX62*$AS$1</f>
        <v>38.014730595659366</v>
      </c>
      <c r="AZ62">
        <f t="shared" si="183"/>
        <v>2.2382220493514087</v>
      </c>
      <c r="BA62" s="7">
        <f t="shared" ref="BA62" si="188">AZ62*$AS$1</f>
        <v>44.764440987028173</v>
      </c>
      <c r="BB62" s="6"/>
      <c r="BC62" s="97">
        <f t="shared" si="40"/>
        <v>31.764745193743892</v>
      </c>
      <c r="BD62" s="107">
        <f t="shared" si="41"/>
        <v>24.716944416269357</v>
      </c>
      <c r="BE62" s="97">
        <f t="shared" si="42"/>
        <v>30.003836185428952</v>
      </c>
      <c r="BF62" s="97">
        <f t="shared" si="43"/>
        <v>23.254125794060144</v>
      </c>
      <c r="BI62" s="112"/>
      <c r="BJ62" s="13"/>
      <c r="BK62" s="13"/>
      <c r="BL62" s="13"/>
      <c r="BM62" s="13"/>
      <c r="BN62" s="113"/>
    </row>
    <row r="63" spans="1:66" ht="15.75" thickBot="1" x14ac:dyDescent="0.3">
      <c r="A63">
        <v>21</v>
      </c>
      <c r="B63" s="8" t="s">
        <v>88</v>
      </c>
      <c r="D63" s="8">
        <v>20264</v>
      </c>
      <c r="F63" s="8"/>
      <c r="G63">
        <v>258120</v>
      </c>
      <c r="H63" s="65">
        <v>258120</v>
      </c>
      <c r="AC63">
        <v>14</v>
      </c>
      <c r="AD63" s="88" t="s">
        <v>106</v>
      </c>
      <c r="AE63" s="88">
        <v>88960</v>
      </c>
      <c r="AF63" s="90">
        <f t="shared" si="164"/>
        <v>36041.077174498459</v>
      </c>
      <c r="AG63" s="88">
        <f t="shared" si="165"/>
        <v>12346.042615787675</v>
      </c>
      <c r="AH63" s="89">
        <f t="shared" si="166"/>
        <v>-5.3240876255960454E-2</v>
      </c>
      <c r="AI63" s="88">
        <f t="shared" si="167"/>
        <v>-6.2561385866455044E-3</v>
      </c>
      <c r="AJ63" s="89">
        <f>IF(AVERAGE($AH$63:$AH$64)&gt;0,IF(AH63-MAX($AH$63:$AH$64)&lt;=0,0,AH63-MAX($AH$63:$AH$64)),AH63)</f>
        <v>0</v>
      </c>
      <c r="AK63" s="88">
        <f>IF(AVERAGE($AI$63:$AI$64)&gt;0,IF(AI63-MAX($AI$63:$AI$64)&lt;=0,0,AI63-MAX($AI$63:$AI$64)),AI63)</f>
        <v>0</v>
      </c>
      <c r="AL63" s="92">
        <f t="shared" si="159"/>
        <v>0</v>
      </c>
      <c r="AM63" s="88">
        <f t="shared" si="160"/>
        <v>0</v>
      </c>
      <c r="AN63" s="89">
        <f>AL63*$AO$5</f>
        <v>0</v>
      </c>
      <c r="AO63" s="88">
        <f>AM63*$AO$5</f>
        <v>0</v>
      </c>
      <c r="AP63" s="89">
        <f>AN63*$AO$2</f>
        <v>0</v>
      </c>
      <c r="AQ63" s="88">
        <f>AO63*$AO$2</f>
        <v>0</v>
      </c>
      <c r="AR63" s="89">
        <v>0</v>
      </c>
      <c r="AS63" s="88">
        <f>AR63*$AO$2</f>
        <v>0</v>
      </c>
      <c r="AT63" s="89">
        <f>$AV$3*AN63</f>
        <v>0</v>
      </c>
      <c r="AU63" s="88">
        <f t="shared" si="37"/>
        <v>0</v>
      </c>
      <c r="AV63" s="89"/>
      <c r="AW63" s="88">
        <f t="shared" si="37"/>
        <v>0</v>
      </c>
      <c r="AX63" s="89">
        <f>$AV$3*AO63</f>
        <v>0</v>
      </c>
      <c r="AY63" s="88">
        <f t="shared" ref="AY63" si="189">AX63*$AS$1</f>
        <v>0</v>
      </c>
      <c r="AZ63" s="89"/>
      <c r="BA63" s="89">
        <f t="shared" ref="BA63" si="190">AZ63*$AS$1</f>
        <v>0</v>
      </c>
      <c r="BB63" s="88"/>
      <c r="BC63" s="102">
        <f t="shared" si="40"/>
        <v>0</v>
      </c>
      <c r="BD63" s="106">
        <f t="shared" si="41"/>
        <v>0</v>
      </c>
      <c r="BE63" s="102">
        <f t="shared" si="42"/>
        <v>0</v>
      </c>
      <c r="BF63" s="102">
        <f t="shared" si="43"/>
        <v>0</v>
      </c>
      <c r="BI63" s="115" t="s">
        <v>287</v>
      </c>
      <c r="BJ63" s="116" t="s">
        <v>277</v>
      </c>
      <c r="BK63" s="117">
        <f>AVERAGE(BC95:BC98)</f>
        <v>32.852408084112355</v>
      </c>
      <c r="BL63" s="117"/>
      <c r="BM63" s="117">
        <f>AVERAGE(BE95:BE98)</f>
        <v>29.866690015261902</v>
      </c>
      <c r="BN63" s="118"/>
    </row>
    <row r="64" spans="1:66" x14ac:dyDescent="0.25">
      <c r="A64">
        <v>22</v>
      </c>
      <c r="B64" s="8" t="s">
        <v>81</v>
      </c>
      <c r="C64">
        <v>2185547</v>
      </c>
      <c r="D64" s="8">
        <v>2172556</v>
      </c>
      <c r="E64">
        <v>323633</v>
      </c>
      <c r="F64" s="8">
        <v>324387</v>
      </c>
      <c r="G64">
        <v>202107</v>
      </c>
      <c r="H64" s="8">
        <v>202717</v>
      </c>
      <c r="I64">
        <f t="shared" si="130"/>
        <v>6.6974200569073359</v>
      </c>
      <c r="AC64">
        <v>15</v>
      </c>
      <c r="AD64" s="88" t="s">
        <v>107</v>
      </c>
      <c r="AE64" s="88">
        <v>232604</v>
      </c>
      <c r="AF64" s="90">
        <f t="shared" si="164"/>
        <v>90395.791139129011</v>
      </c>
      <c r="AG64" s="88">
        <f t="shared" si="165"/>
        <v>66700.756580418223</v>
      </c>
      <c r="AH64" s="89">
        <f t="shared" si="166"/>
        <v>6.9818424916374758E-2</v>
      </c>
      <c r="AI64" s="88">
        <f t="shared" si="167"/>
        <v>0.11700605985241609</v>
      </c>
      <c r="AJ64" s="89">
        <f t="shared" ref="AJ64:AJ68" si="191">IF(AVERAGE($AH$63:$AH$64)&gt;0,IF(AH64-MAX($AH$63:$AH$64)&lt;=0,0,AH64-MAX($AH$63:$AH$64)),AH64)</f>
        <v>0</v>
      </c>
      <c r="AK64" s="88">
        <f t="shared" ref="AK64:AK68" si="192">IF(AVERAGE($AI$63:$AI$64)&gt;0,IF(AI64-MAX($AI$63:$AI$64)&lt;=0,0,AI64-MAX($AI$63:$AI$64)),AI64)</f>
        <v>0</v>
      </c>
      <c r="AL64" s="92">
        <f t="shared" si="159"/>
        <v>0</v>
      </c>
      <c r="AM64" s="88">
        <f t="shared" si="160"/>
        <v>0</v>
      </c>
      <c r="AN64" s="89">
        <f t="shared" ref="AN64:AN75" si="193">AL64*$AO$5</f>
        <v>0</v>
      </c>
      <c r="AO64" s="88">
        <f t="shared" ref="AO64:AO75" si="194">AM64*$AO$5</f>
        <v>0</v>
      </c>
      <c r="AP64" s="89">
        <f t="shared" ref="AP64:AP75" si="195">AN64*$AO$2</f>
        <v>0</v>
      </c>
      <c r="AQ64" s="88">
        <f t="shared" ref="AQ64:AQ75" si="196">AO64*$AO$2</f>
        <v>0</v>
      </c>
      <c r="AR64" s="89">
        <v>0</v>
      </c>
      <c r="AS64" s="88">
        <f t="shared" ref="AS64:AS75" si="197">AR64*$AO$2</f>
        <v>0</v>
      </c>
      <c r="AT64" s="89">
        <f t="shared" ref="AT64:AT75" si="198">$AV$3*AN64</f>
        <v>0</v>
      </c>
      <c r="AU64" s="88">
        <f t="shared" si="37"/>
        <v>0</v>
      </c>
      <c r="AV64" s="89"/>
      <c r="AW64" s="88">
        <f t="shared" si="37"/>
        <v>0</v>
      </c>
      <c r="AX64" s="89">
        <f t="shared" ref="AX64:AX75" si="199">$AV$3*AO64</f>
        <v>0</v>
      </c>
      <c r="AY64" s="88">
        <f t="shared" ref="AY64" si="200">AX64*$AS$1</f>
        <v>0</v>
      </c>
      <c r="AZ64" s="89"/>
      <c r="BA64" s="89">
        <f t="shared" ref="BA64" si="201">AZ64*$AS$1</f>
        <v>0</v>
      </c>
      <c r="BB64" s="88"/>
      <c r="BC64" s="102">
        <f t="shared" si="40"/>
        <v>0</v>
      </c>
      <c r="BD64" s="106">
        <f t="shared" si="41"/>
        <v>0</v>
      </c>
      <c r="BE64" s="102">
        <f t="shared" si="42"/>
        <v>0</v>
      </c>
      <c r="BF64" s="102">
        <f t="shared" si="43"/>
        <v>0</v>
      </c>
    </row>
    <row r="65" spans="1:66" ht="15.75" thickBot="1" x14ac:dyDescent="0.3">
      <c r="A65">
        <v>23</v>
      </c>
      <c r="B65" s="8" t="s">
        <v>82</v>
      </c>
      <c r="C65">
        <v>1913623</v>
      </c>
      <c r="D65" s="8">
        <v>1894244</v>
      </c>
      <c r="E65">
        <v>284327</v>
      </c>
      <c r="F65" s="8">
        <v>284327</v>
      </c>
      <c r="G65">
        <v>206800</v>
      </c>
      <c r="H65" s="8">
        <v>209607</v>
      </c>
      <c r="I65">
        <f t="shared" si="130"/>
        <v>6.6622023233811776</v>
      </c>
      <c r="AC65">
        <v>16</v>
      </c>
      <c r="AD65" s="10" t="s">
        <v>108</v>
      </c>
      <c r="AE65" s="8">
        <v>1448094</v>
      </c>
      <c r="AF65" s="63">
        <f t="shared" si="164"/>
        <v>540726.80085047917</v>
      </c>
      <c r="AG65" s="8">
        <f t="shared" si="165"/>
        <v>517031.76629176841</v>
      </c>
      <c r="AH65">
        <f t="shared" si="166"/>
        <v>1.0893697261590201</v>
      </c>
      <c r="AI65" s="8">
        <f t="shared" si="167"/>
        <v>1.1382383731789816</v>
      </c>
      <c r="AJ65">
        <f t="shared" si="191"/>
        <v>1.0195513012426454</v>
      </c>
      <c r="AK65" s="8">
        <f t="shared" si="192"/>
        <v>1.0212323133265655</v>
      </c>
      <c r="AL65" s="9">
        <f t="shared" si="159"/>
        <v>1.0195513012426454</v>
      </c>
      <c r="AM65" s="8">
        <f t="shared" si="160"/>
        <v>1.0212323133265655</v>
      </c>
      <c r="AN65">
        <f t="shared" si="193"/>
        <v>3.7383547712230327</v>
      </c>
      <c r="AO65" s="8">
        <f t="shared" si="194"/>
        <v>3.7445184821974067</v>
      </c>
      <c r="AP65">
        <f t="shared" si="195"/>
        <v>22.430128627338195</v>
      </c>
      <c r="AQ65" s="8">
        <f t="shared" si="196"/>
        <v>22.46711089318444</v>
      </c>
      <c r="AR65">
        <v>12.5</v>
      </c>
      <c r="AS65" s="8">
        <f t="shared" si="197"/>
        <v>75</v>
      </c>
      <c r="AT65">
        <f t="shared" si="198"/>
        <v>5.9985640659044783</v>
      </c>
      <c r="AU65" s="8">
        <f t="shared" si="37"/>
        <v>119.97128131808957</v>
      </c>
      <c r="AW65" s="8">
        <f t="shared" si="37"/>
        <v>0</v>
      </c>
      <c r="AX65">
        <f t="shared" si="199"/>
        <v>6.0084543565339592</v>
      </c>
      <c r="AY65" s="8">
        <f t="shared" ref="AY65" si="202">AX65*$AS$1</f>
        <v>120.16908713067919</v>
      </c>
      <c r="BA65">
        <f t="shared" ref="BA65" si="203">AZ65*$AS$1</f>
        <v>0</v>
      </c>
      <c r="BB65" s="8"/>
      <c r="BC65" s="97" t="str">
        <f t="shared" si="40"/>
        <v>&lt; 0</v>
      </c>
      <c r="BD65" s="107">
        <f t="shared" si="41"/>
        <v>52.569871372661808</v>
      </c>
      <c r="BE65" s="97" t="str">
        <f t="shared" si="42"/>
        <v>&lt; 0</v>
      </c>
      <c r="BF65" s="97">
        <f t="shared" si="43"/>
        <v>52.53288910681556</v>
      </c>
    </row>
    <row r="66" spans="1:66" x14ac:dyDescent="0.25">
      <c r="A66">
        <v>24</v>
      </c>
      <c r="B66" s="8" t="s">
        <v>83</v>
      </c>
      <c r="C66">
        <v>2940252</v>
      </c>
      <c r="D66" s="8">
        <v>2928756</v>
      </c>
      <c r="E66">
        <v>438508</v>
      </c>
      <c r="F66" s="8">
        <v>438508</v>
      </c>
      <c r="G66">
        <v>305392</v>
      </c>
      <c r="H66" s="8">
        <v>305929</v>
      </c>
      <c r="I66">
        <f t="shared" si="130"/>
        <v>6.6789112171271672</v>
      </c>
      <c r="AC66">
        <v>17</v>
      </c>
      <c r="AD66" s="10" t="s">
        <v>109</v>
      </c>
      <c r="AE66" s="8">
        <v>1949849</v>
      </c>
      <c r="AF66" s="63">
        <f t="shared" si="164"/>
        <v>700646.26134561782</v>
      </c>
      <c r="AG66" s="8">
        <f t="shared" si="165"/>
        <v>676951.22678690706</v>
      </c>
      <c r="AH66">
        <f t="shared" si="166"/>
        <v>1.4514280577545913</v>
      </c>
      <c r="AI66" s="8">
        <f t="shared" si="167"/>
        <v>1.50089365799285</v>
      </c>
      <c r="AJ66">
        <f t="shared" si="191"/>
        <v>1.3816096328382166</v>
      </c>
      <c r="AK66" s="8">
        <f t="shared" si="192"/>
        <v>1.3838875981404339</v>
      </c>
      <c r="AL66" s="9">
        <f t="shared" si="159"/>
        <v>1.3816096328382166</v>
      </c>
      <c r="AM66" s="8">
        <f t="shared" si="160"/>
        <v>1.3838875981404339</v>
      </c>
      <c r="AN66">
        <f t="shared" si="193"/>
        <v>5.0659019870734605</v>
      </c>
      <c r="AO66" s="8">
        <f t="shared" si="194"/>
        <v>5.0742545265149239</v>
      </c>
      <c r="AP66">
        <f t="shared" si="195"/>
        <v>30.395411922440765</v>
      </c>
      <c r="AQ66" s="8">
        <f t="shared" si="196"/>
        <v>30.445527159089544</v>
      </c>
      <c r="AR66">
        <v>12.5</v>
      </c>
      <c r="AS66" s="8">
        <f t="shared" si="197"/>
        <v>75</v>
      </c>
      <c r="AT66">
        <f t="shared" si="198"/>
        <v>8.1287463284580745</v>
      </c>
      <c r="AU66" s="8">
        <f t="shared" si="37"/>
        <v>162.57492656916151</v>
      </c>
      <c r="AW66" s="8">
        <f t="shared" si="37"/>
        <v>0</v>
      </c>
      <c r="AX66">
        <f t="shared" si="199"/>
        <v>8.1421488132458464</v>
      </c>
      <c r="AY66" s="8">
        <f t="shared" ref="AY66" si="204">AX66*$AS$1</f>
        <v>162.84297626491693</v>
      </c>
      <c r="BA66">
        <f t="shared" ref="BA66" si="205">AZ66*$AS$1</f>
        <v>0</v>
      </c>
      <c r="BB66" s="8"/>
      <c r="BC66" s="97" t="str">
        <f t="shared" si="40"/>
        <v>&lt; 0</v>
      </c>
      <c r="BD66" s="107">
        <f t="shared" si="41"/>
        <v>44.604588077559235</v>
      </c>
      <c r="BE66" s="97" t="str">
        <f t="shared" si="42"/>
        <v>&lt; 0</v>
      </c>
      <c r="BF66" s="97">
        <f t="shared" si="43"/>
        <v>44.554472840910456</v>
      </c>
      <c r="BI66" s="109"/>
      <c r="BJ66" s="110" t="s">
        <v>182</v>
      </c>
      <c r="BK66" s="110" t="s">
        <v>303</v>
      </c>
      <c r="BL66" s="111" t="s">
        <v>304</v>
      </c>
      <c r="BM66" s="110" t="s">
        <v>303</v>
      </c>
      <c r="BN66" s="111" t="s">
        <v>304</v>
      </c>
    </row>
    <row r="67" spans="1:66" x14ac:dyDescent="0.25">
      <c r="A67">
        <v>25</v>
      </c>
      <c r="B67" s="8" t="s">
        <v>84</v>
      </c>
      <c r="C67">
        <v>3435503</v>
      </c>
      <c r="D67" s="8">
        <v>3412430</v>
      </c>
      <c r="E67">
        <v>507701</v>
      </c>
      <c r="F67" s="8">
        <v>508098</v>
      </c>
      <c r="G67">
        <v>314956</v>
      </c>
      <c r="H67" s="8">
        <v>314956</v>
      </c>
      <c r="I67">
        <f t="shared" si="130"/>
        <v>6.7160862668225425</v>
      </c>
      <c r="AC67">
        <v>18</v>
      </c>
      <c r="AD67" s="10" t="s">
        <v>110</v>
      </c>
      <c r="AE67" s="8">
        <v>720683</v>
      </c>
      <c r="AF67" s="63">
        <f t="shared" si="164"/>
        <v>249560.61132932935</v>
      </c>
      <c r="AG67" s="8">
        <f t="shared" si="165"/>
        <v>225865.57677061856</v>
      </c>
      <c r="AH67">
        <f t="shared" si="166"/>
        <v>0.43016824768559803</v>
      </c>
      <c r="AI67" s="8">
        <f t="shared" si="167"/>
        <v>0.47795001889097199</v>
      </c>
      <c r="AJ67">
        <f t="shared" si="191"/>
        <v>0.36034982276922328</v>
      </c>
      <c r="AK67" s="8">
        <f t="shared" si="192"/>
        <v>0.36094395903855592</v>
      </c>
      <c r="AL67" s="9">
        <f t="shared" si="159"/>
        <v>0.36034982276922328</v>
      </c>
      <c r="AM67" s="8">
        <f t="shared" si="160"/>
        <v>0.36094395903855592</v>
      </c>
      <c r="AN67">
        <f t="shared" si="193"/>
        <v>1.3212826834871521</v>
      </c>
      <c r="AO67" s="8">
        <f t="shared" si="194"/>
        <v>1.3234611831413716</v>
      </c>
      <c r="AP67">
        <f t="shared" si="195"/>
        <v>7.9276961009229119</v>
      </c>
      <c r="AQ67" s="8">
        <f t="shared" si="196"/>
        <v>7.9407670988482302</v>
      </c>
      <c r="AR67">
        <v>12.5</v>
      </c>
      <c r="AS67" s="8">
        <f t="shared" si="197"/>
        <v>75</v>
      </c>
      <c r="AT67">
        <f t="shared" si="198"/>
        <v>2.120130193923484</v>
      </c>
      <c r="AU67" s="8">
        <f t="shared" si="37"/>
        <v>42.402603878469677</v>
      </c>
      <c r="AW67" s="8">
        <f t="shared" si="37"/>
        <v>0</v>
      </c>
      <c r="AX67">
        <f t="shared" si="199"/>
        <v>2.1236258144686451</v>
      </c>
      <c r="AY67" s="8">
        <f t="shared" ref="AY67" si="206">AX67*$AS$1</f>
        <v>42.472516289372905</v>
      </c>
      <c r="BA67">
        <f t="shared" ref="BA67" si="207">AZ67*$AS$1</f>
        <v>0</v>
      </c>
      <c r="BB67" s="8"/>
      <c r="BC67" s="97">
        <f t="shared" si="40"/>
        <v>24.669700020607408</v>
      </c>
      <c r="BD67" s="107">
        <f t="shared" si="41"/>
        <v>67.072303899077085</v>
      </c>
      <c r="BE67" s="97">
        <f t="shared" si="42"/>
        <v>24.586716611778868</v>
      </c>
      <c r="BF67" s="97">
        <f t="shared" si="43"/>
        <v>67.059232901151773</v>
      </c>
      <c r="BI67" s="112" t="s">
        <v>169</v>
      </c>
      <c r="BJ67" s="13" t="s">
        <v>305</v>
      </c>
      <c r="BK67" s="13" t="s">
        <v>254</v>
      </c>
      <c r="BL67" s="113" t="s">
        <v>254</v>
      </c>
      <c r="BM67" s="14" t="s">
        <v>253</v>
      </c>
      <c r="BN67" s="119" t="s">
        <v>253</v>
      </c>
    </row>
    <row r="68" spans="1:66" x14ac:dyDescent="0.25">
      <c r="A68">
        <v>26</v>
      </c>
      <c r="B68" s="8" t="s">
        <v>85</v>
      </c>
      <c r="C68">
        <v>2755923</v>
      </c>
      <c r="D68" s="8">
        <v>2726658</v>
      </c>
      <c r="E68">
        <v>406671</v>
      </c>
      <c r="F68" s="8">
        <v>406671</v>
      </c>
      <c r="G68">
        <v>305324</v>
      </c>
      <c r="H68" s="8">
        <v>305324</v>
      </c>
      <c r="I68">
        <f t="shared" si="130"/>
        <v>6.704825276451972</v>
      </c>
      <c r="AC68" s="7">
        <v>19</v>
      </c>
      <c r="AD68" s="20" t="s">
        <v>111</v>
      </c>
      <c r="AE68" s="6">
        <v>699793</v>
      </c>
      <c r="AF68" s="63">
        <f t="shared" si="164"/>
        <v>233834.44721394815</v>
      </c>
      <c r="AG68" s="8">
        <f t="shared" si="165"/>
        <v>210139.41265523736</v>
      </c>
      <c r="AH68">
        <f t="shared" si="166"/>
        <v>0.39456414594348299</v>
      </c>
      <c r="AI68" s="8">
        <f t="shared" si="167"/>
        <v>0.44228721394756376</v>
      </c>
      <c r="AJ68">
        <f t="shared" si="191"/>
        <v>0.32474572102710825</v>
      </c>
      <c r="AK68" s="8">
        <f t="shared" si="192"/>
        <v>0.32528115409514768</v>
      </c>
      <c r="AL68" s="9">
        <f t="shared" si="159"/>
        <v>0.32474572102710825</v>
      </c>
      <c r="AM68" s="8">
        <f t="shared" si="160"/>
        <v>0.32528115409514768</v>
      </c>
      <c r="AN68">
        <f t="shared" si="193"/>
        <v>1.1907343104327301</v>
      </c>
      <c r="AO68" s="8">
        <f t="shared" si="194"/>
        <v>1.1926975650155414</v>
      </c>
      <c r="AP68">
        <f t="shared" si="195"/>
        <v>7.1444058625963809</v>
      </c>
      <c r="AQ68" s="8">
        <f t="shared" si="196"/>
        <v>7.1561853900932482</v>
      </c>
      <c r="AR68">
        <v>12.5</v>
      </c>
      <c r="AS68" s="8">
        <f t="shared" si="197"/>
        <v>75</v>
      </c>
      <c r="AT68">
        <f t="shared" si="198"/>
        <v>1.9106522745203589</v>
      </c>
      <c r="AU68" s="8">
        <f t="shared" si="37"/>
        <v>38.213045490407175</v>
      </c>
      <c r="AW68" s="8">
        <f t="shared" si="37"/>
        <v>0</v>
      </c>
      <c r="AX68">
        <f t="shared" si="199"/>
        <v>1.9138025128239378</v>
      </c>
      <c r="AY68" s="8">
        <f t="shared" ref="AY68" si="208">AX68*$AS$1</f>
        <v>38.276050256478754</v>
      </c>
      <c r="BA68">
        <f t="shared" ref="BA68" si="209">AZ68*$AS$1</f>
        <v>0</v>
      </c>
      <c r="BB68" s="8"/>
      <c r="BC68" s="97">
        <f t="shared" si="40"/>
        <v>29.642548646996445</v>
      </c>
      <c r="BD68" s="107">
        <f t="shared" si="41"/>
        <v>67.855594137403614</v>
      </c>
      <c r="BE68" s="97">
        <f t="shared" si="42"/>
        <v>29.567764353427997</v>
      </c>
      <c r="BF68" s="97">
        <f t="shared" si="43"/>
        <v>67.843814609906758</v>
      </c>
      <c r="BI68" s="112" t="s">
        <v>281</v>
      </c>
      <c r="BJ68" s="13" t="s">
        <v>276</v>
      </c>
      <c r="BK68" s="40">
        <f>AVERAGE(AN59:AN62)</f>
        <v>4.9489725042463935</v>
      </c>
      <c r="BL68" s="40">
        <f>AVERAGE(AO59:AO62)</f>
        <v>5.0512772930557217</v>
      </c>
      <c r="BM68" s="40">
        <f>AVERAGE(AP59:AP62)</f>
        <v>39.591780033971148</v>
      </c>
      <c r="BN68" s="114">
        <f>AVERAGE(AQ59:AQ62)</f>
        <v>40.410218344445774</v>
      </c>
    </row>
    <row r="69" spans="1:66" x14ac:dyDescent="0.25">
      <c r="A69">
        <v>27</v>
      </c>
      <c r="B69" s="8" t="s">
        <v>86</v>
      </c>
      <c r="C69">
        <v>4208329</v>
      </c>
      <c r="D69" s="8">
        <v>4195581</v>
      </c>
      <c r="E69">
        <v>634607</v>
      </c>
      <c r="F69" s="8">
        <v>634607</v>
      </c>
      <c r="G69">
        <v>285140</v>
      </c>
      <c r="H69" s="8">
        <v>285140</v>
      </c>
      <c r="I69">
        <f>D69/F69</f>
        <v>6.6113058948293988</v>
      </c>
      <c r="AC69" s="7">
        <v>20</v>
      </c>
      <c r="AD69" s="6" t="s">
        <v>118</v>
      </c>
      <c r="AE69" s="6">
        <v>40579</v>
      </c>
      <c r="AF69" s="63">
        <f t="shared" si="164"/>
        <v>13100.294861747523</v>
      </c>
      <c r="AG69" s="8">
        <f t="shared" si="165"/>
        <v>0</v>
      </c>
      <c r="AH69">
        <f t="shared" si="166"/>
        <v>0</v>
      </c>
      <c r="AI69" s="8">
        <f t="shared" si="167"/>
        <v>0</v>
      </c>
      <c r="AK69" s="8"/>
      <c r="AL69" s="9">
        <f t="shared" si="159"/>
        <v>0</v>
      </c>
      <c r="AM69" s="8">
        <f t="shared" si="160"/>
        <v>0</v>
      </c>
      <c r="AO69" s="8"/>
      <c r="AQ69" s="8"/>
      <c r="AR69">
        <v>0</v>
      </c>
      <c r="AS69" s="8">
        <f t="shared" si="197"/>
        <v>0</v>
      </c>
      <c r="AT69">
        <f t="shared" si="198"/>
        <v>0</v>
      </c>
      <c r="AU69" s="8">
        <f t="shared" si="37"/>
        <v>0</v>
      </c>
      <c r="AW69" s="8">
        <f t="shared" si="37"/>
        <v>0</v>
      </c>
      <c r="AX69">
        <f t="shared" si="199"/>
        <v>0</v>
      </c>
      <c r="AY69" s="8">
        <f t="shared" ref="AY69" si="210">AX69*$AS$1</f>
        <v>0</v>
      </c>
      <c r="BA69">
        <f t="shared" ref="BA69" si="211">AZ69*$AS$1</f>
        <v>0</v>
      </c>
      <c r="BB69" s="8"/>
      <c r="BC69" s="97"/>
      <c r="BD69" s="107"/>
      <c r="BE69" s="97"/>
      <c r="BF69" s="97"/>
      <c r="BI69" s="112"/>
      <c r="BJ69" s="13"/>
      <c r="BK69" s="13"/>
      <c r="BL69" s="113"/>
      <c r="BM69" s="13"/>
      <c r="BN69" s="113"/>
    </row>
    <row r="70" spans="1:66" x14ac:dyDescent="0.25">
      <c r="AC70">
        <v>21</v>
      </c>
      <c r="AD70" s="88" t="s">
        <v>112</v>
      </c>
      <c r="AE70" s="88">
        <v>118898</v>
      </c>
      <c r="AF70" s="90">
        <f t="shared" si="164"/>
        <v>37127.291545480359</v>
      </c>
      <c r="AG70" s="88">
        <f t="shared" si="165"/>
        <v>13432.256986769575</v>
      </c>
      <c r="AH70" s="89">
        <f t="shared" si="166"/>
        <v>-5.0781682348632375E-2</v>
      </c>
      <c r="AI70" s="88">
        <f t="shared" si="167"/>
        <v>-3.7928900185368562E-3</v>
      </c>
      <c r="AJ70" s="89">
        <f>IF(AVERAGE($AH$70:$AH$71)&gt;0,IF(AH70-MAX($AH$70:$AH$71)&lt;=0,0,AH70-MAX($AH$70:$AH$71)),AH70)</f>
        <v>-5.0781682348632375E-2</v>
      </c>
      <c r="AK70" s="88">
        <f>IF(AVERAGE($AI$70:$AI$71)&gt;0,IF(AI70-MAX($AI$70:$AI$71)&lt;=0,0,AI70-MAX($AI$70:$AI$71)),AI70)</f>
        <v>-3.7928900185368562E-3</v>
      </c>
      <c r="AL70" s="92">
        <f t="shared" si="159"/>
        <v>0</v>
      </c>
      <c r="AM70" s="88">
        <f t="shared" si="160"/>
        <v>0</v>
      </c>
      <c r="AN70" s="89">
        <f t="shared" si="193"/>
        <v>0</v>
      </c>
      <c r="AO70" s="88">
        <f t="shared" si="194"/>
        <v>0</v>
      </c>
      <c r="AP70" s="89">
        <f t="shared" si="195"/>
        <v>0</v>
      </c>
      <c r="AQ70" s="88">
        <f t="shared" si="196"/>
        <v>0</v>
      </c>
      <c r="AR70" s="89">
        <v>0</v>
      </c>
      <c r="AS70" s="88">
        <f t="shared" si="197"/>
        <v>0</v>
      </c>
      <c r="AT70" s="89">
        <f t="shared" si="198"/>
        <v>0</v>
      </c>
      <c r="AU70" s="88">
        <f t="shared" si="37"/>
        <v>0</v>
      </c>
      <c r="AV70" s="89"/>
      <c r="AW70" s="88">
        <f t="shared" si="37"/>
        <v>0</v>
      </c>
      <c r="AX70" s="89">
        <f t="shared" si="199"/>
        <v>0</v>
      </c>
      <c r="AY70" s="88">
        <f t="shared" ref="AY70" si="212">AX70*$AS$1</f>
        <v>0</v>
      </c>
      <c r="AZ70" s="89"/>
      <c r="BA70" s="89">
        <f t="shared" ref="BA70" si="213">AZ70*$AS$1</f>
        <v>0</v>
      </c>
      <c r="BB70" s="88"/>
      <c r="BC70" s="102">
        <f t="shared" si="40"/>
        <v>0</v>
      </c>
      <c r="BD70" s="106">
        <f t="shared" si="41"/>
        <v>0</v>
      </c>
      <c r="BE70" s="102">
        <f t="shared" si="42"/>
        <v>0</v>
      </c>
      <c r="BF70" s="102">
        <f t="shared" si="43"/>
        <v>0</v>
      </c>
      <c r="BI70" s="112" t="s">
        <v>282</v>
      </c>
      <c r="BJ70" s="13" t="s">
        <v>277</v>
      </c>
      <c r="BK70" s="40">
        <f>AVERAGE(AN82:AN85)</f>
        <v>5.8488010801704036</v>
      </c>
      <c r="BL70" s="40">
        <f t="shared" ref="BL70:BN70" si="214">AVERAGE(AO82:AO85)</f>
        <v>6.019601281561016</v>
      </c>
      <c r="BM70" s="40">
        <f t="shared" si="214"/>
        <v>46.790408641363229</v>
      </c>
      <c r="BN70" s="114">
        <f t="shared" si="214"/>
        <v>48.156810252488128</v>
      </c>
    </row>
    <row r="71" spans="1:66" x14ac:dyDescent="0.25">
      <c r="AC71">
        <v>22</v>
      </c>
      <c r="AD71" s="88" t="s">
        <v>113</v>
      </c>
      <c r="AE71" s="88">
        <v>18766</v>
      </c>
      <c r="AF71" s="90">
        <f t="shared" si="164"/>
        <v>5674.0800907166467</v>
      </c>
      <c r="AG71" s="88">
        <f t="shared" si="165"/>
        <v>0</v>
      </c>
      <c r="AH71" s="89">
        <f t="shared" si="166"/>
        <v>0</v>
      </c>
      <c r="AI71" s="88">
        <f t="shared" si="167"/>
        <v>0</v>
      </c>
      <c r="AJ71" s="89">
        <f t="shared" ref="AJ71:AJ75" si="215">IF(AVERAGE($AH$70:$AH$71)&gt;0,IF(AH71-MAX($AH$70:$AH$71)&lt;=0,0,AH71-MAX($AH$70:$AH$71)),AH71)</f>
        <v>0</v>
      </c>
      <c r="AK71" s="88">
        <f t="shared" ref="AK71:AK75" si="216">IF(AVERAGE($AI$70:$AI$71)&gt;0,IF(AI71-MAX($AI$70:$AI$71)&lt;=0,0,AI71-MAX($AI$70:$AI$71)),AI71)</f>
        <v>0</v>
      </c>
      <c r="AL71" s="92">
        <f t="shared" si="159"/>
        <v>0</v>
      </c>
      <c r="AM71" s="88">
        <f t="shared" si="160"/>
        <v>0</v>
      </c>
      <c r="AN71" s="89">
        <f t="shared" si="193"/>
        <v>0</v>
      </c>
      <c r="AO71" s="88">
        <f t="shared" si="194"/>
        <v>0</v>
      </c>
      <c r="AP71" s="89">
        <f t="shared" si="195"/>
        <v>0</v>
      </c>
      <c r="AQ71" s="88">
        <f t="shared" si="196"/>
        <v>0</v>
      </c>
      <c r="AR71" s="89">
        <v>0</v>
      </c>
      <c r="AS71" s="88">
        <f t="shared" si="197"/>
        <v>0</v>
      </c>
      <c r="AT71" s="89">
        <f t="shared" si="198"/>
        <v>0</v>
      </c>
      <c r="AU71" s="88">
        <f t="shared" si="37"/>
        <v>0</v>
      </c>
      <c r="AV71" s="89"/>
      <c r="AW71" s="88">
        <f t="shared" si="37"/>
        <v>0</v>
      </c>
      <c r="AX71" s="89">
        <f t="shared" si="199"/>
        <v>0</v>
      </c>
      <c r="AY71" s="88">
        <f t="shared" ref="AY71" si="217">AX71*$AS$1</f>
        <v>0</v>
      </c>
      <c r="AZ71" s="89"/>
      <c r="BA71" s="89">
        <f t="shared" ref="BA71" si="218">AZ71*$AS$1</f>
        <v>0</v>
      </c>
      <c r="BB71" s="88"/>
      <c r="BC71" s="102">
        <f t="shared" si="40"/>
        <v>0</v>
      </c>
      <c r="BD71" s="106">
        <f t="shared" si="41"/>
        <v>0</v>
      </c>
      <c r="BE71" s="102">
        <f t="shared" si="42"/>
        <v>0</v>
      </c>
      <c r="BF71" s="102">
        <f t="shared" si="43"/>
        <v>0</v>
      </c>
      <c r="BI71" s="112"/>
      <c r="BJ71" s="13"/>
      <c r="BK71" s="13"/>
      <c r="BL71" s="113"/>
      <c r="BM71" s="13"/>
      <c r="BN71" s="113"/>
    </row>
    <row r="72" spans="1:66" x14ac:dyDescent="0.25">
      <c r="AC72">
        <v>23</v>
      </c>
      <c r="AD72" s="10" t="s">
        <v>114</v>
      </c>
      <c r="AE72" s="8">
        <v>766173</v>
      </c>
      <c r="AF72" s="63">
        <f t="shared" si="164"/>
        <v>224539.40241229802</v>
      </c>
      <c r="AG72" s="8">
        <f t="shared" si="165"/>
        <v>200844.36785358723</v>
      </c>
      <c r="AH72">
        <f t="shared" si="166"/>
        <v>0.37352012539356483</v>
      </c>
      <c r="AI72" s="8">
        <f t="shared" si="167"/>
        <v>0.42120849651403058</v>
      </c>
      <c r="AJ72">
        <f t="shared" si="215"/>
        <v>0.37352012539356483</v>
      </c>
      <c r="AK72" s="8">
        <f t="shared" si="216"/>
        <v>0.42120849651403058</v>
      </c>
      <c r="AL72" s="9">
        <f t="shared" si="159"/>
        <v>0.37352012539356483</v>
      </c>
      <c r="AM72" s="8">
        <f t="shared" si="160"/>
        <v>0.42120849651403058</v>
      </c>
      <c r="AN72">
        <f t="shared" si="193"/>
        <v>1.3695737931097376</v>
      </c>
      <c r="AO72" s="8">
        <f t="shared" si="194"/>
        <v>1.5444311538847788</v>
      </c>
      <c r="AP72">
        <f t="shared" si="195"/>
        <v>8.2174427586584251</v>
      </c>
      <c r="AQ72" s="8">
        <f t="shared" si="196"/>
        <v>9.2665869233086724</v>
      </c>
      <c r="AR72">
        <v>12.5</v>
      </c>
      <c r="AS72" s="8">
        <f t="shared" si="197"/>
        <v>75</v>
      </c>
      <c r="AT72">
        <f t="shared" si="198"/>
        <v>2.1976181084238848</v>
      </c>
      <c r="AU72" s="8">
        <f t="shared" si="37"/>
        <v>43.952362168477698</v>
      </c>
      <c r="AW72" s="8">
        <f t="shared" si="37"/>
        <v>0</v>
      </c>
      <c r="AX72">
        <f t="shared" si="199"/>
        <v>2.478194229523516</v>
      </c>
      <c r="AY72" s="8">
        <f t="shared" ref="AY72" si="219">AX72*$AS$1</f>
        <v>49.563884590470323</v>
      </c>
      <c r="BA72">
        <f>AZ72*$AS$1</f>
        <v>0</v>
      </c>
      <c r="BB72" s="8"/>
      <c r="BC72" s="97">
        <f t="shared" si="40"/>
        <v>22.830195072863873</v>
      </c>
      <c r="BD72" s="107">
        <f t="shared" si="41"/>
        <v>66.782557241341578</v>
      </c>
      <c r="BE72" s="97">
        <f t="shared" si="42"/>
        <v>16.169528486221004</v>
      </c>
      <c r="BF72" s="97">
        <f t="shared" si="43"/>
        <v>65.733413076691335</v>
      </c>
      <c r="BI72" s="112" t="s">
        <v>278</v>
      </c>
      <c r="BJ72" s="13" t="s">
        <v>276</v>
      </c>
      <c r="BK72" s="40">
        <f>AVERAGE(AN39:AN44)</f>
        <v>3.9182529728495865</v>
      </c>
      <c r="BL72" s="40">
        <f t="shared" ref="BL72:BN72" si="220">AVERAGE(AO39:AO44)</f>
        <v>4.3518336984302008</v>
      </c>
      <c r="BM72" s="40">
        <f t="shared" si="220"/>
        <v>31.346023782796692</v>
      </c>
      <c r="BN72" s="114">
        <f t="shared" si="220"/>
        <v>34.814669587441607</v>
      </c>
    </row>
    <row r="73" spans="1:66" x14ac:dyDescent="0.25">
      <c r="A73" t="s">
        <v>91</v>
      </c>
      <c r="AC73">
        <v>24</v>
      </c>
      <c r="AD73" s="10" t="s">
        <v>115</v>
      </c>
      <c r="AE73" s="8">
        <v>694324</v>
      </c>
      <c r="AF73" s="63">
        <f t="shared" si="164"/>
        <v>197415.08962859632</v>
      </c>
      <c r="AG73" s="8">
        <f t="shared" si="165"/>
        <v>173720.05506988554</v>
      </c>
      <c r="AH73">
        <f t="shared" si="166"/>
        <v>0.31211056709629936</v>
      </c>
      <c r="AI73" s="8">
        <f t="shared" si="167"/>
        <v>0.35969768758872894</v>
      </c>
      <c r="AJ73">
        <f t="shared" si="215"/>
        <v>0.31211056709629936</v>
      </c>
      <c r="AK73" s="8">
        <f t="shared" si="216"/>
        <v>0.35969768758872894</v>
      </c>
      <c r="AL73" s="9">
        <f t="shared" si="159"/>
        <v>0.31211056709629936</v>
      </c>
      <c r="AM73" s="8">
        <f t="shared" si="160"/>
        <v>0.35969768758872894</v>
      </c>
      <c r="AN73">
        <f t="shared" si="193"/>
        <v>1.1444054126864309</v>
      </c>
      <c r="AO73" s="8">
        <f t="shared" si="194"/>
        <v>1.3188915211586727</v>
      </c>
      <c r="AP73">
        <f t="shared" si="195"/>
        <v>6.866432476118586</v>
      </c>
      <c r="AQ73" s="8">
        <f t="shared" si="196"/>
        <v>7.9133491269520366</v>
      </c>
      <c r="AR73">
        <v>12.5</v>
      </c>
      <c r="AS73" s="8">
        <f t="shared" si="197"/>
        <v>75</v>
      </c>
      <c r="AT73">
        <f t="shared" si="198"/>
        <v>1.836312925196647</v>
      </c>
      <c r="AU73" s="8">
        <f t="shared" si="37"/>
        <v>36.726258503932939</v>
      </c>
      <c r="AW73" s="8">
        <f t="shared" si="37"/>
        <v>0</v>
      </c>
      <c r="AX73">
        <f t="shared" si="199"/>
        <v>2.1162933348512061</v>
      </c>
      <c r="AY73" s="8">
        <f t="shared" ref="AY73" si="221">AX73*$AS$1</f>
        <v>42.325866697024125</v>
      </c>
      <c r="BA73">
        <f t="shared" ref="BA73" si="222">AZ73*$AS$1</f>
        <v>0</v>
      </c>
      <c r="BB73" s="8"/>
      <c r="BC73" s="97">
        <f t="shared" si="40"/>
        <v>31.407309019948471</v>
      </c>
      <c r="BD73" s="107">
        <f t="shared" si="41"/>
        <v>68.13356752388141</v>
      </c>
      <c r="BE73" s="97">
        <f t="shared" si="42"/>
        <v>24.76078417602384</v>
      </c>
      <c r="BF73" s="97">
        <f t="shared" si="43"/>
        <v>67.086650873047958</v>
      </c>
      <c r="BI73" s="112"/>
      <c r="BJ73" s="13"/>
      <c r="BK73" s="13"/>
      <c r="BL73" s="113"/>
      <c r="BM73" s="13"/>
      <c r="BN73" s="113"/>
    </row>
    <row r="74" spans="1:66" x14ac:dyDescent="0.25">
      <c r="A74" t="s">
        <v>92</v>
      </c>
      <c r="AC74">
        <v>25</v>
      </c>
      <c r="AD74" s="10" t="s">
        <v>116</v>
      </c>
      <c r="AE74" s="8">
        <v>545029</v>
      </c>
      <c r="AF74" s="63">
        <f t="shared" si="164"/>
        <v>150479.23708940894</v>
      </c>
      <c r="AG74" s="8">
        <f t="shared" si="165"/>
        <v>126784.20253069815</v>
      </c>
      <c r="AH74">
        <f t="shared" si="166"/>
        <v>0.20584759941407335</v>
      </c>
      <c r="AI74" s="8">
        <f t="shared" si="167"/>
        <v>0.25325951603738001</v>
      </c>
      <c r="AJ74">
        <f t="shared" si="215"/>
        <v>0.20584759941407335</v>
      </c>
      <c r="AK74" s="8">
        <f t="shared" si="216"/>
        <v>0.25325951603738001</v>
      </c>
      <c r="AL74" s="9">
        <f t="shared" si="159"/>
        <v>0.20584759941407335</v>
      </c>
      <c r="AM74" s="8">
        <f t="shared" si="160"/>
        <v>0.25325951603738001</v>
      </c>
      <c r="AN74">
        <f t="shared" si="193"/>
        <v>0.75477453118493554</v>
      </c>
      <c r="AO74" s="8">
        <f t="shared" si="194"/>
        <v>0.9286182254703933</v>
      </c>
      <c r="AP74">
        <f t="shared" si="195"/>
        <v>4.5286471871096134</v>
      </c>
      <c r="AQ74" s="8">
        <f t="shared" si="196"/>
        <v>5.57170935282236</v>
      </c>
      <c r="AR74">
        <v>12.5</v>
      </c>
      <c r="AS74" s="8">
        <f t="shared" si="197"/>
        <v>75</v>
      </c>
      <c r="AT74">
        <f t="shared" si="198"/>
        <v>1.2111112127393475</v>
      </c>
      <c r="AU74" s="8">
        <f t="shared" si="37"/>
        <v>24.222224254786951</v>
      </c>
      <c r="AW74" s="8">
        <f t="shared" si="37"/>
        <v>0</v>
      </c>
      <c r="AX74">
        <f t="shared" si="199"/>
        <v>1.4900608045897932</v>
      </c>
      <c r="AY74" s="8">
        <f t="shared" ref="AY74" si="223">AX74*$AS$1</f>
        <v>29.801216091795865</v>
      </c>
      <c r="BA74">
        <f t="shared" ref="BA74" si="224">AZ74*$AS$1</f>
        <v>0</v>
      </c>
      <c r="BB74" s="8"/>
      <c r="BC74" s="97">
        <f t="shared" si="40"/>
        <v>46.249128558103436</v>
      </c>
      <c r="BD74" s="107">
        <f t="shared" si="41"/>
        <v>70.471352812890387</v>
      </c>
      <c r="BE74" s="97">
        <f t="shared" si="42"/>
        <v>39.627074555381775</v>
      </c>
      <c r="BF74" s="97">
        <f t="shared" si="43"/>
        <v>69.428290647177647</v>
      </c>
      <c r="BI74" s="112" t="s">
        <v>279</v>
      </c>
      <c r="BJ74" s="13" t="s">
        <v>277</v>
      </c>
      <c r="BK74" s="40">
        <f>AVERAGE(AN47:AN52)</f>
        <v>2.6168648371363168</v>
      </c>
      <c r="BL74" s="40">
        <f t="shared" ref="BL74:BN74" si="225">AVERAGE(AO47:AO52)</f>
        <v>3.0429408243303233</v>
      </c>
      <c r="BM74" s="40">
        <f t="shared" si="225"/>
        <v>20.934918697090534</v>
      </c>
      <c r="BN74" s="114">
        <f t="shared" si="225"/>
        <v>24.343526594642587</v>
      </c>
    </row>
    <row r="75" spans="1:66" x14ac:dyDescent="0.25">
      <c r="A75" t="s">
        <v>2</v>
      </c>
      <c r="AC75">
        <v>26</v>
      </c>
      <c r="AD75" s="10" t="s">
        <v>117</v>
      </c>
      <c r="AE75" s="8">
        <v>440541</v>
      </c>
      <c r="AF75" s="63">
        <f t="shared" si="164"/>
        <v>118207.87164951953</v>
      </c>
      <c r="AG75" s="8">
        <f t="shared" si="165"/>
        <v>94512.837090808738</v>
      </c>
      <c r="AH75">
        <f t="shared" si="166"/>
        <v>0.13278509224139237</v>
      </c>
      <c r="AI75" s="8">
        <f t="shared" si="167"/>
        <v>0.18007654513002572</v>
      </c>
      <c r="AJ75">
        <f t="shared" si="215"/>
        <v>0.13278509224139237</v>
      </c>
      <c r="AK75" s="8">
        <f t="shared" si="216"/>
        <v>0.18007654513002572</v>
      </c>
      <c r="AL75" s="9">
        <f t="shared" si="159"/>
        <v>0.13278509224139237</v>
      </c>
      <c r="AM75" s="8">
        <f t="shared" si="160"/>
        <v>0.18007654513002572</v>
      </c>
      <c r="AN75">
        <f t="shared" si="193"/>
        <v>0.486878671551772</v>
      </c>
      <c r="AO75" s="8">
        <f t="shared" si="194"/>
        <v>0.6602806654767609</v>
      </c>
      <c r="AP75">
        <f t="shared" si="195"/>
        <v>2.9212720293106322</v>
      </c>
      <c r="AQ75" s="8">
        <f t="shared" si="196"/>
        <v>3.9616839928605652</v>
      </c>
      <c r="AR75">
        <v>12.5</v>
      </c>
      <c r="AS75" s="8">
        <f t="shared" si="197"/>
        <v>75</v>
      </c>
      <c r="AT75">
        <f t="shared" si="198"/>
        <v>0.78124551637197337</v>
      </c>
      <c r="AU75" s="8">
        <f t="shared" si="37"/>
        <v>15.624910327439467</v>
      </c>
      <c r="AW75" s="8">
        <f t="shared" si="37"/>
        <v>0</v>
      </c>
      <c r="AX75">
        <f t="shared" si="199"/>
        <v>1.0594863558240106</v>
      </c>
      <c r="AY75" s="8">
        <f t="shared" ref="AY75" si="226">AX75*$AS$1</f>
        <v>21.189727116480213</v>
      </c>
      <c r="BA75">
        <f t="shared" ref="BA75" si="227">AZ75*$AS$1</f>
        <v>0</v>
      </c>
      <c r="BB75" s="8"/>
      <c r="BC75" s="97">
        <f t="shared" si="40"/>
        <v>56.453817643249899</v>
      </c>
      <c r="BD75" s="107">
        <f t="shared" si="41"/>
        <v>72.078727970689371</v>
      </c>
      <c r="BE75" s="97">
        <f t="shared" si="42"/>
        <v>49.848588890659222</v>
      </c>
      <c r="BF75" s="97">
        <f t="shared" si="43"/>
        <v>71.038316007139429</v>
      </c>
      <c r="BI75" s="112"/>
      <c r="BJ75" s="13"/>
      <c r="BK75" s="13"/>
      <c r="BL75" s="113"/>
      <c r="BM75" s="13"/>
      <c r="BN75" s="113"/>
    </row>
    <row r="76" spans="1:66" x14ac:dyDescent="0.25">
      <c r="A76" t="s">
        <v>4</v>
      </c>
      <c r="AU76" s="13"/>
      <c r="AV76" s="13"/>
      <c r="AW76" s="13"/>
      <c r="AX76" s="13"/>
      <c r="AY76" s="13"/>
      <c r="AZ76" s="13"/>
      <c r="BA76" s="13"/>
      <c r="BB76" s="13"/>
      <c r="BC76" s="108"/>
      <c r="BD76" s="108"/>
      <c r="BE76" s="108"/>
      <c r="BF76" s="108"/>
      <c r="BI76" s="112" t="s">
        <v>170</v>
      </c>
      <c r="BJ76" s="13"/>
      <c r="BK76" s="13"/>
      <c r="BL76" s="113"/>
      <c r="BM76" s="13"/>
      <c r="BN76" s="113"/>
    </row>
    <row r="77" spans="1:66" x14ac:dyDescent="0.25">
      <c r="A77" s="1"/>
      <c r="B77" s="2"/>
      <c r="C77" t="s">
        <v>8</v>
      </c>
      <c r="E77" t="s">
        <v>9</v>
      </c>
      <c r="F77" s="8"/>
      <c r="G77" t="s">
        <v>6</v>
      </c>
      <c r="H77" s="8"/>
      <c r="I77" s="63" t="s">
        <v>210</v>
      </c>
      <c r="AC77" s="75">
        <v>44395</v>
      </c>
      <c r="AU77" s="13"/>
      <c r="AV77" s="13"/>
      <c r="AW77" s="13"/>
      <c r="AX77" s="13"/>
      <c r="AY77" s="13"/>
      <c r="AZ77" s="13"/>
      <c r="BA77" s="13"/>
      <c r="BB77" s="13"/>
      <c r="BC77" s="108"/>
      <c r="BD77" s="108"/>
      <c r="BE77" s="108"/>
      <c r="BF77" s="108"/>
      <c r="BI77" s="112" t="s">
        <v>284</v>
      </c>
      <c r="BJ77" s="13" t="s">
        <v>276</v>
      </c>
      <c r="BK77" s="40">
        <f>AVERAGE(AN65:AN68)</f>
        <v>2.8290684380540938</v>
      </c>
      <c r="BL77" s="40">
        <f t="shared" ref="BL77:BN77" si="228">AVERAGE(AO65:AO68)</f>
        <v>2.833732939217311</v>
      </c>
      <c r="BM77" s="40">
        <f t="shared" si="228"/>
        <v>16.974410628324566</v>
      </c>
      <c r="BN77" s="114">
        <f t="shared" si="228"/>
        <v>17.002397635303865</v>
      </c>
    </row>
    <row r="78" spans="1:66" x14ac:dyDescent="0.25">
      <c r="A78" s="5" t="s">
        <v>11</v>
      </c>
      <c r="B78" s="6" t="s">
        <v>12</v>
      </c>
      <c r="C78" s="7" t="s">
        <v>16</v>
      </c>
      <c r="D78" s="6" t="s">
        <v>17</v>
      </c>
      <c r="E78" s="7" t="s">
        <v>18</v>
      </c>
      <c r="F78" s="6" t="s">
        <v>19</v>
      </c>
      <c r="G78" s="7" t="s">
        <v>14</v>
      </c>
      <c r="H78" s="6" t="s">
        <v>15</v>
      </c>
      <c r="I78" s="23" t="s">
        <v>211</v>
      </c>
      <c r="AC78" s="13" t="s">
        <v>11</v>
      </c>
      <c r="AU78" s="13"/>
      <c r="AV78" s="13"/>
      <c r="AW78" s="13"/>
      <c r="AX78" s="13"/>
      <c r="AY78" s="13"/>
      <c r="AZ78" s="13"/>
      <c r="BA78" s="13"/>
      <c r="BB78" s="13"/>
      <c r="BC78" s="108"/>
      <c r="BD78" s="108"/>
      <c r="BE78" s="108"/>
      <c r="BF78" s="108"/>
      <c r="BI78" s="112"/>
      <c r="BJ78" s="13"/>
      <c r="BK78" s="13"/>
      <c r="BL78" s="113"/>
      <c r="BM78" s="13"/>
      <c r="BN78" s="113"/>
    </row>
    <row r="79" spans="1:66" x14ac:dyDescent="0.25">
      <c r="A79">
        <v>1</v>
      </c>
      <c r="B79" s="4" t="s">
        <v>93</v>
      </c>
      <c r="D79" s="4">
        <v>17881</v>
      </c>
      <c r="F79" s="4"/>
      <c r="H79" s="64">
        <v>68853</v>
      </c>
      <c r="AC79">
        <v>1</v>
      </c>
      <c r="AD79" s="4" t="s">
        <v>121</v>
      </c>
      <c r="AE79" s="4">
        <v>15880</v>
      </c>
      <c r="AF79" s="63">
        <f>IF(AE79&lt;=0,0,AE79*((28427.929*0+316209.399)/(28427.929*AC79+316209.399)))</f>
        <v>14570.114285821064</v>
      </c>
      <c r="AG79" s="8">
        <f>IF(AVERAGE($AF$79:$AF$81,$AF$92)&gt;0,IF(AF79-AVERAGE($AF$79:$AF$81,$AF$92)&lt;=0,0,AF79-AVERAGE($AF$79:$AF$81,$AF$92)),AF79)</f>
        <v>0</v>
      </c>
      <c r="AH79">
        <f>IF(AG79&lt;=0,0,(AG79-130411.492)/349422.694)</f>
        <v>0</v>
      </c>
      <c r="AI79" s="8">
        <f>IF(AG79&lt;=0,0,(AG79-102767.233)/348692.92)</f>
        <v>0</v>
      </c>
      <c r="AK79" s="8"/>
      <c r="AL79" s="9">
        <f t="shared" ref="AL79:AL98" si="229">IF(AJ79&lt;=0,0,AJ79)</f>
        <v>0</v>
      </c>
      <c r="AM79" s="8">
        <f t="shared" ref="AM79:AM98" si="230">IF(AK79&lt;=0,0,AK79)</f>
        <v>0</v>
      </c>
      <c r="AO79" s="8"/>
      <c r="AQ79" s="8"/>
      <c r="AR79">
        <v>0</v>
      </c>
      <c r="AS79" s="8">
        <f t="shared" ref="AS79:AS81" si="231">AR79*$AN$2</f>
        <v>0</v>
      </c>
      <c r="AU79" s="8">
        <f t="shared" ref="AU79:AW98" si="232">AT79*$AS$1</f>
        <v>0</v>
      </c>
      <c r="AW79" s="8">
        <f t="shared" si="232"/>
        <v>0</v>
      </c>
      <c r="AY79" s="8">
        <f t="shared" ref="AY79" si="233">AX79*$AS$1</f>
        <v>0</v>
      </c>
      <c r="BA79">
        <f t="shared" ref="BA79" si="234">AZ79*$AS$1</f>
        <v>0</v>
      </c>
      <c r="BB79" s="8"/>
      <c r="BC79" s="97">
        <f t="shared" ref="BC79:BC98" si="235">IF(AS79-(AP79+AU79)&lt;0,$BG$1,AS79-(AP79+AU79))</f>
        <v>0</v>
      </c>
      <c r="BD79" s="107">
        <f t="shared" ref="BD79:BD98" si="236">IF(AS79-(AP79+AW79)&lt;0,$BG$1,AS79-(AP79+AW79))</f>
        <v>0</v>
      </c>
      <c r="BE79" s="97">
        <f t="shared" ref="BE79:BE98" si="237">IF(AS79-(AQ79+AY79)&lt;0,$BG$1,AS79-(AQ79+AY79))</f>
        <v>0</v>
      </c>
      <c r="BF79" s="97">
        <f t="shared" ref="BF79:BF98" si="238">IF(AS79-(AQ79+BA79)&lt;0,$BG$1,AS79-(AQ79+BA79))</f>
        <v>0</v>
      </c>
      <c r="BI79" s="112" t="s">
        <v>285</v>
      </c>
      <c r="BJ79" s="13" t="s">
        <v>277</v>
      </c>
      <c r="BK79" s="40">
        <f>AVERAGE(AN72:AN75)</f>
        <v>0.93890810213321896</v>
      </c>
      <c r="BL79" s="40">
        <f t="shared" ref="BL79:BN79" si="239">AVERAGE(AO72:AO75)</f>
        <v>1.1130553914976513</v>
      </c>
      <c r="BM79" s="40">
        <f t="shared" si="239"/>
        <v>5.633448612799314</v>
      </c>
      <c r="BN79" s="114">
        <f t="shared" si="239"/>
        <v>6.6783323489859079</v>
      </c>
    </row>
    <row r="80" spans="1:66" x14ac:dyDescent="0.25">
      <c r="A80">
        <v>2</v>
      </c>
      <c r="B80" s="8" t="s">
        <v>94</v>
      </c>
      <c r="D80" s="8">
        <v>29907</v>
      </c>
      <c r="F80" s="8"/>
      <c r="H80" s="65">
        <v>81970</v>
      </c>
      <c r="AC80">
        <v>2</v>
      </c>
      <c r="AD80" s="8" t="s">
        <v>122</v>
      </c>
      <c r="AE80" s="8">
        <v>24957</v>
      </c>
      <c r="AF80" s="63">
        <f t="shared" ref="AF80:AF98" si="240">IF(AE80&lt;=0,0,AE80*((28427.929*0+316209.399)/(28427.929*AC80+316209.399)))</f>
        <v>21153.505513495187</v>
      </c>
      <c r="AG80" s="8">
        <f t="shared" ref="AG80:AG98" si="241">IF(AVERAGE($AF$79:$AF$81,$AF$92)&gt;0,IF(AF80-AVERAGE($AF$79:$AF$81,$AF$92)&lt;=0,0,AF80-AVERAGE($AF$79:$AF$81,$AF$92)),AF80)</f>
        <v>0</v>
      </c>
      <c r="AH80">
        <f t="shared" ref="AH80:AH98" si="242">IF(AG80&lt;=0,0,(AG80-130411.492)/349422.694)</f>
        <v>0</v>
      </c>
      <c r="AI80" s="8">
        <f t="shared" ref="AI80:AI98" si="243">IF(AG80&lt;=0,0,(AG80-102767.233)/348692.92)</f>
        <v>0</v>
      </c>
      <c r="AK80" s="8"/>
      <c r="AL80" s="9">
        <f t="shared" si="229"/>
        <v>0</v>
      </c>
      <c r="AM80" s="8">
        <f t="shared" si="230"/>
        <v>0</v>
      </c>
      <c r="AO80" s="8"/>
      <c r="AQ80" s="8"/>
      <c r="AR80">
        <v>0</v>
      </c>
      <c r="AS80" s="8">
        <f t="shared" si="231"/>
        <v>0</v>
      </c>
      <c r="AU80" s="8">
        <f t="shared" si="232"/>
        <v>0</v>
      </c>
      <c r="AW80" s="8">
        <f t="shared" si="232"/>
        <v>0</v>
      </c>
      <c r="AY80" s="8">
        <f t="shared" ref="AY80" si="244">AX80*$AS$1</f>
        <v>0</v>
      </c>
      <c r="BA80">
        <f t="shared" ref="BA80" si="245">AZ80*$AS$1</f>
        <v>0</v>
      </c>
      <c r="BB80" s="8"/>
      <c r="BC80" s="97">
        <f t="shared" si="235"/>
        <v>0</v>
      </c>
      <c r="BD80" s="107">
        <f t="shared" si="236"/>
        <v>0</v>
      </c>
      <c r="BE80" s="97">
        <f t="shared" si="237"/>
        <v>0</v>
      </c>
      <c r="BF80" s="97">
        <f t="shared" si="238"/>
        <v>0</v>
      </c>
      <c r="BI80" s="112"/>
      <c r="BJ80" s="13"/>
      <c r="BK80" s="13"/>
      <c r="BL80" s="113"/>
      <c r="BM80" s="13"/>
      <c r="BN80" s="113"/>
    </row>
    <row r="81" spans="1:66" x14ac:dyDescent="0.25">
      <c r="A81">
        <v>3</v>
      </c>
      <c r="B81" s="8" t="s">
        <v>95</v>
      </c>
      <c r="D81" s="8">
        <v>165906</v>
      </c>
      <c r="F81" s="8">
        <v>25418</v>
      </c>
      <c r="G81">
        <v>576197</v>
      </c>
      <c r="H81" s="8">
        <v>574171</v>
      </c>
      <c r="I81">
        <f t="shared" ref="I81:I104" si="246">D81/F81</f>
        <v>6.5271067747265716</v>
      </c>
      <c r="AC81">
        <v>9</v>
      </c>
      <c r="AD81" s="6" t="s">
        <v>129</v>
      </c>
      <c r="AE81" s="6">
        <v>105093</v>
      </c>
      <c r="AF81" s="63">
        <f t="shared" si="240"/>
        <v>58090.672692017884</v>
      </c>
      <c r="AG81" s="8">
        <f t="shared" si="241"/>
        <v>26085.144891899119</v>
      </c>
      <c r="AH81">
        <f t="shared" si="242"/>
        <v>-0.29856774874530867</v>
      </c>
      <c r="AI81" s="8">
        <f t="shared" si="243"/>
        <v>-0.21991294835610908</v>
      </c>
      <c r="AK81" s="8"/>
      <c r="AL81" s="9">
        <f t="shared" si="229"/>
        <v>0</v>
      </c>
      <c r="AM81" s="8">
        <f t="shared" si="230"/>
        <v>0</v>
      </c>
      <c r="AO81" s="8"/>
      <c r="AQ81" s="8"/>
      <c r="AR81">
        <v>0</v>
      </c>
      <c r="AS81" s="8">
        <f t="shared" si="231"/>
        <v>0</v>
      </c>
      <c r="AU81" s="8">
        <f t="shared" si="232"/>
        <v>0</v>
      </c>
      <c r="AW81" s="8">
        <f t="shared" si="232"/>
        <v>0</v>
      </c>
      <c r="AY81" s="8">
        <f t="shared" ref="AY81" si="247">AX81*$AS$1</f>
        <v>0</v>
      </c>
      <c r="BA81">
        <f t="shared" ref="BA81" si="248">AZ81*$AS$1</f>
        <v>0</v>
      </c>
      <c r="BB81" s="8"/>
      <c r="BC81" s="97">
        <f t="shared" si="235"/>
        <v>0</v>
      </c>
      <c r="BD81" s="107">
        <f t="shared" si="236"/>
        <v>0</v>
      </c>
      <c r="BE81" s="97">
        <f t="shared" si="237"/>
        <v>0</v>
      </c>
      <c r="BF81" s="97">
        <f t="shared" si="238"/>
        <v>0</v>
      </c>
      <c r="BI81" s="112" t="s">
        <v>171</v>
      </c>
      <c r="BJ81" s="13"/>
      <c r="BK81" s="13"/>
      <c r="BL81" s="113"/>
      <c r="BM81" s="13"/>
      <c r="BN81" s="113"/>
    </row>
    <row r="82" spans="1:66" x14ac:dyDescent="0.25">
      <c r="A82">
        <v>4</v>
      </c>
      <c r="B82" s="8" t="s">
        <v>96</v>
      </c>
      <c r="C82">
        <v>184189</v>
      </c>
      <c r="D82" s="8">
        <v>185386</v>
      </c>
      <c r="F82" s="8">
        <v>29464</v>
      </c>
      <c r="G82">
        <v>372262</v>
      </c>
      <c r="H82" s="8">
        <v>372262</v>
      </c>
      <c r="I82">
        <f t="shared" si="246"/>
        <v>6.2919494976920989</v>
      </c>
      <c r="AC82">
        <v>10</v>
      </c>
      <c r="AD82" s="10" t="s">
        <v>130</v>
      </c>
      <c r="AE82" s="8">
        <v>2287282</v>
      </c>
      <c r="AF82" s="63">
        <f t="shared" si="240"/>
        <v>1204452.4398419068</v>
      </c>
      <c r="AG82" s="8">
        <f t="shared" si="241"/>
        <v>1172446.912041788</v>
      </c>
      <c r="AH82">
        <f t="shared" si="242"/>
        <v>2.9821629731976937</v>
      </c>
      <c r="AI82" s="8">
        <f t="shared" si="243"/>
        <v>3.0676839639926961</v>
      </c>
      <c r="AJ82">
        <f t="shared" ref="AJ82:AJ85" si="249">IF(AVERAGE($AH$21,$AH$37,$AH$45)&gt;0,IF(AH82-MAX($AH$21,$AH$37,$AH$45)&lt;=0,0,AH82-MAX($AH$21,$AH$37,$AH$45)),AH82)</f>
        <v>2.9821629731976937</v>
      </c>
      <c r="AK82" s="8">
        <f t="shared" ref="AK82:AK85" si="250">IF(AVERAGE($AI$21,$AI$37,$AI$45)&gt;0,IF(AI82-MAX($AI$21,$AI$37,$AI$45)&lt;=0,0,AI82-MAX($AI$21,$AI$37,$AI$45)),AI82)</f>
        <v>3.0676839639926961</v>
      </c>
      <c r="AL82" s="9">
        <f t="shared" si="229"/>
        <v>2.9821629731976937</v>
      </c>
      <c r="AM82" s="8">
        <f t="shared" si="230"/>
        <v>3.0676839639926961</v>
      </c>
      <c r="AN82">
        <f t="shared" ref="AN82:AN85" si="251">AL82*$AN$5</f>
        <v>5.9643259463953875</v>
      </c>
      <c r="AO82" s="8">
        <f t="shared" ref="AO82:AO85" si="252">AM82*$AN$5</f>
        <v>6.1353679279853921</v>
      </c>
      <c r="AP82">
        <f>AN82*$AN$2</f>
        <v>47.7146075711631</v>
      </c>
      <c r="AQ82" s="8">
        <f>AO82*$AN$2</f>
        <v>49.082943423883137</v>
      </c>
      <c r="AR82">
        <v>12.5</v>
      </c>
      <c r="AS82" s="8">
        <f t="shared" ref="AS82:AS85" si="253">AR82*$AN$2</f>
        <v>100</v>
      </c>
      <c r="AT82">
        <f>$AV$2*AN82</f>
        <v>2.835798414473151</v>
      </c>
      <c r="AU82" s="8">
        <f t="shared" si="232"/>
        <v>56.715968289463021</v>
      </c>
      <c r="AV82">
        <f t="shared" ref="AV82:AV85" si="254">$AY$2*(AN82^$AZ$2)</f>
        <v>2.8244044778259441</v>
      </c>
      <c r="AW82" s="8">
        <f t="shared" si="232"/>
        <v>56.488089556518879</v>
      </c>
      <c r="AX82">
        <f>$AV$2*AO82</f>
        <v>2.9171220350399345</v>
      </c>
      <c r="AY82" s="8">
        <f t="shared" ref="AY82" si="255">AX82*$AS$1</f>
        <v>58.34244070079869</v>
      </c>
      <c r="AZ82">
        <f>$AY$2*(AO82^$AZ$2)</f>
        <v>2.8712187967934408</v>
      </c>
      <c r="BA82">
        <f t="shared" ref="BA82" si="256">AZ82*$AS$1</f>
        <v>57.424375935868817</v>
      </c>
      <c r="BB82" s="8"/>
      <c r="BC82" s="97" t="str">
        <f t="shared" si="235"/>
        <v>&lt; 0</v>
      </c>
      <c r="BD82" s="107" t="str">
        <f t="shared" si="236"/>
        <v>&lt; 0</v>
      </c>
      <c r="BE82" s="97" t="str">
        <f t="shared" si="237"/>
        <v>&lt; 0</v>
      </c>
      <c r="BF82" s="97" t="str">
        <f t="shared" si="238"/>
        <v>&lt; 0</v>
      </c>
      <c r="BI82" s="112" t="s">
        <v>286</v>
      </c>
      <c r="BJ82" s="13" t="s">
        <v>276</v>
      </c>
      <c r="BK82" s="40">
        <f>AVERAGE(AN88:AN91)</f>
        <v>4.3406103967854328</v>
      </c>
      <c r="BL82" s="40">
        <f t="shared" ref="BL82:BN82" si="257">AVERAGE(AO88:AO91)</f>
        <v>4.5346806853697368</v>
      </c>
      <c r="BM82" s="40">
        <f t="shared" si="257"/>
        <v>26.043662380712604</v>
      </c>
      <c r="BN82" s="114">
        <f t="shared" si="257"/>
        <v>27.208084112218422</v>
      </c>
    </row>
    <row r="83" spans="1:66" x14ac:dyDescent="0.25">
      <c r="A83">
        <v>5</v>
      </c>
      <c r="B83" s="8" t="s">
        <v>97</v>
      </c>
      <c r="C83">
        <v>1866416</v>
      </c>
      <c r="D83" s="8">
        <v>1864943</v>
      </c>
      <c r="E83">
        <v>173270</v>
      </c>
      <c r="F83" s="8">
        <v>278286</v>
      </c>
      <c r="G83">
        <v>422091</v>
      </c>
      <c r="H83" s="8">
        <v>422091</v>
      </c>
      <c r="I83">
        <f t="shared" si="246"/>
        <v>6.7015336739900677</v>
      </c>
      <c r="AC83">
        <v>11</v>
      </c>
      <c r="AD83" s="10" t="s">
        <v>131</v>
      </c>
      <c r="AE83" s="8">
        <v>2168216</v>
      </c>
      <c r="AF83" s="63">
        <f t="shared" si="240"/>
        <v>1090144.9550537779</v>
      </c>
      <c r="AG83" s="8">
        <f t="shared" si="241"/>
        <v>1058139.4272536591</v>
      </c>
      <c r="AH83">
        <f t="shared" si="242"/>
        <v>2.6550305723807943</v>
      </c>
      <c r="AI83" s="8">
        <f t="shared" si="243"/>
        <v>2.739866912851741</v>
      </c>
      <c r="AJ83">
        <f t="shared" si="249"/>
        <v>2.6550305723807943</v>
      </c>
      <c r="AK83" s="8">
        <f t="shared" si="250"/>
        <v>2.739866912851741</v>
      </c>
      <c r="AL83" s="9">
        <f t="shared" si="229"/>
        <v>2.6550305723807943</v>
      </c>
      <c r="AM83" s="8">
        <f t="shared" si="230"/>
        <v>2.739866912851741</v>
      </c>
      <c r="AN83">
        <f t="shared" si="251"/>
        <v>5.3100611447615886</v>
      </c>
      <c r="AO83" s="8">
        <f t="shared" si="252"/>
        <v>5.479733825703482</v>
      </c>
      <c r="AP83">
        <f t="shared" ref="AP83:AP85" si="258">AN83*$AN$2</f>
        <v>42.480489158092709</v>
      </c>
      <c r="AQ83" s="8">
        <f t="shared" ref="AQ83:AQ85" si="259">AO83*$AN$2</f>
        <v>43.837870605627856</v>
      </c>
      <c r="AR83">
        <v>12.5</v>
      </c>
      <c r="AS83" s="8">
        <f t="shared" si="253"/>
        <v>100</v>
      </c>
      <c r="AT83">
        <f>$AV$2*AN83</f>
        <v>2.524721671888345</v>
      </c>
      <c r="AU83" s="8">
        <f t="shared" si="232"/>
        <v>50.494433437766901</v>
      </c>
      <c r="AV83">
        <f t="shared" si="254"/>
        <v>2.6398993195007558</v>
      </c>
      <c r="AW83" s="8">
        <f t="shared" si="232"/>
        <v>52.797986390015119</v>
      </c>
      <c r="AX83">
        <f>$AV$2*AO83</f>
        <v>2.6053942447689775</v>
      </c>
      <c r="AY83" s="8">
        <f t="shared" ref="AY83" si="260">AX83*$AS$1</f>
        <v>52.107884895379549</v>
      </c>
      <c r="AZ83">
        <f t="shared" ref="AZ83:AZ85" si="261">$AY$2*(AO83^$AZ$2)</f>
        <v>2.688620633395582</v>
      </c>
      <c r="BA83">
        <f t="shared" ref="BA83" si="262">AZ83*$AS$1</f>
        <v>53.772412667911638</v>
      </c>
      <c r="BB83" s="8"/>
      <c r="BC83" s="97">
        <f t="shared" si="235"/>
        <v>7.0250774041403901</v>
      </c>
      <c r="BD83" s="107">
        <f t="shared" si="236"/>
        <v>4.7215244518921793</v>
      </c>
      <c r="BE83" s="97">
        <f t="shared" si="237"/>
        <v>4.0542444989926025</v>
      </c>
      <c r="BF83" s="97">
        <f t="shared" si="238"/>
        <v>2.3897167264605059</v>
      </c>
      <c r="BI83" s="112"/>
      <c r="BJ83" s="13"/>
      <c r="BK83" s="13"/>
      <c r="BL83" s="113"/>
      <c r="BM83" s="13"/>
      <c r="BN83" s="113"/>
    </row>
    <row r="84" spans="1:66" ht="15.75" thickBot="1" x14ac:dyDescent="0.3">
      <c r="A84">
        <v>6</v>
      </c>
      <c r="B84" s="8" t="s">
        <v>98</v>
      </c>
      <c r="C84">
        <v>1998748</v>
      </c>
      <c r="D84" s="8">
        <v>1991144</v>
      </c>
      <c r="E84">
        <v>292692</v>
      </c>
      <c r="F84" s="8">
        <v>293244</v>
      </c>
      <c r="G84">
        <v>378959</v>
      </c>
      <c r="H84" s="8">
        <v>378959</v>
      </c>
      <c r="I84">
        <f t="shared" si="246"/>
        <v>6.7900587906316927</v>
      </c>
      <c r="AC84">
        <v>12</v>
      </c>
      <c r="AD84" s="10" t="s">
        <v>132</v>
      </c>
      <c r="AE84" s="8">
        <v>2424455</v>
      </c>
      <c r="AF84" s="63">
        <f t="shared" si="240"/>
        <v>1166261.2277706244</v>
      </c>
      <c r="AG84" s="8">
        <f t="shared" si="241"/>
        <v>1134255.6999705057</v>
      </c>
      <c r="AH84">
        <f t="shared" si="242"/>
        <v>2.8728649432555335</v>
      </c>
      <c r="AI84" s="8">
        <f t="shared" si="243"/>
        <v>2.958157185900149</v>
      </c>
      <c r="AJ84">
        <f t="shared" si="249"/>
        <v>2.8728649432555335</v>
      </c>
      <c r="AK84" s="8">
        <f t="shared" si="250"/>
        <v>2.958157185900149</v>
      </c>
      <c r="AL84" s="9">
        <f t="shared" si="229"/>
        <v>2.8728649432555335</v>
      </c>
      <c r="AM84" s="8">
        <f t="shared" si="230"/>
        <v>2.958157185900149</v>
      </c>
      <c r="AN84">
        <f t="shared" si="251"/>
        <v>5.7457298865110671</v>
      </c>
      <c r="AO84" s="8">
        <f t="shared" si="252"/>
        <v>5.916314371800298</v>
      </c>
      <c r="AP84">
        <f>AN84*$AN$2</f>
        <v>45.965839092088537</v>
      </c>
      <c r="AQ84" s="8">
        <f>AO84*$AN$2</f>
        <v>47.330514974402384</v>
      </c>
      <c r="AR84">
        <v>12.5</v>
      </c>
      <c r="AS84" s="8">
        <f t="shared" si="253"/>
        <v>100</v>
      </c>
      <c r="AT84">
        <f>$AV$2*AN84</f>
        <v>2.731864731840552</v>
      </c>
      <c r="AU84" s="8">
        <f t="shared" si="232"/>
        <v>54.637294636811042</v>
      </c>
      <c r="AV84">
        <f t="shared" si="254"/>
        <v>2.7637483057254228</v>
      </c>
      <c r="AW84" s="8">
        <f t="shared" si="232"/>
        <v>55.274966114508459</v>
      </c>
      <c r="AX84">
        <f>$AV$2*AO84</f>
        <v>2.8129708312161696</v>
      </c>
      <c r="AY84" s="8">
        <f t="shared" ref="AY84" si="263">AX84*$AS$1</f>
        <v>56.259416624323393</v>
      </c>
      <c r="AZ84">
        <f t="shared" si="261"/>
        <v>2.8111630355964099</v>
      </c>
      <c r="BA84">
        <f t="shared" ref="BA84" si="264">AZ84*$AS$1</f>
        <v>56.223260711928198</v>
      </c>
      <c r="BB84" s="8"/>
      <c r="BC84" s="97" t="str">
        <f t="shared" si="235"/>
        <v>&lt; 0</v>
      </c>
      <c r="BD84" s="107" t="str">
        <f t="shared" si="236"/>
        <v>&lt; 0</v>
      </c>
      <c r="BE84" s="97" t="str">
        <f t="shared" si="237"/>
        <v>&lt; 0</v>
      </c>
      <c r="BF84" s="97" t="str">
        <f t="shared" si="238"/>
        <v>&lt; 0</v>
      </c>
      <c r="BI84" s="115" t="s">
        <v>287</v>
      </c>
      <c r="BJ84" s="116" t="s">
        <v>277</v>
      </c>
      <c r="BK84" s="117">
        <f>AVERAGE(AN95:AN98)</f>
        <v>2.6908328917021622</v>
      </c>
      <c r="BL84" s="117">
        <f t="shared" ref="BL84:BN84" si="265">AVERAGE(AO95:AO98)</f>
        <v>2.8814503865532446</v>
      </c>
      <c r="BM84" s="117">
        <f t="shared" si="265"/>
        <v>16.144997350212975</v>
      </c>
      <c r="BN84" s="118">
        <f t="shared" si="265"/>
        <v>17.288702319319469</v>
      </c>
    </row>
    <row r="85" spans="1:66" x14ac:dyDescent="0.25">
      <c r="A85">
        <v>7</v>
      </c>
      <c r="B85" s="8" t="s">
        <v>99</v>
      </c>
      <c r="C85">
        <v>4458414</v>
      </c>
      <c r="D85" s="8">
        <v>4449364</v>
      </c>
      <c r="E85">
        <v>665883</v>
      </c>
      <c r="F85" s="8">
        <v>668539</v>
      </c>
      <c r="G85">
        <v>562284</v>
      </c>
      <c r="H85" s="8">
        <v>562092</v>
      </c>
      <c r="I85">
        <f t="shared" si="246"/>
        <v>6.6553544370635072</v>
      </c>
      <c r="AC85" s="7">
        <v>13</v>
      </c>
      <c r="AD85" s="20" t="s">
        <v>133</v>
      </c>
      <c r="AE85" s="23">
        <v>2767769</v>
      </c>
      <c r="AF85" s="23">
        <f t="shared" si="240"/>
        <v>1276217.116740671</v>
      </c>
      <c r="AG85" s="6">
        <f t="shared" si="241"/>
        <v>1244211.5889405522</v>
      </c>
      <c r="AH85" s="7">
        <f t="shared" si="242"/>
        <v>3.1875436715067855</v>
      </c>
      <c r="AI85" s="6">
        <f t="shared" si="243"/>
        <v>3.2734945003774447</v>
      </c>
      <c r="AJ85" s="7">
        <f t="shared" si="249"/>
        <v>3.1875436715067855</v>
      </c>
      <c r="AK85" s="6">
        <f t="shared" si="250"/>
        <v>3.2734945003774447</v>
      </c>
      <c r="AL85" s="5">
        <f t="shared" si="229"/>
        <v>3.1875436715067855</v>
      </c>
      <c r="AM85" s="6">
        <f t="shared" si="230"/>
        <v>3.2734945003774447</v>
      </c>
      <c r="AN85" s="7">
        <f t="shared" si="251"/>
        <v>6.3750873430135711</v>
      </c>
      <c r="AO85" s="6">
        <f t="shared" si="252"/>
        <v>6.5469890007548894</v>
      </c>
      <c r="AP85" s="5">
        <f t="shared" si="258"/>
        <v>51.000698744108568</v>
      </c>
      <c r="AQ85" s="6">
        <f t="shared" si="259"/>
        <v>52.375912006039115</v>
      </c>
      <c r="AR85" s="7">
        <v>12.5</v>
      </c>
      <c r="AS85" s="6">
        <f t="shared" si="253"/>
        <v>100</v>
      </c>
      <c r="AT85">
        <f>$AV$2*AN85</f>
        <v>3.0310990281092325</v>
      </c>
      <c r="AU85" s="6">
        <f t="shared" si="232"/>
        <v>60.621980562184646</v>
      </c>
      <c r="AV85" s="7">
        <f t="shared" si="254"/>
        <v>2.9359207683090469</v>
      </c>
      <c r="AW85" s="6">
        <f t="shared" si="232"/>
        <v>58.718415366180935</v>
      </c>
      <c r="AX85">
        <f>$AV$2*AO85</f>
        <v>3.1128313902989198</v>
      </c>
      <c r="AY85" s="8">
        <f t="shared" ref="AY85:AY98" si="266">AX85*$AS$1</f>
        <v>62.256627805978397</v>
      </c>
      <c r="AZ85">
        <f t="shared" si="261"/>
        <v>2.9816929168439561</v>
      </c>
      <c r="BA85" s="7">
        <f t="shared" ref="BA85" si="267">AZ85*$AS$1</f>
        <v>59.633858336879122</v>
      </c>
      <c r="BB85" s="6"/>
      <c r="BC85" s="97" t="str">
        <f t="shared" si="235"/>
        <v>&lt; 0</v>
      </c>
      <c r="BD85" s="107" t="str">
        <f t="shared" si="236"/>
        <v>&lt; 0</v>
      </c>
      <c r="BE85" s="97" t="str">
        <f t="shared" si="237"/>
        <v>&lt; 0</v>
      </c>
      <c r="BF85" s="97" t="str">
        <f t="shared" si="238"/>
        <v>&lt; 0</v>
      </c>
    </row>
    <row r="86" spans="1:66" x14ac:dyDescent="0.25">
      <c r="A86">
        <v>8</v>
      </c>
      <c r="B86" s="8" t="s">
        <v>100</v>
      </c>
      <c r="C86">
        <v>3394771</v>
      </c>
      <c r="D86" s="8">
        <v>3387624</v>
      </c>
      <c r="E86">
        <v>504093</v>
      </c>
      <c r="F86" s="8">
        <v>504093</v>
      </c>
      <c r="G86">
        <v>531310</v>
      </c>
      <c r="H86" s="8">
        <v>528788</v>
      </c>
      <c r="I86">
        <f t="shared" si="246"/>
        <v>6.7202361469014642</v>
      </c>
      <c r="AC86">
        <v>14</v>
      </c>
      <c r="AD86" s="88" t="s">
        <v>135</v>
      </c>
      <c r="AE86" s="88">
        <v>239617</v>
      </c>
      <c r="AF86" s="90">
        <f t="shared" si="240"/>
        <v>106089.47716878289</v>
      </c>
      <c r="AG86" s="88">
        <f t="shared" si="241"/>
        <v>74083.949368664122</v>
      </c>
      <c r="AH86" s="89">
        <f t="shared" si="242"/>
        <v>-0.16120172959154128</v>
      </c>
      <c r="AI86" s="88">
        <f t="shared" si="243"/>
        <v>-8.2259437992993581E-2</v>
      </c>
      <c r="AJ86" s="89">
        <f>IF(AVERAGE($AH$86:$AH$87)&gt;0,IF(AH86-MAX($AH$86:$AH$87)&lt;=0,0,AH86-MAX($AH$86:$AH$87)),AH86)</f>
        <v>-0.16120172959154128</v>
      </c>
      <c r="AK86" s="88">
        <f>IF(AVERAGE($AI$86:$AI$87)&gt;0,IF(AI86-MAX($AI$86:$AI$87)&lt;=0,0,AI86-MAX($AI$86:$AI$87)),AI86)</f>
        <v>-8.2259437992993581E-2</v>
      </c>
      <c r="AL86" s="92">
        <f t="shared" si="229"/>
        <v>0</v>
      </c>
      <c r="AM86" s="88">
        <f t="shared" si="230"/>
        <v>0</v>
      </c>
      <c r="AN86" s="89">
        <f>AL86*$AP$5</f>
        <v>0</v>
      </c>
      <c r="AO86" s="88">
        <f>AM86*$AP$5</f>
        <v>0</v>
      </c>
      <c r="AP86" s="89">
        <f>AN86*$AP$2</f>
        <v>0</v>
      </c>
      <c r="AQ86" s="88">
        <f>AO86*$AP$2</f>
        <v>0</v>
      </c>
      <c r="AR86" s="89">
        <v>0</v>
      </c>
      <c r="AS86" s="88">
        <f>AR86*$AP$2</f>
        <v>0</v>
      </c>
      <c r="AT86" s="89">
        <f>$AV$4*AN86</f>
        <v>0</v>
      </c>
      <c r="AU86" s="88">
        <f t="shared" si="232"/>
        <v>0</v>
      </c>
      <c r="AV86" s="89"/>
      <c r="AW86" s="88">
        <f t="shared" ref="AW86:AW98" si="268">AX86*$AS$1</f>
        <v>0</v>
      </c>
      <c r="AX86" s="89">
        <f t="shared" ref="AX86:AX98" si="269">$AV$4*AO86</f>
        <v>0</v>
      </c>
      <c r="AY86" s="88">
        <f t="shared" si="266"/>
        <v>0</v>
      </c>
      <c r="AZ86" s="89"/>
      <c r="BA86" s="89">
        <f t="shared" ref="BA86" si="270">AZ86*$AS$1</f>
        <v>0</v>
      </c>
      <c r="BB86" s="88"/>
      <c r="BC86" s="102">
        <f t="shared" si="235"/>
        <v>0</v>
      </c>
      <c r="BD86" s="106">
        <f t="shared" si="236"/>
        <v>0</v>
      </c>
      <c r="BE86" s="102">
        <f t="shared" si="237"/>
        <v>0</v>
      </c>
      <c r="BF86" s="102">
        <f t="shared" si="238"/>
        <v>0</v>
      </c>
    </row>
    <row r="87" spans="1:66" x14ac:dyDescent="0.25">
      <c r="A87">
        <v>9</v>
      </c>
      <c r="B87" s="8" t="s">
        <v>101</v>
      </c>
      <c r="D87" s="8">
        <v>79262</v>
      </c>
      <c r="F87" s="8">
        <v>13273</v>
      </c>
      <c r="G87">
        <v>132878</v>
      </c>
      <c r="H87" s="65">
        <v>135593</v>
      </c>
      <c r="I87">
        <f t="shared" si="246"/>
        <v>5.9716718149627059</v>
      </c>
      <c r="AC87">
        <v>15</v>
      </c>
      <c r="AD87" s="88" t="s">
        <v>136</v>
      </c>
      <c r="AE87" s="88">
        <v>53381</v>
      </c>
      <c r="AF87" s="90">
        <f t="shared" si="240"/>
        <v>22729.504322978064</v>
      </c>
      <c r="AG87" s="88">
        <f t="shared" si="241"/>
        <v>0</v>
      </c>
      <c r="AH87" s="89">
        <f t="shared" si="242"/>
        <v>0</v>
      </c>
      <c r="AI87" s="88">
        <f t="shared" si="243"/>
        <v>0</v>
      </c>
      <c r="AJ87" s="89">
        <f t="shared" ref="AJ87:AJ91" si="271">IF(AVERAGE($AH$86:$AH$87)&gt;0,IF(AH87-MAX($AH$86:$AH$87)&lt;=0,0,AH87-MAX($AH$86:$AH$87)),AH87)</f>
        <v>0</v>
      </c>
      <c r="AK87" s="88">
        <f t="shared" ref="AK87:AK91" si="272">IF(AVERAGE($AI$86:$AI$87)&gt;0,IF(AI87-MAX($AI$86:$AI$87)&lt;=0,0,AI87-MAX($AI$86:$AI$87)),AI87)</f>
        <v>0</v>
      </c>
      <c r="AL87" s="92">
        <f t="shared" si="229"/>
        <v>0</v>
      </c>
      <c r="AM87" s="88">
        <f t="shared" si="230"/>
        <v>0</v>
      </c>
      <c r="AN87" s="89">
        <f t="shared" ref="AN87:AN98" si="273">AL87*$AP$5</f>
        <v>0</v>
      </c>
      <c r="AO87" s="88">
        <f t="shared" ref="AO87:AO98" si="274">AM87*$AP$5</f>
        <v>0</v>
      </c>
      <c r="AP87" s="89">
        <f t="shared" ref="AP87:AP98" si="275">AN87*$AP$2</f>
        <v>0</v>
      </c>
      <c r="AQ87" s="88">
        <f t="shared" ref="AQ87:AQ98" si="276">AO87*$AP$2</f>
        <v>0</v>
      </c>
      <c r="AR87" s="89">
        <v>0</v>
      </c>
      <c r="AS87" s="88">
        <f t="shared" ref="AS87:AS98" si="277">AR87*$AP$2</f>
        <v>0</v>
      </c>
      <c r="AT87" s="89">
        <f t="shared" ref="AT87:AT98" si="278">$AV$4*AN87</f>
        <v>0</v>
      </c>
      <c r="AU87" s="88">
        <f t="shared" si="232"/>
        <v>0</v>
      </c>
      <c r="AV87" s="89"/>
      <c r="AW87" s="88">
        <f t="shared" si="268"/>
        <v>0</v>
      </c>
      <c r="AX87" s="89">
        <f t="shared" si="269"/>
        <v>0</v>
      </c>
      <c r="AY87" s="88">
        <f t="shared" si="266"/>
        <v>0</v>
      </c>
      <c r="AZ87" s="89"/>
      <c r="BA87" s="89">
        <f t="shared" ref="BA87" si="279">AZ87*$AS$1</f>
        <v>0</v>
      </c>
      <c r="BB87" s="88"/>
      <c r="BC87" s="102">
        <f t="shared" si="235"/>
        <v>0</v>
      </c>
      <c r="BD87" s="106">
        <f t="shared" si="236"/>
        <v>0</v>
      </c>
      <c r="BE87" s="102">
        <f t="shared" si="237"/>
        <v>0</v>
      </c>
      <c r="BF87" s="102">
        <f t="shared" si="238"/>
        <v>0</v>
      </c>
    </row>
    <row r="88" spans="1:66" x14ac:dyDescent="0.25">
      <c r="A88">
        <v>10</v>
      </c>
      <c r="B88" s="10" t="s">
        <v>102</v>
      </c>
      <c r="C88">
        <v>2593106</v>
      </c>
      <c r="D88" s="8">
        <v>2588454</v>
      </c>
      <c r="E88">
        <v>388061</v>
      </c>
      <c r="F88" s="8">
        <v>388061</v>
      </c>
      <c r="G88">
        <v>367678</v>
      </c>
      <c r="H88" s="8">
        <v>367678</v>
      </c>
      <c r="I88">
        <f t="shared" si="246"/>
        <v>6.6702245265563915</v>
      </c>
      <c r="AC88">
        <v>16</v>
      </c>
      <c r="AD88" s="10" t="s">
        <v>137</v>
      </c>
      <c r="AE88" s="8">
        <v>2239511</v>
      </c>
      <c r="AF88" s="63">
        <f t="shared" si="240"/>
        <v>918421.21171368903</v>
      </c>
      <c r="AG88" s="8">
        <f t="shared" si="241"/>
        <v>886415.68391357025</v>
      </c>
      <c r="AH88">
        <f t="shared" si="242"/>
        <v>2.1635806857855955</v>
      </c>
      <c r="AI88" s="8">
        <f t="shared" si="243"/>
        <v>2.24738847841697</v>
      </c>
      <c r="AJ88">
        <f t="shared" si="271"/>
        <v>2.1635806857855955</v>
      </c>
      <c r="AK88" s="8">
        <f t="shared" si="272"/>
        <v>2.24738847841697</v>
      </c>
      <c r="AL88" s="9">
        <f t="shared" si="229"/>
        <v>2.1635806857855955</v>
      </c>
      <c r="AM88" s="8">
        <f t="shared" si="230"/>
        <v>2.24738847841697</v>
      </c>
      <c r="AN88">
        <f t="shared" si="273"/>
        <v>5.0483549334997235</v>
      </c>
      <c r="AO88" s="8">
        <f t="shared" si="274"/>
        <v>5.2439064496395966</v>
      </c>
      <c r="AP88">
        <f t="shared" si="275"/>
        <v>30.290129600998341</v>
      </c>
      <c r="AQ88" s="8">
        <f t="shared" si="276"/>
        <v>31.463438697837582</v>
      </c>
      <c r="AR88">
        <v>12.5</v>
      </c>
      <c r="AS88" s="8">
        <f t="shared" si="277"/>
        <v>75</v>
      </c>
      <c r="AT88">
        <f t="shared" si="278"/>
        <v>2.4392136532190611</v>
      </c>
      <c r="AU88" s="8">
        <f t="shared" si="232"/>
        <v>48.784273064381225</v>
      </c>
      <c r="AW88" s="8">
        <f t="shared" si="268"/>
        <v>50.673965585447277</v>
      </c>
      <c r="AX88">
        <f t="shared" si="269"/>
        <v>2.5336982792723637</v>
      </c>
      <c r="AY88" s="8">
        <f t="shared" si="266"/>
        <v>50.673965585447277</v>
      </c>
      <c r="BA88">
        <f t="shared" ref="BA88" si="280">AZ88*$AS$1</f>
        <v>0</v>
      </c>
      <c r="BB88" s="8"/>
      <c r="BC88" s="97" t="str">
        <f t="shared" si="235"/>
        <v>&lt; 0</v>
      </c>
      <c r="BD88" s="107" t="str">
        <f t="shared" si="236"/>
        <v>&lt; 0</v>
      </c>
      <c r="BE88" s="97" t="str">
        <f t="shared" si="237"/>
        <v>&lt; 0</v>
      </c>
      <c r="BF88" s="97">
        <f t="shared" si="238"/>
        <v>43.536561302162418</v>
      </c>
    </row>
    <row r="89" spans="1:66" x14ac:dyDescent="0.25">
      <c r="A89">
        <v>11</v>
      </c>
      <c r="B89" s="10" t="s">
        <v>103</v>
      </c>
      <c r="C89">
        <v>3383281</v>
      </c>
      <c r="D89" s="8">
        <v>3373853</v>
      </c>
      <c r="E89">
        <v>505733</v>
      </c>
      <c r="F89" s="8">
        <v>505733</v>
      </c>
      <c r="G89">
        <v>145975</v>
      </c>
      <c r="H89" s="8">
        <v>145975</v>
      </c>
      <c r="I89">
        <f t="shared" si="246"/>
        <v>6.6712138618599139</v>
      </c>
      <c r="AC89">
        <v>17</v>
      </c>
      <c r="AD89" s="10" t="s">
        <v>138</v>
      </c>
      <c r="AE89" s="8">
        <v>1846720</v>
      </c>
      <c r="AF89" s="63">
        <f t="shared" si="240"/>
        <v>730408.71497466695</v>
      </c>
      <c r="AG89" s="8">
        <f t="shared" si="241"/>
        <v>698403.18717454816</v>
      </c>
      <c r="AH89">
        <f t="shared" si="242"/>
        <v>1.6255146128961737</v>
      </c>
      <c r="AI89" s="8">
        <f t="shared" si="243"/>
        <v>1.7081962953952383</v>
      </c>
      <c r="AJ89">
        <f t="shared" si="271"/>
        <v>1.6255146128961737</v>
      </c>
      <c r="AK89" s="8">
        <f t="shared" si="272"/>
        <v>1.7081962953952383</v>
      </c>
      <c r="AL89" s="9">
        <f t="shared" si="229"/>
        <v>1.6255146128961737</v>
      </c>
      <c r="AM89" s="8">
        <f t="shared" si="230"/>
        <v>1.7081962953952383</v>
      </c>
      <c r="AN89">
        <f t="shared" si="273"/>
        <v>3.7928674300910723</v>
      </c>
      <c r="AO89" s="8">
        <f t="shared" si="274"/>
        <v>3.9857913559222231</v>
      </c>
      <c r="AP89">
        <f t="shared" si="275"/>
        <v>22.757204580546436</v>
      </c>
      <c r="AQ89" s="8">
        <f t="shared" si="276"/>
        <v>23.914748135533337</v>
      </c>
      <c r="AR89">
        <v>12.5</v>
      </c>
      <c r="AS89" s="8">
        <f t="shared" si="277"/>
        <v>75</v>
      </c>
      <c r="AT89">
        <f t="shared" si="278"/>
        <v>1.8325997561971035</v>
      </c>
      <c r="AU89" s="8">
        <f t="shared" si="232"/>
        <v>36.651995123942072</v>
      </c>
      <c r="AW89" s="8">
        <f t="shared" si="268"/>
        <v>38.516296188818806</v>
      </c>
      <c r="AX89">
        <f t="shared" si="269"/>
        <v>1.9258148094409404</v>
      </c>
      <c r="AY89" s="8">
        <f t="shared" si="266"/>
        <v>38.516296188818806</v>
      </c>
      <c r="BA89">
        <f>AZ89*$AS$1</f>
        <v>0</v>
      </c>
      <c r="BB89" s="8"/>
      <c r="BC89" s="97">
        <f t="shared" si="235"/>
        <v>15.590800295511492</v>
      </c>
      <c r="BD89" s="107">
        <f t="shared" si="236"/>
        <v>13.726499230634758</v>
      </c>
      <c r="BE89" s="97">
        <f t="shared" si="237"/>
        <v>12.568955675647857</v>
      </c>
      <c r="BF89" s="97">
        <f t="shared" si="238"/>
        <v>51.085251864466663</v>
      </c>
    </row>
    <row r="90" spans="1:66" x14ac:dyDescent="0.25">
      <c r="A90">
        <v>12</v>
      </c>
      <c r="B90" s="10" t="s">
        <v>104</v>
      </c>
      <c r="C90">
        <v>1942122</v>
      </c>
      <c r="D90" s="8">
        <v>1942122</v>
      </c>
      <c r="E90">
        <v>39090</v>
      </c>
      <c r="F90" s="8">
        <v>292687</v>
      </c>
      <c r="G90">
        <v>442279</v>
      </c>
      <c r="H90" s="8">
        <v>442279</v>
      </c>
      <c r="I90">
        <f t="shared" si="246"/>
        <v>6.6354911560814109</v>
      </c>
      <c r="AC90">
        <v>18</v>
      </c>
      <c r="AD90" s="10" t="s">
        <v>139</v>
      </c>
      <c r="AE90" s="8">
        <v>2082174</v>
      </c>
      <c r="AF90" s="63">
        <f t="shared" si="240"/>
        <v>795257.09607701935</v>
      </c>
      <c r="AG90" s="8">
        <f t="shared" si="241"/>
        <v>763251.56827690057</v>
      </c>
      <c r="AH90">
        <f t="shared" si="242"/>
        <v>1.8111018177797593</v>
      </c>
      <c r="AI90" s="8">
        <f t="shared" si="243"/>
        <v>1.8941719128593164</v>
      </c>
      <c r="AJ90">
        <f t="shared" si="271"/>
        <v>1.8111018177797593</v>
      </c>
      <c r="AK90" s="8">
        <f t="shared" si="272"/>
        <v>1.8941719128593164</v>
      </c>
      <c r="AL90" s="9">
        <f t="shared" si="229"/>
        <v>1.8111018177797593</v>
      </c>
      <c r="AM90" s="8">
        <f t="shared" si="230"/>
        <v>1.8941719128593164</v>
      </c>
      <c r="AN90">
        <f t="shared" si="273"/>
        <v>4.2259042414861057</v>
      </c>
      <c r="AO90" s="8">
        <f t="shared" si="274"/>
        <v>4.419734463338405</v>
      </c>
      <c r="AP90">
        <f t="shared" si="275"/>
        <v>25.355425448916634</v>
      </c>
      <c r="AQ90" s="8">
        <f t="shared" si="276"/>
        <v>26.518406780030432</v>
      </c>
      <c r="AR90">
        <v>12.5</v>
      </c>
      <c r="AS90" s="8">
        <f t="shared" si="277"/>
        <v>75</v>
      </c>
      <c r="AT90">
        <f t="shared" si="278"/>
        <v>2.0418301523588416</v>
      </c>
      <c r="AU90" s="8">
        <f t="shared" si="232"/>
        <v>40.83660304717683</v>
      </c>
      <c r="AW90" s="8">
        <f t="shared" si="268"/>
        <v>42.709662013024342</v>
      </c>
      <c r="AX90">
        <f t="shared" si="269"/>
        <v>2.1354831006512169</v>
      </c>
      <c r="AY90" s="8">
        <f t="shared" si="266"/>
        <v>42.709662013024342</v>
      </c>
      <c r="BA90">
        <f t="shared" ref="BA90" si="281">AZ90*$AS$1</f>
        <v>0</v>
      </c>
      <c r="BB90" s="8"/>
      <c r="BC90" s="97">
        <f t="shared" si="235"/>
        <v>8.8079715039065434</v>
      </c>
      <c r="BD90" s="107">
        <f t="shared" si="236"/>
        <v>6.9349125380590237</v>
      </c>
      <c r="BE90" s="97">
        <f t="shared" si="237"/>
        <v>5.7719312069452258</v>
      </c>
      <c r="BF90" s="97">
        <f t="shared" si="238"/>
        <v>48.481593219969568</v>
      </c>
    </row>
    <row r="91" spans="1:66" x14ac:dyDescent="0.25">
      <c r="A91" s="7">
        <v>13</v>
      </c>
      <c r="B91" s="20" t="s">
        <v>105</v>
      </c>
      <c r="C91" s="7">
        <v>2182455</v>
      </c>
      <c r="D91" s="6">
        <v>2174874</v>
      </c>
      <c r="E91" s="7">
        <v>328221</v>
      </c>
      <c r="F91" s="6">
        <v>328860</v>
      </c>
      <c r="G91" s="7">
        <v>341764</v>
      </c>
      <c r="H91" s="6">
        <v>341764</v>
      </c>
      <c r="I91">
        <f t="shared" si="246"/>
        <v>6.6133734719941613</v>
      </c>
      <c r="AC91" s="7">
        <v>19</v>
      </c>
      <c r="AD91" s="20" t="s">
        <v>140</v>
      </c>
      <c r="AE91" s="6">
        <v>2181819</v>
      </c>
      <c r="AF91" s="63">
        <f t="shared" si="240"/>
        <v>805651.5337765424</v>
      </c>
      <c r="AG91" s="8">
        <f t="shared" si="241"/>
        <v>773646.00597642362</v>
      </c>
      <c r="AH91">
        <f t="shared" si="242"/>
        <v>1.840849278027785</v>
      </c>
      <c r="AI91" s="8">
        <f t="shared" si="243"/>
        <v>1.9239816311051674</v>
      </c>
      <c r="AJ91">
        <f t="shared" si="271"/>
        <v>1.840849278027785</v>
      </c>
      <c r="AK91" s="8">
        <f t="shared" si="272"/>
        <v>1.9239816311051674</v>
      </c>
      <c r="AL91" s="9">
        <f t="shared" si="229"/>
        <v>1.840849278027785</v>
      </c>
      <c r="AM91" s="8">
        <f t="shared" si="230"/>
        <v>1.9239816311051674</v>
      </c>
      <c r="AN91">
        <f t="shared" si="273"/>
        <v>4.2953149820648315</v>
      </c>
      <c r="AO91" s="8">
        <f t="shared" si="274"/>
        <v>4.4892904725787242</v>
      </c>
      <c r="AP91">
        <f t="shared" si="275"/>
        <v>25.771889892388991</v>
      </c>
      <c r="AQ91" s="8">
        <f t="shared" si="276"/>
        <v>26.935742835472347</v>
      </c>
      <c r="AR91">
        <v>12.5</v>
      </c>
      <c r="AS91" s="8">
        <f t="shared" si="277"/>
        <v>75</v>
      </c>
      <c r="AT91">
        <f t="shared" si="278"/>
        <v>2.0753673398842647</v>
      </c>
      <c r="AU91" s="8">
        <f t="shared" si="232"/>
        <v>41.507346797685294</v>
      </c>
      <c r="AW91" s="8">
        <f t="shared" si="268"/>
        <v>43.381809552717243</v>
      </c>
      <c r="AX91">
        <f t="shared" si="269"/>
        <v>2.1690904776358622</v>
      </c>
      <c r="AY91" s="8">
        <f t="shared" si="266"/>
        <v>43.381809552717243</v>
      </c>
      <c r="BA91">
        <f t="shared" ref="BA91" si="282">AZ91*$AS$1</f>
        <v>0</v>
      </c>
      <c r="BB91" s="8"/>
      <c r="BC91" s="97">
        <f t="shared" si="235"/>
        <v>7.7207633099257151</v>
      </c>
      <c r="BD91" s="107">
        <f t="shared" si="236"/>
        <v>5.8463005548937588</v>
      </c>
      <c r="BE91" s="97">
        <f t="shared" si="237"/>
        <v>4.682447611810403</v>
      </c>
      <c r="BF91" s="97">
        <f t="shared" si="238"/>
        <v>48.064257164527653</v>
      </c>
    </row>
    <row r="92" spans="1:66" x14ac:dyDescent="0.25">
      <c r="A92">
        <v>14</v>
      </c>
      <c r="B92" s="10" t="s">
        <v>106</v>
      </c>
      <c r="D92" s="8">
        <v>88960</v>
      </c>
      <c r="F92" s="8"/>
      <c r="G92">
        <v>136007</v>
      </c>
      <c r="H92" s="8">
        <v>141211</v>
      </c>
      <c r="AC92" s="7">
        <v>20</v>
      </c>
      <c r="AD92" s="2" t="s">
        <v>134</v>
      </c>
      <c r="AE92" s="2">
        <v>95715</v>
      </c>
      <c r="AF92" s="63">
        <f t="shared" si="240"/>
        <v>34207.81870914092</v>
      </c>
      <c r="AG92" s="8">
        <f t="shared" si="241"/>
        <v>2202.2909090221547</v>
      </c>
      <c r="AH92">
        <f t="shared" si="242"/>
        <v>-0.36691721314179393</v>
      </c>
      <c r="AI92" s="8">
        <f t="shared" si="243"/>
        <v>-0.28840546028573749</v>
      </c>
      <c r="AK92" s="8"/>
      <c r="AL92" s="9">
        <f t="shared" si="229"/>
        <v>0</v>
      </c>
      <c r="AM92" s="8">
        <f t="shared" si="230"/>
        <v>0</v>
      </c>
      <c r="AO92" s="8"/>
      <c r="AQ92" s="8"/>
      <c r="AR92">
        <v>0</v>
      </c>
      <c r="AS92" s="8">
        <f t="shared" si="277"/>
        <v>0</v>
      </c>
      <c r="AT92">
        <f t="shared" si="278"/>
        <v>0</v>
      </c>
      <c r="AU92" s="8">
        <f t="shared" si="232"/>
        <v>0</v>
      </c>
      <c r="AW92" s="8">
        <f t="shared" si="268"/>
        <v>0</v>
      </c>
      <c r="AX92">
        <f t="shared" si="269"/>
        <v>0</v>
      </c>
      <c r="AY92" s="8">
        <f t="shared" si="266"/>
        <v>0</v>
      </c>
      <c r="BA92">
        <f t="shared" ref="BA92" si="283">AZ92*$AS$1</f>
        <v>0</v>
      </c>
      <c r="BB92" s="8"/>
      <c r="BC92" s="97"/>
      <c r="BD92" s="107"/>
      <c r="BE92" s="97"/>
      <c r="BF92" s="97"/>
    </row>
    <row r="93" spans="1:66" x14ac:dyDescent="0.25">
      <c r="A93">
        <v>15</v>
      </c>
      <c r="B93" s="10" t="s">
        <v>107</v>
      </c>
      <c r="D93" s="8">
        <v>232604</v>
      </c>
      <c r="F93" s="8"/>
      <c r="G93">
        <v>340542</v>
      </c>
      <c r="H93" s="8">
        <v>342757</v>
      </c>
      <c r="AC93">
        <v>21</v>
      </c>
      <c r="AD93" s="88" t="s">
        <v>141</v>
      </c>
      <c r="AE93" s="88">
        <v>156682</v>
      </c>
      <c r="AF93" s="90">
        <f t="shared" si="240"/>
        <v>54253.770324732992</v>
      </c>
      <c r="AG93" s="88">
        <f t="shared" si="241"/>
        <v>22248.242524614227</v>
      </c>
      <c r="AH93" s="89">
        <f t="shared" si="242"/>
        <v>-0.30954843899001527</v>
      </c>
      <c r="AI93" s="88">
        <f t="shared" si="243"/>
        <v>-0.23091661991699106</v>
      </c>
      <c r="AJ93" s="89">
        <f>IF(AVERAGE($AH$93:$AH$94)&gt;0,IF(AH93-MAX($AH$93:$AH$94)&lt;=0,0,AH93-MAX($AH$93:$AH$94)),AH93)</f>
        <v>-0.30954843899001527</v>
      </c>
      <c r="AK93" s="88">
        <f>IF(AVERAGE($AI$93:$AI$94)&gt;0,IF(AI93-MAX($AI$93:$AI$94)&lt;=0,0,AI93-MAX($AI$93:$AI$94)),AI93)</f>
        <v>-0.23091661991699106</v>
      </c>
      <c r="AL93" s="92">
        <f t="shared" si="229"/>
        <v>0</v>
      </c>
      <c r="AM93" s="88">
        <f t="shared" si="230"/>
        <v>0</v>
      </c>
      <c r="AN93" s="89">
        <f t="shared" si="273"/>
        <v>0</v>
      </c>
      <c r="AO93" s="88">
        <f t="shared" si="274"/>
        <v>0</v>
      </c>
      <c r="AP93" s="89">
        <f t="shared" si="275"/>
        <v>0</v>
      </c>
      <c r="AQ93" s="88">
        <f t="shared" si="276"/>
        <v>0</v>
      </c>
      <c r="AR93" s="89">
        <v>0</v>
      </c>
      <c r="AS93" s="88">
        <f t="shared" si="277"/>
        <v>0</v>
      </c>
      <c r="AT93" s="89">
        <f t="shared" si="278"/>
        <v>0</v>
      </c>
      <c r="AU93" s="88">
        <f t="shared" si="232"/>
        <v>0</v>
      </c>
      <c r="AV93" s="89"/>
      <c r="AW93" s="88">
        <f t="shared" si="268"/>
        <v>0</v>
      </c>
      <c r="AX93" s="89">
        <f t="shared" si="269"/>
        <v>0</v>
      </c>
      <c r="AY93" s="88">
        <f t="shared" si="266"/>
        <v>0</v>
      </c>
      <c r="AZ93" s="89"/>
      <c r="BA93" s="89">
        <f t="shared" ref="BA93" si="284">AZ93*$AS$1</f>
        <v>0</v>
      </c>
      <c r="BB93" s="88"/>
      <c r="BC93" s="102">
        <f t="shared" si="235"/>
        <v>0</v>
      </c>
      <c r="BD93" s="106">
        <f t="shared" si="236"/>
        <v>0</v>
      </c>
      <c r="BE93" s="102">
        <f t="shared" si="237"/>
        <v>0</v>
      </c>
      <c r="BF93" s="102">
        <f t="shared" si="238"/>
        <v>0</v>
      </c>
    </row>
    <row r="94" spans="1:66" x14ac:dyDescent="0.25">
      <c r="A94">
        <v>16</v>
      </c>
      <c r="B94" s="10" t="s">
        <v>108</v>
      </c>
      <c r="C94">
        <v>1448094</v>
      </c>
      <c r="D94" s="8">
        <v>1448094</v>
      </c>
      <c r="F94" s="8">
        <v>212995</v>
      </c>
      <c r="G94">
        <v>257193</v>
      </c>
      <c r="H94" s="8">
        <v>257193</v>
      </c>
      <c r="I94">
        <f t="shared" si="246"/>
        <v>6.798722974717716</v>
      </c>
      <c r="AC94">
        <v>22</v>
      </c>
      <c r="AD94" s="88" t="s">
        <v>142</v>
      </c>
      <c r="AE94" s="88">
        <v>31295</v>
      </c>
      <c r="AF94" s="90">
        <f t="shared" si="240"/>
        <v>10509.26362827941</v>
      </c>
      <c r="AG94" s="88">
        <f t="shared" si="241"/>
        <v>0</v>
      </c>
      <c r="AH94" s="89">
        <f t="shared" si="242"/>
        <v>0</v>
      </c>
      <c r="AI94" s="88">
        <f t="shared" si="243"/>
        <v>0</v>
      </c>
      <c r="AJ94" s="89">
        <f t="shared" ref="AJ94:AJ98" si="285">IF(AVERAGE($AH$93:$AH$94)&gt;0,IF(AH94-MAX($AH$93:$AH$94)&lt;=0,0,AH94-MAX($AH$93:$AH$94)),AH94)</f>
        <v>0</v>
      </c>
      <c r="AK94" s="88">
        <f t="shared" ref="AK94:AK98" si="286">IF(AVERAGE($AI$93:$AI$94)&gt;0,IF(AI94-MAX($AI$93:$AI$94)&lt;=0,0,AI94-MAX($AI$93:$AI$94)),AI94)</f>
        <v>0</v>
      </c>
      <c r="AL94" s="92">
        <f t="shared" si="229"/>
        <v>0</v>
      </c>
      <c r="AM94" s="88">
        <f t="shared" si="230"/>
        <v>0</v>
      </c>
      <c r="AN94" s="89">
        <f t="shared" si="273"/>
        <v>0</v>
      </c>
      <c r="AO94" s="88">
        <f t="shared" si="274"/>
        <v>0</v>
      </c>
      <c r="AP94" s="89">
        <f t="shared" si="275"/>
        <v>0</v>
      </c>
      <c r="AQ94" s="88">
        <f t="shared" si="276"/>
        <v>0</v>
      </c>
      <c r="AR94" s="89">
        <v>0</v>
      </c>
      <c r="AS94" s="88">
        <f t="shared" si="277"/>
        <v>0</v>
      </c>
      <c r="AT94" s="89">
        <f t="shared" si="278"/>
        <v>0</v>
      </c>
      <c r="AU94" s="88">
        <f t="shared" si="232"/>
        <v>0</v>
      </c>
      <c r="AV94" s="89"/>
      <c r="AW94" s="88">
        <f t="shared" si="268"/>
        <v>0</v>
      </c>
      <c r="AX94" s="89">
        <f t="shared" si="269"/>
        <v>0</v>
      </c>
      <c r="AY94" s="88">
        <f t="shared" si="266"/>
        <v>0</v>
      </c>
      <c r="AZ94" s="89"/>
      <c r="BA94" s="89">
        <f t="shared" ref="BA94" si="287">AZ94*$AS$1</f>
        <v>0</v>
      </c>
      <c r="BB94" s="88"/>
      <c r="BC94" s="102">
        <f t="shared" si="235"/>
        <v>0</v>
      </c>
      <c r="BD94" s="106">
        <f t="shared" si="236"/>
        <v>0</v>
      </c>
      <c r="BE94" s="102">
        <f t="shared" si="237"/>
        <v>0</v>
      </c>
      <c r="BF94" s="102">
        <f t="shared" si="238"/>
        <v>0</v>
      </c>
    </row>
    <row r="95" spans="1:66" x14ac:dyDescent="0.25">
      <c r="A95">
        <v>17</v>
      </c>
      <c r="B95" s="10" t="s">
        <v>109</v>
      </c>
      <c r="C95">
        <v>1954193</v>
      </c>
      <c r="D95" s="8">
        <v>1949849</v>
      </c>
      <c r="E95">
        <v>287613</v>
      </c>
      <c r="F95" s="8">
        <v>288234</v>
      </c>
      <c r="H95" s="8">
        <v>69200</v>
      </c>
      <c r="I95">
        <f t="shared" si="246"/>
        <v>6.7648126175260375</v>
      </c>
      <c r="AC95">
        <v>23</v>
      </c>
      <c r="AD95" s="10" t="s">
        <v>143</v>
      </c>
      <c r="AE95" s="8">
        <v>1899653</v>
      </c>
      <c r="AF95" s="63">
        <f t="shared" si="240"/>
        <v>619233.07032930758</v>
      </c>
      <c r="AG95" s="8">
        <f t="shared" si="241"/>
        <v>587227.5425291888</v>
      </c>
      <c r="AH95">
        <f t="shared" si="242"/>
        <v>1.3073451105874332</v>
      </c>
      <c r="AI95" s="8">
        <f t="shared" si="243"/>
        <v>1.3893609010736117</v>
      </c>
      <c r="AJ95">
        <f t="shared" si="285"/>
        <v>1.3073451105874332</v>
      </c>
      <c r="AK95" s="8">
        <f t="shared" si="286"/>
        <v>1.3893609010736117</v>
      </c>
      <c r="AL95" s="9">
        <f t="shared" si="229"/>
        <v>1.3073451105874332</v>
      </c>
      <c r="AM95" s="8">
        <f t="shared" si="230"/>
        <v>1.3893609010736117</v>
      </c>
      <c r="AN95">
        <f t="shared" si="273"/>
        <v>3.0504719247040111</v>
      </c>
      <c r="AO95" s="8">
        <f t="shared" si="274"/>
        <v>3.2418421025050939</v>
      </c>
      <c r="AP95">
        <f t="shared" si="275"/>
        <v>18.302831548224066</v>
      </c>
      <c r="AQ95" s="8">
        <f t="shared" si="276"/>
        <v>19.451052615030562</v>
      </c>
      <c r="AR95">
        <v>12.5</v>
      </c>
      <c r="AS95" s="8">
        <f t="shared" si="277"/>
        <v>75</v>
      </c>
      <c r="AT95">
        <f t="shared" si="278"/>
        <v>1.4738965198592371</v>
      </c>
      <c r="AU95" s="8">
        <f t="shared" si="232"/>
        <v>29.477930397184743</v>
      </c>
      <c r="AW95" s="8">
        <f t="shared" si="268"/>
        <v>31.327216973347724</v>
      </c>
      <c r="AX95">
        <f t="shared" si="269"/>
        <v>1.5663608486673861</v>
      </c>
      <c r="AY95" s="8">
        <f t="shared" si="266"/>
        <v>31.327216973347724</v>
      </c>
      <c r="BA95">
        <f t="shared" ref="BA95" si="288">AZ95*$AS$1</f>
        <v>0</v>
      </c>
      <c r="BB95" s="8"/>
      <c r="BC95" s="97">
        <f t="shared" si="235"/>
        <v>27.219238054591187</v>
      </c>
      <c r="BD95" s="107">
        <f t="shared" si="236"/>
        <v>25.369951478428206</v>
      </c>
      <c r="BE95" s="97">
        <f t="shared" si="237"/>
        <v>24.221730411621714</v>
      </c>
      <c r="BF95" s="97">
        <f t="shared" si="238"/>
        <v>55.548947384969438</v>
      </c>
    </row>
    <row r="96" spans="1:66" x14ac:dyDescent="0.25">
      <c r="A96">
        <v>18</v>
      </c>
      <c r="B96" s="10" t="s">
        <v>110</v>
      </c>
      <c r="C96">
        <v>718257</v>
      </c>
      <c r="D96" s="8">
        <v>720683</v>
      </c>
      <c r="F96" s="8">
        <v>103142</v>
      </c>
      <c r="G96">
        <v>242029</v>
      </c>
      <c r="H96" s="8">
        <v>243265</v>
      </c>
      <c r="I96">
        <f t="shared" si="246"/>
        <v>6.9872893680556905</v>
      </c>
      <c r="AC96">
        <v>24</v>
      </c>
      <c r="AD96" s="10" t="s">
        <v>144</v>
      </c>
      <c r="AE96" s="8">
        <v>1871546</v>
      </c>
      <c r="AF96" s="63">
        <f t="shared" si="240"/>
        <v>592701.52294970199</v>
      </c>
      <c r="AG96" s="8">
        <f t="shared" si="241"/>
        <v>560695.99514958321</v>
      </c>
      <c r="AH96">
        <f t="shared" si="242"/>
        <v>1.2314154476457193</v>
      </c>
      <c r="AI96" s="8">
        <f t="shared" si="243"/>
        <v>1.3132723261188761</v>
      </c>
      <c r="AJ96">
        <f t="shared" si="285"/>
        <v>1.2314154476457193</v>
      </c>
      <c r="AK96" s="8">
        <f t="shared" si="286"/>
        <v>1.3132723261188761</v>
      </c>
      <c r="AL96" s="9">
        <f t="shared" si="229"/>
        <v>1.2314154476457193</v>
      </c>
      <c r="AM96" s="8">
        <f t="shared" si="230"/>
        <v>1.3132723261188761</v>
      </c>
      <c r="AN96">
        <f t="shared" si="273"/>
        <v>2.8733027111733453</v>
      </c>
      <c r="AO96" s="8">
        <f t="shared" si="274"/>
        <v>3.064302094277378</v>
      </c>
      <c r="AP96">
        <f t="shared" si="275"/>
        <v>17.239816267040073</v>
      </c>
      <c r="AQ96" s="8">
        <f t="shared" si="276"/>
        <v>18.385812565664267</v>
      </c>
      <c r="AR96">
        <v>12.5</v>
      </c>
      <c r="AS96" s="8">
        <f t="shared" si="277"/>
        <v>75</v>
      </c>
      <c r="AT96">
        <f t="shared" si="278"/>
        <v>1.3882936709576252</v>
      </c>
      <c r="AU96" s="8">
        <f t="shared" si="232"/>
        <v>27.765873419152506</v>
      </c>
      <c r="AW96" s="8">
        <f t="shared" si="268"/>
        <v>29.611576857840014</v>
      </c>
      <c r="AX96">
        <f t="shared" si="269"/>
        <v>1.4805788428920006</v>
      </c>
      <c r="AY96" s="8">
        <f t="shared" si="266"/>
        <v>29.611576857840014</v>
      </c>
      <c r="BA96">
        <f t="shared" ref="BA96" si="289">AZ96*$AS$1</f>
        <v>0</v>
      </c>
      <c r="BB96" s="8"/>
      <c r="BC96" s="97">
        <f t="shared" si="235"/>
        <v>29.994310313807418</v>
      </c>
      <c r="BD96" s="107">
        <f t="shared" si="236"/>
        <v>28.14860687511991</v>
      </c>
      <c r="BE96" s="97">
        <f t="shared" si="237"/>
        <v>27.002610576495719</v>
      </c>
      <c r="BF96" s="97">
        <f t="shared" si="238"/>
        <v>56.614187434335733</v>
      </c>
    </row>
    <row r="97" spans="1:58" x14ac:dyDescent="0.25">
      <c r="A97" s="7">
        <v>19</v>
      </c>
      <c r="B97" s="20" t="s">
        <v>111</v>
      </c>
      <c r="C97" s="7">
        <v>699793</v>
      </c>
      <c r="D97" s="6">
        <v>699793</v>
      </c>
      <c r="E97" s="7">
        <v>0</v>
      </c>
      <c r="F97" s="6">
        <v>105074</v>
      </c>
      <c r="G97" s="7">
        <v>0</v>
      </c>
      <c r="H97" s="6">
        <v>89619</v>
      </c>
      <c r="I97">
        <f t="shared" si="246"/>
        <v>6.6600015227363576</v>
      </c>
      <c r="AC97">
        <v>25</v>
      </c>
      <c r="AD97" s="10" t="s">
        <v>145</v>
      </c>
      <c r="AE97" s="8">
        <v>1597957</v>
      </c>
      <c r="AF97" s="63">
        <f t="shared" si="240"/>
        <v>492049.14910422656</v>
      </c>
      <c r="AG97" s="8">
        <f t="shared" si="241"/>
        <v>460043.62130410777</v>
      </c>
      <c r="AH97">
        <f t="shared" si="242"/>
        <v>0.94336210831259781</v>
      </c>
      <c r="AI97" s="8">
        <f t="shared" si="243"/>
        <v>1.0246161244229099</v>
      </c>
      <c r="AJ97">
        <f t="shared" si="285"/>
        <v>0.94336210831259781</v>
      </c>
      <c r="AK97" s="8">
        <f t="shared" si="286"/>
        <v>1.0246161244229099</v>
      </c>
      <c r="AL97" s="9">
        <f t="shared" si="229"/>
        <v>0.94336210831259781</v>
      </c>
      <c r="AM97" s="8">
        <f t="shared" si="230"/>
        <v>1.0246161244229099</v>
      </c>
      <c r="AN97">
        <f t="shared" si="273"/>
        <v>2.2011782527293948</v>
      </c>
      <c r="AO97" s="8">
        <f t="shared" si="274"/>
        <v>2.3907709569867901</v>
      </c>
      <c r="AP97">
        <f t="shared" si="275"/>
        <v>13.207069516376368</v>
      </c>
      <c r="AQ97" s="8">
        <f t="shared" si="276"/>
        <v>14.344625741920741</v>
      </c>
      <c r="AR97">
        <v>12.5</v>
      </c>
      <c r="AS97" s="8">
        <f t="shared" si="277"/>
        <v>75</v>
      </c>
      <c r="AT97">
        <f t="shared" si="278"/>
        <v>1.0635432963712617</v>
      </c>
      <c r="AU97" s="8">
        <f t="shared" si="232"/>
        <v>21.270865927425234</v>
      </c>
      <c r="AW97" s="8">
        <f t="shared" si="268"/>
        <v>23.102976065746148</v>
      </c>
      <c r="AX97">
        <f t="shared" si="269"/>
        <v>1.1551488032873074</v>
      </c>
      <c r="AY97" s="8">
        <f t="shared" si="266"/>
        <v>23.102976065746148</v>
      </c>
      <c r="BA97">
        <f t="shared" ref="BA97" si="290">AZ97*$AS$1</f>
        <v>0</v>
      </c>
      <c r="BB97" s="8"/>
      <c r="BC97" s="97">
        <f t="shared" si="235"/>
        <v>40.522064556198401</v>
      </c>
      <c r="BD97" s="107">
        <f t="shared" si="236"/>
        <v>38.689954417877487</v>
      </c>
      <c r="BE97" s="97">
        <f t="shared" si="237"/>
        <v>37.552398192333115</v>
      </c>
      <c r="BF97" s="97">
        <f t="shared" si="238"/>
        <v>60.655374258079263</v>
      </c>
    </row>
    <row r="98" spans="1:58" x14ac:dyDescent="0.25">
      <c r="A98" s="7">
        <v>20</v>
      </c>
      <c r="B98" s="6" t="s">
        <v>118</v>
      </c>
      <c r="C98" s="7"/>
      <c r="D98" s="6">
        <v>40579</v>
      </c>
      <c r="E98" s="7"/>
      <c r="F98" s="6"/>
      <c r="G98" s="7">
        <v>202515</v>
      </c>
      <c r="H98" s="66">
        <v>203812</v>
      </c>
      <c r="AC98">
        <v>26</v>
      </c>
      <c r="AD98" s="10" t="s">
        <v>146</v>
      </c>
      <c r="AE98" s="8">
        <v>1860703</v>
      </c>
      <c r="AF98" s="63">
        <f t="shared" si="240"/>
        <v>557521.0421698899</v>
      </c>
      <c r="AG98" s="8">
        <f t="shared" si="241"/>
        <v>525515.51436977112</v>
      </c>
      <c r="AH98">
        <f t="shared" si="242"/>
        <v>1.1307337192293845</v>
      </c>
      <c r="AI98" s="8">
        <f t="shared" si="243"/>
        <v>1.2123798824758791</v>
      </c>
      <c r="AJ98">
        <f t="shared" si="285"/>
        <v>1.1307337192293845</v>
      </c>
      <c r="AK98" s="8">
        <f t="shared" si="286"/>
        <v>1.2123798824758791</v>
      </c>
      <c r="AL98" s="9">
        <f t="shared" si="229"/>
        <v>1.1307337192293845</v>
      </c>
      <c r="AM98" s="8">
        <f t="shared" si="230"/>
        <v>1.2123798824758791</v>
      </c>
      <c r="AN98">
        <f t="shared" si="273"/>
        <v>2.6383786782018972</v>
      </c>
      <c r="AO98" s="8">
        <f t="shared" si="274"/>
        <v>2.8288863924437182</v>
      </c>
      <c r="AP98">
        <f t="shared" si="275"/>
        <v>15.830272069211382</v>
      </c>
      <c r="AQ98" s="8">
        <f t="shared" si="276"/>
        <v>16.973318354662311</v>
      </c>
      <c r="AR98">
        <v>12.5</v>
      </c>
      <c r="AS98" s="8">
        <f t="shared" si="277"/>
        <v>75</v>
      </c>
      <c r="AT98">
        <f t="shared" si="278"/>
        <v>1.2747854259468105</v>
      </c>
      <c r="AU98" s="8">
        <f t="shared" si="232"/>
        <v>25.495708518936212</v>
      </c>
      <c r="AW98" s="8">
        <f t="shared" si="268"/>
        <v>27.336660764740625</v>
      </c>
      <c r="AX98">
        <f t="shared" si="269"/>
        <v>1.3668330382370313</v>
      </c>
      <c r="AY98" s="8">
        <f t="shared" si="266"/>
        <v>27.336660764740625</v>
      </c>
      <c r="BA98">
        <f t="shared" ref="BA98" si="291">AZ98*$AS$1</f>
        <v>0</v>
      </c>
      <c r="BB98" s="8"/>
      <c r="BC98" s="97">
        <f t="shared" si="235"/>
        <v>33.674019411852406</v>
      </c>
      <c r="BD98" s="107">
        <f t="shared" si="236"/>
        <v>31.833067166047996</v>
      </c>
      <c r="BE98" s="97">
        <f t="shared" si="237"/>
        <v>30.690020880597061</v>
      </c>
      <c r="BF98" s="97">
        <f t="shared" si="238"/>
        <v>58.026681645337689</v>
      </c>
    </row>
    <row r="99" spans="1:58" x14ac:dyDescent="0.25">
      <c r="A99">
        <v>21</v>
      </c>
      <c r="B99" s="10" t="s">
        <v>112</v>
      </c>
      <c r="D99" s="8">
        <v>118898</v>
      </c>
      <c r="F99" s="8">
        <v>16006</v>
      </c>
      <c r="G99">
        <v>168514</v>
      </c>
      <c r="H99" s="8">
        <v>170843</v>
      </c>
      <c r="I99">
        <f t="shared" si="246"/>
        <v>7.4283393727352243</v>
      </c>
      <c r="AY99" s="13"/>
    </row>
    <row r="100" spans="1:58" x14ac:dyDescent="0.25">
      <c r="A100">
        <v>22</v>
      </c>
      <c r="B100" s="10" t="s">
        <v>113</v>
      </c>
      <c r="D100" s="8">
        <v>18766</v>
      </c>
      <c r="F100" s="8"/>
      <c r="G100">
        <v>328659</v>
      </c>
      <c r="H100" s="8">
        <v>328659</v>
      </c>
    </row>
    <row r="101" spans="1:58" x14ac:dyDescent="0.25">
      <c r="A101">
        <v>23</v>
      </c>
      <c r="B101" s="10" t="s">
        <v>114</v>
      </c>
      <c r="C101">
        <v>761878</v>
      </c>
      <c r="D101" s="8">
        <v>766173</v>
      </c>
      <c r="F101" s="8">
        <v>115566</v>
      </c>
      <c r="G101">
        <v>191423</v>
      </c>
      <c r="H101" s="8">
        <v>191748</v>
      </c>
      <c r="I101">
        <f t="shared" si="246"/>
        <v>6.6297440423654015</v>
      </c>
    </row>
    <row r="102" spans="1:58" x14ac:dyDescent="0.25">
      <c r="A102">
        <v>24</v>
      </c>
      <c r="B102" s="10" t="s">
        <v>115</v>
      </c>
      <c r="C102">
        <v>694324</v>
      </c>
      <c r="D102" s="8">
        <v>694324</v>
      </c>
      <c r="F102" s="8">
        <v>101227</v>
      </c>
      <c r="G102">
        <v>126647</v>
      </c>
      <c r="H102" s="8">
        <v>124899</v>
      </c>
      <c r="I102">
        <f t="shared" si="246"/>
        <v>6.8590790994497519</v>
      </c>
    </row>
    <row r="103" spans="1:58" x14ac:dyDescent="0.25">
      <c r="A103">
        <v>25</v>
      </c>
      <c r="B103" s="10" t="s">
        <v>116</v>
      </c>
      <c r="C103">
        <v>545029</v>
      </c>
      <c r="D103" s="8">
        <v>545029</v>
      </c>
      <c r="F103" s="8">
        <v>78863</v>
      </c>
      <c r="G103">
        <v>146319</v>
      </c>
      <c r="H103" s="8">
        <v>147921</v>
      </c>
      <c r="I103">
        <f t="shared" si="246"/>
        <v>6.9110863142411523</v>
      </c>
    </row>
    <row r="104" spans="1:58" x14ac:dyDescent="0.25">
      <c r="A104">
        <v>26</v>
      </c>
      <c r="B104" s="10" t="s">
        <v>117</v>
      </c>
      <c r="C104">
        <v>440088</v>
      </c>
      <c r="D104" s="8">
        <v>440541</v>
      </c>
      <c r="F104" s="8">
        <v>65666</v>
      </c>
      <c r="G104">
        <v>143473</v>
      </c>
      <c r="H104" s="8">
        <v>148035</v>
      </c>
      <c r="I104">
        <f t="shared" si="246"/>
        <v>6.7088143026832761</v>
      </c>
    </row>
    <row r="108" spans="1:58" x14ac:dyDescent="0.25">
      <c r="A108" t="s">
        <v>119</v>
      </c>
    </row>
    <row r="109" spans="1:58" x14ac:dyDescent="0.25">
      <c r="A109" t="s">
        <v>120</v>
      </c>
    </row>
    <row r="110" spans="1:58" x14ac:dyDescent="0.25">
      <c r="A110" t="s">
        <v>2</v>
      </c>
    </row>
    <row r="111" spans="1:58" x14ac:dyDescent="0.25">
      <c r="A111" t="s">
        <v>4</v>
      </c>
    </row>
    <row r="112" spans="1:58" x14ac:dyDescent="0.25">
      <c r="A112" s="1"/>
      <c r="B112" s="2"/>
      <c r="C112" t="s">
        <v>8</v>
      </c>
      <c r="E112" t="s">
        <v>9</v>
      </c>
      <c r="F112" s="8"/>
      <c r="G112" t="s">
        <v>6</v>
      </c>
      <c r="H112" s="8"/>
      <c r="I112" s="63" t="s">
        <v>210</v>
      </c>
    </row>
    <row r="113" spans="1:9" x14ac:dyDescent="0.25">
      <c r="A113" s="5" t="s">
        <v>11</v>
      </c>
      <c r="B113" s="6" t="s">
        <v>12</v>
      </c>
      <c r="C113" s="7" t="s">
        <v>16</v>
      </c>
      <c r="D113" s="6" t="s">
        <v>17</v>
      </c>
      <c r="E113" s="7" t="s">
        <v>18</v>
      </c>
      <c r="F113" s="6" t="s">
        <v>19</v>
      </c>
      <c r="G113" s="7" t="s">
        <v>14</v>
      </c>
      <c r="H113" s="6" t="s">
        <v>15</v>
      </c>
      <c r="I113" s="23" t="s">
        <v>211</v>
      </c>
    </row>
    <row r="114" spans="1:9" x14ac:dyDescent="0.25">
      <c r="A114">
        <v>1</v>
      </c>
      <c r="B114" s="4" t="s">
        <v>121</v>
      </c>
      <c r="D114" s="4">
        <v>15880</v>
      </c>
      <c r="F114" s="4"/>
      <c r="H114" s="64">
        <v>66842</v>
      </c>
    </row>
    <row r="115" spans="1:9" x14ac:dyDescent="0.25">
      <c r="A115">
        <v>2</v>
      </c>
      <c r="B115" s="8" t="s">
        <v>122</v>
      </c>
      <c r="D115" s="8">
        <v>24957</v>
      </c>
      <c r="F115" s="8"/>
      <c r="G115">
        <v>257615</v>
      </c>
      <c r="H115" s="65">
        <v>258956</v>
      </c>
    </row>
    <row r="116" spans="1:9" x14ac:dyDescent="0.25">
      <c r="A116">
        <v>3</v>
      </c>
      <c r="B116" s="8" t="s">
        <v>123</v>
      </c>
      <c r="C116">
        <v>387228</v>
      </c>
      <c r="D116" s="8">
        <v>387228</v>
      </c>
      <c r="F116" s="8">
        <v>58783</v>
      </c>
      <c r="G116">
        <v>433475</v>
      </c>
      <c r="H116" s="8">
        <v>433210</v>
      </c>
      <c r="I116">
        <f t="shared" ref="I116:I139" si="292">D116/F116</f>
        <v>6.5874147287481071</v>
      </c>
    </row>
    <row r="117" spans="1:9" x14ac:dyDescent="0.25">
      <c r="A117">
        <v>4</v>
      </c>
      <c r="B117" s="8" t="s">
        <v>124</v>
      </c>
      <c r="C117">
        <v>369283</v>
      </c>
      <c r="D117" s="8">
        <v>369283</v>
      </c>
      <c r="F117" s="8">
        <v>54144</v>
      </c>
      <c r="G117">
        <v>618660</v>
      </c>
      <c r="H117" s="8">
        <v>616216</v>
      </c>
      <c r="I117">
        <f t="shared" si="292"/>
        <v>6.8203863770685578</v>
      </c>
    </row>
    <row r="118" spans="1:9" x14ac:dyDescent="0.25">
      <c r="A118">
        <v>5</v>
      </c>
      <c r="B118" s="8" t="s">
        <v>125</v>
      </c>
      <c r="C118">
        <v>1914527</v>
      </c>
      <c r="D118" s="8">
        <v>1914527</v>
      </c>
      <c r="E118">
        <v>287527</v>
      </c>
      <c r="F118" s="8">
        <v>287527</v>
      </c>
      <c r="G118">
        <v>582537</v>
      </c>
      <c r="H118" s="8">
        <v>579625</v>
      </c>
      <c r="I118">
        <f t="shared" si="292"/>
        <v>6.6585990185269557</v>
      </c>
    </row>
    <row r="119" spans="1:9" x14ac:dyDescent="0.25">
      <c r="A119">
        <v>6</v>
      </c>
      <c r="B119" s="8" t="s">
        <v>126</v>
      </c>
      <c r="C119">
        <v>2044957</v>
      </c>
      <c r="D119" s="8">
        <v>2039245</v>
      </c>
      <c r="E119">
        <v>300311</v>
      </c>
      <c r="F119" s="8">
        <v>301209</v>
      </c>
      <c r="G119">
        <v>140113</v>
      </c>
      <c r="H119" s="8">
        <v>141087</v>
      </c>
      <c r="I119">
        <f t="shared" si="292"/>
        <v>6.7701994296319166</v>
      </c>
    </row>
    <row r="120" spans="1:9" x14ac:dyDescent="0.25">
      <c r="A120">
        <v>7</v>
      </c>
      <c r="B120" s="8" t="s">
        <v>127</v>
      </c>
      <c r="C120">
        <v>4260749</v>
      </c>
      <c r="D120" s="8">
        <v>4252537</v>
      </c>
      <c r="E120">
        <v>637012</v>
      </c>
      <c r="F120" s="8">
        <v>637012</v>
      </c>
      <c r="G120">
        <v>586570</v>
      </c>
      <c r="H120" s="8">
        <v>585610</v>
      </c>
      <c r="I120">
        <f t="shared" si="292"/>
        <v>6.6757565006624677</v>
      </c>
    </row>
    <row r="121" spans="1:9" x14ac:dyDescent="0.25">
      <c r="A121">
        <v>8</v>
      </c>
      <c r="B121" s="8" t="s">
        <v>128</v>
      </c>
      <c r="C121">
        <v>4619125</v>
      </c>
      <c r="D121" s="8">
        <v>4610723</v>
      </c>
      <c r="E121">
        <v>690732</v>
      </c>
      <c r="F121" s="8">
        <v>690732</v>
      </c>
      <c r="G121">
        <v>541864</v>
      </c>
      <c r="H121" s="8">
        <v>541864</v>
      </c>
      <c r="I121">
        <f t="shared" si="292"/>
        <v>6.6751258085625107</v>
      </c>
    </row>
    <row r="122" spans="1:9" x14ac:dyDescent="0.25">
      <c r="A122">
        <v>9</v>
      </c>
      <c r="B122" s="6" t="s">
        <v>129</v>
      </c>
      <c r="C122" s="7"/>
      <c r="D122" s="6">
        <v>105093</v>
      </c>
      <c r="E122" s="7"/>
      <c r="F122" s="6"/>
      <c r="G122" s="7">
        <v>760465</v>
      </c>
      <c r="H122" s="66">
        <v>758785</v>
      </c>
    </row>
    <row r="123" spans="1:9" x14ac:dyDescent="0.25">
      <c r="A123">
        <v>10</v>
      </c>
      <c r="B123" s="10" t="s">
        <v>130</v>
      </c>
      <c r="C123">
        <v>2289482</v>
      </c>
      <c r="D123" s="8">
        <v>2287282</v>
      </c>
      <c r="E123">
        <v>347571</v>
      </c>
      <c r="F123" s="8">
        <v>347571</v>
      </c>
      <c r="G123">
        <v>415536</v>
      </c>
      <c r="H123" s="8">
        <v>411565</v>
      </c>
      <c r="I123">
        <f t="shared" si="292"/>
        <v>6.5807619162703448</v>
      </c>
    </row>
    <row r="124" spans="1:9" x14ac:dyDescent="0.25">
      <c r="A124">
        <v>11</v>
      </c>
      <c r="B124" s="10" t="s">
        <v>131</v>
      </c>
      <c r="C124">
        <v>2168216</v>
      </c>
      <c r="D124" s="8">
        <v>2168216</v>
      </c>
      <c r="E124">
        <v>324966</v>
      </c>
      <c r="F124" s="8">
        <v>325270</v>
      </c>
      <c r="G124">
        <v>252761</v>
      </c>
      <c r="H124" s="8">
        <v>254359</v>
      </c>
      <c r="I124">
        <f t="shared" si="292"/>
        <v>6.6658960248409018</v>
      </c>
    </row>
    <row r="125" spans="1:9" x14ac:dyDescent="0.25">
      <c r="A125">
        <v>12</v>
      </c>
      <c r="B125" s="10" t="s">
        <v>132</v>
      </c>
      <c r="C125">
        <v>2430899</v>
      </c>
      <c r="D125" s="8">
        <v>2424455</v>
      </c>
      <c r="E125">
        <v>368191</v>
      </c>
      <c r="F125" s="8">
        <v>368191</v>
      </c>
      <c r="G125">
        <v>647942</v>
      </c>
      <c r="H125" s="8">
        <v>647086</v>
      </c>
      <c r="I125">
        <f t="shared" si="292"/>
        <v>6.5847752932581187</v>
      </c>
    </row>
    <row r="126" spans="1:9" x14ac:dyDescent="0.25">
      <c r="A126" s="7">
        <v>13</v>
      </c>
      <c r="B126" s="20" t="s">
        <v>133</v>
      </c>
      <c r="C126" s="7">
        <v>2770487</v>
      </c>
      <c r="D126" s="6">
        <v>2767769</v>
      </c>
      <c r="E126" s="7">
        <v>410263</v>
      </c>
      <c r="F126" s="6">
        <v>411032</v>
      </c>
      <c r="G126" s="7">
        <v>616703</v>
      </c>
      <c r="H126" s="6">
        <v>615079</v>
      </c>
      <c r="I126">
        <f t="shared" si="292"/>
        <v>6.733706864672337</v>
      </c>
    </row>
    <row r="127" spans="1:9" x14ac:dyDescent="0.25">
      <c r="A127">
        <v>14</v>
      </c>
      <c r="B127" s="10" t="s">
        <v>135</v>
      </c>
      <c r="C127">
        <v>238332</v>
      </c>
      <c r="D127" s="8">
        <v>239617</v>
      </c>
      <c r="F127" s="8">
        <v>35258</v>
      </c>
      <c r="G127">
        <v>323078</v>
      </c>
      <c r="H127" s="8">
        <v>323078</v>
      </c>
      <c r="I127">
        <f t="shared" si="292"/>
        <v>6.796103012082364</v>
      </c>
    </row>
    <row r="128" spans="1:9" x14ac:dyDescent="0.25">
      <c r="A128">
        <v>15</v>
      </c>
      <c r="B128" s="10" t="s">
        <v>136</v>
      </c>
      <c r="D128" s="8">
        <v>53381</v>
      </c>
      <c r="F128" s="8"/>
      <c r="G128">
        <v>659269</v>
      </c>
      <c r="H128" s="8">
        <v>656531</v>
      </c>
    </row>
    <row r="129" spans="1:9" x14ac:dyDescent="0.25">
      <c r="A129">
        <v>16</v>
      </c>
      <c r="B129" s="10" t="s">
        <v>137</v>
      </c>
      <c r="C129">
        <v>2244300</v>
      </c>
      <c r="D129" s="8">
        <v>2239511</v>
      </c>
      <c r="E129">
        <v>337853</v>
      </c>
      <c r="F129" s="8">
        <v>337853</v>
      </c>
      <c r="G129">
        <v>273275</v>
      </c>
      <c r="H129" s="8">
        <v>273275</v>
      </c>
      <c r="I129">
        <f t="shared" si="292"/>
        <v>6.6286550659606398</v>
      </c>
    </row>
    <row r="130" spans="1:9" x14ac:dyDescent="0.25">
      <c r="A130">
        <v>17</v>
      </c>
      <c r="B130" s="10" t="s">
        <v>138</v>
      </c>
      <c r="C130">
        <v>1850022</v>
      </c>
      <c r="D130" s="8">
        <v>1846720</v>
      </c>
      <c r="E130">
        <v>272939</v>
      </c>
      <c r="F130" s="8">
        <v>274660</v>
      </c>
      <c r="G130">
        <v>192917</v>
      </c>
      <c r="H130" s="8">
        <v>192917</v>
      </c>
      <c r="I130">
        <f t="shared" si="292"/>
        <v>6.7236583412218742</v>
      </c>
    </row>
    <row r="131" spans="1:9" x14ac:dyDescent="0.25">
      <c r="A131">
        <v>18</v>
      </c>
      <c r="B131" s="10" t="s">
        <v>139</v>
      </c>
      <c r="C131">
        <v>2084957</v>
      </c>
      <c r="D131" s="8">
        <v>2082174</v>
      </c>
      <c r="E131">
        <v>81800</v>
      </c>
      <c r="F131" s="8">
        <v>311155</v>
      </c>
      <c r="G131">
        <v>912281</v>
      </c>
      <c r="H131" s="8">
        <v>912281</v>
      </c>
      <c r="I131">
        <f t="shared" si="292"/>
        <v>6.6917581269785158</v>
      </c>
    </row>
    <row r="132" spans="1:9" x14ac:dyDescent="0.25">
      <c r="A132" s="7">
        <v>19</v>
      </c>
      <c r="B132" s="20" t="s">
        <v>140</v>
      </c>
      <c r="C132" s="7">
        <v>2181819</v>
      </c>
      <c r="D132" s="6">
        <v>2181819</v>
      </c>
      <c r="E132" s="7">
        <v>321609</v>
      </c>
      <c r="F132" s="6">
        <v>321609</v>
      </c>
      <c r="G132" s="7">
        <v>985562</v>
      </c>
      <c r="H132" s="6">
        <v>985562</v>
      </c>
      <c r="I132">
        <f t="shared" si="292"/>
        <v>6.7840732069065233</v>
      </c>
    </row>
    <row r="133" spans="1:9" x14ac:dyDescent="0.25">
      <c r="A133" s="7">
        <v>20</v>
      </c>
      <c r="B133" s="2" t="s">
        <v>134</v>
      </c>
      <c r="C133" s="21"/>
      <c r="D133" s="2">
        <v>95715</v>
      </c>
      <c r="E133" s="21"/>
      <c r="F133" s="2"/>
      <c r="G133" s="21">
        <v>817504</v>
      </c>
      <c r="H133" s="67">
        <v>812153</v>
      </c>
    </row>
    <row r="134" spans="1:9" x14ac:dyDescent="0.25">
      <c r="A134">
        <v>21</v>
      </c>
      <c r="B134" s="10" t="s">
        <v>141</v>
      </c>
      <c r="C134">
        <v>155631</v>
      </c>
      <c r="D134" s="8">
        <v>156682</v>
      </c>
      <c r="F134" s="8">
        <v>23900</v>
      </c>
      <c r="G134">
        <v>332839</v>
      </c>
      <c r="H134" s="8">
        <v>332839</v>
      </c>
      <c r="I134">
        <f t="shared" si="292"/>
        <v>6.5557322175732216</v>
      </c>
    </row>
    <row r="135" spans="1:9" x14ac:dyDescent="0.25">
      <c r="A135">
        <v>22</v>
      </c>
      <c r="B135" s="10" t="s">
        <v>142</v>
      </c>
      <c r="D135" s="8">
        <v>31295</v>
      </c>
      <c r="F135" s="8"/>
      <c r="G135">
        <v>474556</v>
      </c>
      <c r="H135" s="8">
        <v>474556</v>
      </c>
    </row>
    <row r="136" spans="1:9" x14ac:dyDescent="0.25">
      <c r="A136">
        <v>23</v>
      </c>
      <c r="B136" s="10" t="s">
        <v>143</v>
      </c>
      <c r="C136">
        <v>1905470</v>
      </c>
      <c r="D136" s="8">
        <v>1899653</v>
      </c>
      <c r="E136">
        <v>287476</v>
      </c>
      <c r="F136" s="8">
        <v>287831</v>
      </c>
      <c r="G136">
        <v>523655</v>
      </c>
      <c r="H136" s="8">
        <v>523655</v>
      </c>
      <c r="I136">
        <f t="shared" si="292"/>
        <v>6.5998902133543638</v>
      </c>
    </row>
    <row r="137" spans="1:9" x14ac:dyDescent="0.25">
      <c r="A137">
        <v>24</v>
      </c>
      <c r="B137" s="10" t="s">
        <v>144</v>
      </c>
      <c r="C137">
        <v>1871546</v>
      </c>
      <c r="D137" s="8">
        <v>1871546</v>
      </c>
      <c r="E137">
        <v>283997</v>
      </c>
      <c r="F137" s="8">
        <v>284569</v>
      </c>
      <c r="G137">
        <v>610927</v>
      </c>
      <c r="H137" s="8">
        <v>609151</v>
      </c>
      <c r="I137">
        <f t="shared" si="292"/>
        <v>6.5767739985732812</v>
      </c>
    </row>
    <row r="138" spans="1:9" x14ac:dyDescent="0.25">
      <c r="A138">
        <v>25</v>
      </c>
      <c r="B138" s="10" t="s">
        <v>145</v>
      </c>
      <c r="C138">
        <v>1597957</v>
      </c>
      <c r="D138" s="8">
        <v>1597957</v>
      </c>
      <c r="E138">
        <v>239411</v>
      </c>
      <c r="F138" s="8">
        <v>239509</v>
      </c>
      <c r="G138">
        <v>585725</v>
      </c>
      <c r="H138" s="8">
        <v>585333</v>
      </c>
      <c r="I138">
        <f t="shared" si="292"/>
        <v>6.6718035647929721</v>
      </c>
    </row>
    <row r="139" spans="1:9" x14ac:dyDescent="0.25">
      <c r="A139">
        <v>26</v>
      </c>
      <c r="B139" s="10" t="s">
        <v>146</v>
      </c>
      <c r="C139">
        <v>1863148</v>
      </c>
      <c r="D139" s="8">
        <v>1860703</v>
      </c>
      <c r="E139">
        <v>274244</v>
      </c>
      <c r="F139" s="8">
        <v>275397</v>
      </c>
      <c r="G139">
        <v>579331</v>
      </c>
      <c r="H139" s="8">
        <v>579331</v>
      </c>
      <c r="I139">
        <f t="shared" si="292"/>
        <v>6.7564388864076221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4376-D157-4BEF-9A97-5CE6F9E790FD}">
  <dimension ref="A1:AN107"/>
  <sheetViews>
    <sheetView topLeftCell="L1" zoomScale="70" zoomScaleNormal="70" workbookViewId="0">
      <selection activeCell="AJ17" sqref="AJ17:AL17"/>
    </sheetView>
  </sheetViews>
  <sheetFormatPr baseColWidth="10" defaultRowHeight="15" x14ac:dyDescent="0.25"/>
  <cols>
    <col min="2" max="2" width="34.42578125" bestFit="1" customWidth="1"/>
    <col min="8" max="8" width="12.140625" bestFit="1" customWidth="1"/>
    <col min="9" max="9" width="28.140625" bestFit="1" customWidth="1"/>
    <col min="16" max="16" width="28.5703125" bestFit="1" customWidth="1"/>
    <col min="19" max="19" width="13.5703125" bestFit="1" customWidth="1"/>
    <col min="20" max="20" width="13" customWidth="1"/>
    <col min="21" max="21" width="14.140625" bestFit="1" customWidth="1"/>
    <col min="22" max="22" width="14.140625" customWidth="1"/>
    <col min="23" max="25" width="15.42578125" customWidth="1"/>
    <col min="27" max="27" width="12" bestFit="1" customWidth="1"/>
    <col min="28" max="28" width="14.140625" bestFit="1" customWidth="1"/>
  </cols>
  <sheetData>
    <row r="1" spans="1:40" x14ac:dyDescent="0.25">
      <c r="P1" s="62" t="s">
        <v>204</v>
      </c>
      <c r="Q1" s="62" t="s">
        <v>205</v>
      </c>
      <c r="W1" s="24" t="s">
        <v>191</v>
      </c>
      <c r="X1" s="24" t="s">
        <v>169</v>
      </c>
      <c r="Y1" s="24" t="s">
        <v>170</v>
      </c>
      <c r="Z1" s="24" t="s">
        <v>171</v>
      </c>
      <c r="AB1" s="35" t="s">
        <v>172</v>
      </c>
      <c r="AC1" s="38" t="s">
        <v>173</v>
      </c>
      <c r="AD1" s="39" t="s">
        <v>174</v>
      </c>
    </row>
    <row r="2" spans="1:40" x14ac:dyDescent="0.25">
      <c r="P2" s="62"/>
      <c r="Q2" s="62" t="s">
        <v>206</v>
      </c>
      <c r="W2" t="s">
        <v>192</v>
      </c>
      <c r="X2">
        <v>8</v>
      </c>
      <c r="Y2">
        <v>16</v>
      </c>
      <c r="Z2">
        <v>8</v>
      </c>
      <c r="AB2" s="36" t="s">
        <v>169</v>
      </c>
      <c r="AC2">
        <v>0.84619619254318934</v>
      </c>
      <c r="AD2">
        <v>0.42</v>
      </c>
    </row>
    <row r="3" spans="1:40" x14ac:dyDescent="0.25">
      <c r="P3" s="62"/>
      <c r="Q3" s="62" t="s">
        <v>207</v>
      </c>
      <c r="W3" t="s">
        <v>193</v>
      </c>
      <c r="X3">
        <v>8</v>
      </c>
      <c r="Y3">
        <v>6</v>
      </c>
      <c r="Z3">
        <v>6</v>
      </c>
      <c r="AB3" s="36" t="s">
        <v>170</v>
      </c>
      <c r="AC3">
        <v>7.0055729566073852</v>
      </c>
      <c r="AD3">
        <v>1.92</v>
      </c>
    </row>
    <row r="4" spans="1:40" x14ac:dyDescent="0.25">
      <c r="I4" s="16" t="s">
        <v>178</v>
      </c>
      <c r="P4" s="62" t="s">
        <v>208</v>
      </c>
      <c r="Q4" s="62" t="s">
        <v>209</v>
      </c>
      <c r="W4" t="s">
        <v>194</v>
      </c>
      <c r="X4">
        <f>SUM(X2:X3)</f>
        <v>16</v>
      </c>
      <c r="Y4">
        <f t="shared" ref="Y4:Z4" si="0">SUM(Y2:Y3)</f>
        <v>22</v>
      </c>
      <c r="Z4">
        <f t="shared" si="0"/>
        <v>14</v>
      </c>
      <c r="AB4" s="37" t="s">
        <v>171</v>
      </c>
      <c r="AC4">
        <v>1.6951303050475979</v>
      </c>
      <c r="AD4">
        <v>0.73</v>
      </c>
      <c r="AJ4" t="s">
        <v>179</v>
      </c>
      <c r="AL4" s="28" t="s">
        <v>180</v>
      </c>
      <c r="AM4" s="3"/>
      <c r="AN4" s="3"/>
    </row>
    <row r="5" spans="1:40" x14ac:dyDescent="0.25">
      <c r="A5" t="s">
        <v>60</v>
      </c>
      <c r="W5" s="56" t="s">
        <v>195</v>
      </c>
      <c r="X5" s="57">
        <f>X4/X3</f>
        <v>2</v>
      </c>
      <c r="Y5" s="57">
        <f t="shared" ref="Y5:Z5" si="1">Y4/Y3</f>
        <v>3.6666666666666665</v>
      </c>
      <c r="Z5" s="57">
        <f t="shared" si="1"/>
        <v>2.3333333333333335</v>
      </c>
      <c r="AJ5" t="s">
        <v>181</v>
      </c>
      <c r="AL5" s="1" t="s">
        <v>169</v>
      </c>
      <c r="AM5" s="34" t="s">
        <v>170</v>
      </c>
      <c r="AN5" s="21" t="s">
        <v>171</v>
      </c>
    </row>
    <row r="6" spans="1:40" x14ac:dyDescent="0.25">
      <c r="A6" t="s">
        <v>61</v>
      </c>
      <c r="X6" s="57" t="s">
        <v>196</v>
      </c>
      <c r="Y6" s="57"/>
      <c r="AJ6" s="28" t="s">
        <v>182</v>
      </c>
      <c r="AK6" s="33" t="s">
        <v>183</v>
      </c>
      <c r="AL6">
        <v>0.85650532927000167</v>
      </c>
      <c r="AM6">
        <v>12.04512787214817</v>
      </c>
      <c r="AN6">
        <v>1.8842111244640576</v>
      </c>
    </row>
    <row r="7" spans="1:40" x14ac:dyDescent="0.25">
      <c r="A7" t="s">
        <v>2</v>
      </c>
      <c r="T7" s="30" t="s">
        <v>160</v>
      </c>
      <c r="V7" t="s">
        <v>197</v>
      </c>
      <c r="Z7" s="9" t="s">
        <v>168</v>
      </c>
      <c r="AD7" s="26" t="s">
        <v>177</v>
      </c>
      <c r="AE7" s="4" t="s">
        <v>176</v>
      </c>
      <c r="AH7" t="s">
        <v>201</v>
      </c>
      <c r="AJ7" s="41"/>
      <c r="AK7" s="42" t="s">
        <v>184</v>
      </c>
      <c r="AL7">
        <v>0.84619619254318934</v>
      </c>
      <c r="AM7">
        <v>7.0055729566073852</v>
      </c>
      <c r="AN7">
        <v>1.6951303050475979</v>
      </c>
    </row>
    <row r="8" spans="1:40" x14ac:dyDescent="0.25">
      <c r="A8" t="s">
        <v>4</v>
      </c>
      <c r="I8" s="28" t="s">
        <v>147</v>
      </c>
      <c r="J8" s="3" t="s">
        <v>148</v>
      </c>
      <c r="K8" s="3" t="s">
        <v>149</v>
      </c>
      <c r="L8" s="3" t="s">
        <v>150</v>
      </c>
      <c r="M8" s="4" t="s">
        <v>151</v>
      </c>
      <c r="P8" s="27" t="s">
        <v>155</v>
      </c>
      <c r="Q8" s="26" t="s">
        <v>148</v>
      </c>
      <c r="R8" s="3" t="s">
        <v>149</v>
      </c>
      <c r="S8" s="3" t="s">
        <v>150</v>
      </c>
      <c r="T8" s="22" t="s">
        <v>156</v>
      </c>
      <c r="U8" s="3" t="s">
        <v>161</v>
      </c>
      <c r="V8" s="3" t="s">
        <v>198</v>
      </c>
      <c r="W8" s="4" t="s">
        <v>163</v>
      </c>
      <c r="X8" s="31" t="s">
        <v>165</v>
      </c>
      <c r="Y8" s="32"/>
      <c r="Z8" s="3" t="s">
        <v>173</v>
      </c>
      <c r="AA8" s="4"/>
      <c r="AB8" s="3" t="s">
        <v>174</v>
      </c>
      <c r="AC8" s="3"/>
      <c r="AD8" s="53" t="s">
        <v>175</v>
      </c>
      <c r="AH8" t="s">
        <v>202</v>
      </c>
    </row>
    <row r="9" spans="1:40" ht="15.75" thickBot="1" x14ac:dyDescent="0.3">
      <c r="A9" s="1"/>
      <c r="B9" s="2"/>
      <c r="C9" s="3" t="s">
        <v>8</v>
      </c>
      <c r="D9" s="3"/>
      <c r="E9" s="22" t="s">
        <v>9</v>
      </c>
      <c r="I9" s="5" t="s">
        <v>154</v>
      </c>
      <c r="J9" s="7" t="s">
        <v>17</v>
      </c>
      <c r="K9" s="7" t="s">
        <v>152</v>
      </c>
      <c r="L9" s="7" t="s">
        <v>153</v>
      </c>
      <c r="M9" s="6" t="s">
        <v>152</v>
      </c>
      <c r="P9" s="23" t="s">
        <v>154</v>
      </c>
      <c r="Q9" s="7" t="s">
        <v>17</v>
      </c>
      <c r="R9" s="7" t="s">
        <v>152</v>
      </c>
      <c r="S9" s="7" t="s">
        <v>153</v>
      </c>
      <c r="T9" s="23" t="s">
        <v>157</v>
      </c>
      <c r="U9" s="7" t="s">
        <v>162</v>
      </c>
      <c r="V9" s="7" t="s">
        <v>199</v>
      </c>
      <c r="W9" s="6" t="s">
        <v>164</v>
      </c>
      <c r="X9" s="58" t="s">
        <v>166</v>
      </c>
      <c r="Y9" s="58" t="s">
        <v>167</v>
      </c>
      <c r="Z9" s="5" t="s">
        <v>159</v>
      </c>
      <c r="AA9" s="6" t="s">
        <v>158</v>
      </c>
      <c r="AB9" s="7" t="s">
        <v>159</v>
      </c>
      <c r="AC9" s="7" t="s">
        <v>158</v>
      </c>
      <c r="AD9" s="5" t="s">
        <v>158</v>
      </c>
      <c r="AE9" s="6" t="s">
        <v>158</v>
      </c>
      <c r="AJ9" t="s">
        <v>185</v>
      </c>
      <c r="AL9" s="26" t="s">
        <v>169</v>
      </c>
      <c r="AM9" s="22" t="s">
        <v>170</v>
      </c>
      <c r="AN9" s="4" t="s">
        <v>171</v>
      </c>
    </row>
    <row r="10" spans="1:40" ht="15.75" thickBot="1" x14ac:dyDescent="0.3">
      <c r="A10" s="5" t="s">
        <v>11</v>
      </c>
      <c r="B10" s="6" t="s">
        <v>12</v>
      </c>
      <c r="C10" s="7" t="s">
        <v>16</v>
      </c>
      <c r="D10" s="7" t="s">
        <v>17</v>
      </c>
      <c r="E10" s="23" t="s">
        <v>19</v>
      </c>
      <c r="H10" s="25">
        <v>44421</v>
      </c>
      <c r="I10" s="13" t="s">
        <v>66</v>
      </c>
      <c r="J10" s="13">
        <v>74437</v>
      </c>
      <c r="K10">
        <v>0</v>
      </c>
      <c r="L10">
        <f>K10*5</f>
        <v>0</v>
      </c>
      <c r="M10">
        <f>L10</f>
        <v>0</v>
      </c>
      <c r="O10" s="25">
        <v>44421</v>
      </c>
      <c r="P10" s="8" t="s">
        <v>71</v>
      </c>
      <c r="Q10" s="8">
        <v>74542</v>
      </c>
      <c r="R10">
        <v>0</v>
      </c>
      <c r="S10" s="8">
        <f>R10*8</f>
        <v>0</v>
      </c>
      <c r="T10" s="10">
        <f>(Q10-76796.113)/679231.184</f>
        <v>-3.3186241343124163E-3</v>
      </c>
      <c r="U10">
        <f>IF(T10&lt;0,0,T10)</f>
        <v>0</v>
      </c>
      <c r="V10">
        <v>9</v>
      </c>
      <c r="W10" s="8">
        <f>U10*V10</f>
        <v>0</v>
      </c>
      <c r="Y10" s="8">
        <f>U10*$X$4</f>
        <v>0</v>
      </c>
      <c r="Z10">
        <f>U10*$AC$2</f>
        <v>0</v>
      </c>
      <c r="AA10" s="8">
        <f>Z10*20</f>
        <v>0</v>
      </c>
      <c r="AB10">
        <f>U10*$AD$2</f>
        <v>0</v>
      </c>
      <c r="AC10" s="8">
        <f>AB10*20</f>
        <v>0</v>
      </c>
      <c r="AD10" s="54">
        <f>S10-Y10-AA10</f>
        <v>0</v>
      </c>
      <c r="AE10" s="54">
        <f>S10-Y10-AC10</f>
        <v>0</v>
      </c>
      <c r="AH10">
        <f>AA10+Y10</f>
        <v>0</v>
      </c>
      <c r="AJ10" t="s">
        <v>186</v>
      </c>
      <c r="AK10" s="43" t="s">
        <v>187</v>
      </c>
      <c r="AL10" s="44">
        <v>2.8500000000000001E-2</v>
      </c>
      <c r="AM10" s="44">
        <v>9.5299999999999996E-2</v>
      </c>
      <c r="AN10" s="45">
        <v>8.2000000000000007E-3</v>
      </c>
    </row>
    <row r="11" spans="1:40" x14ac:dyDescent="0.25">
      <c r="A11">
        <v>1</v>
      </c>
      <c r="B11" s="4" t="s">
        <v>66</v>
      </c>
      <c r="C11">
        <v>0</v>
      </c>
      <c r="D11" s="8">
        <v>74437</v>
      </c>
      <c r="E11" s="8">
        <v>0</v>
      </c>
      <c r="I11" s="13" t="s">
        <v>67</v>
      </c>
      <c r="J11" s="13">
        <v>106760</v>
      </c>
      <c r="K11">
        <v>0</v>
      </c>
      <c r="L11">
        <f t="shared" ref="L11:L42" si="2">K11*5</f>
        <v>0</v>
      </c>
      <c r="M11">
        <f t="shared" ref="M11:M20" si="3">L11</f>
        <v>0</v>
      </c>
      <c r="P11" s="6" t="s">
        <v>72</v>
      </c>
      <c r="Q11" s="23">
        <v>161777</v>
      </c>
      <c r="R11" s="7">
        <v>0</v>
      </c>
      <c r="S11" s="6">
        <f t="shared" ref="S11:S25" si="4">R11*8</f>
        <v>0</v>
      </c>
      <c r="T11" s="20">
        <f t="shared" ref="T11:T25" si="5">(Q11-76796.113)/679231.184</f>
        <v>0.12511334726940335</v>
      </c>
      <c r="U11" s="7">
        <f>IF(T11&lt;0,0,T11)</f>
        <v>0.12511334726940335</v>
      </c>
      <c r="V11" s="7">
        <v>8.6999999999999993</v>
      </c>
      <c r="W11" s="6">
        <f>U11*V11</f>
        <v>1.0884861212438091</v>
      </c>
      <c r="X11" s="7"/>
      <c r="Y11" s="6">
        <f>U11*$X$4</f>
        <v>2.0018135563104535</v>
      </c>
      <c r="Z11" s="5">
        <f t="shared" ref="Z11:Z31" si="6">U11*$AC$2</f>
        <v>0.10587043809570294</v>
      </c>
      <c r="AA11" s="6">
        <f t="shared" ref="AA11:AC61" si="7">Z11*20</f>
        <v>2.1174087619140587</v>
      </c>
      <c r="AB11" s="5">
        <f t="shared" ref="AB11:AB31" si="8">U11*$AD$2</f>
        <v>5.2547605853149403E-2</v>
      </c>
      <c r="AC11" s="6">
        <f t="shared" si="7"/>
        <v>1.0509521170629881</v>
      </c>
      <c r="AD11" s="55">
        <f t="shared" ref="AD11:AD61" si="9">S11-Y11-AA11</f>
        <v>-4.1192223182245122</v>
      </c>
      <c r="AE11" s="55">
        <f t="shared" ref="AE11:AE61" si="10">S11-Y11-AC11</f>
        <v>-3.0527656733734414</v>
      </c>
      <c r="AH11">
        <f t="shared" ref="AH11:AH61" si="11">AA11+Y11</f>
        <v>4.1192223182245122</v>
      </c>
      <c r="AJ11" s="46" t="s">
        <v>188</v>
      </c>
      <c r="AK11" s="47">
        <v>426.57951880159294</v>
      </c>
      <c r="AL11">
        <f>$AK$11*AL10</f>
        <v>12.1575162858454</v>
      </c>
      <c r="AM11">
        <f>$AK$11*AM10</f>
        <v>40.653028141791808</v>
      </c>
      <c r="AN11">
        <f>$AK$11*AN10</f>
        <v>3.4979520541730622</v>
      </c>
    </row>
    <row r="12" spans="1:40" ht="15.75" thickBot="1" x14ac:dyDescent="0.3">
      <c r="A12">
        <v>2</v>
      </c>
      <c r="B12" s="8" t="s">
        <v>67</v>
      </c>
      <c r="C12">
        <v>0</v>
      </c>
      <c r="D12" s="8">
        <v>106760</v>
      </c>
      <c r="E12" s="8">
        <v>15856</v>
      </c>
      <c r="I12" s="13" t="s">
        <v>62</v>
      </c>
      <c r="J12" s="13">
        <v>350796</v>
      </c>
      <c r="K12">
        <v>0.1</v>
      </c>
      <c r="L12">
        <f t="shared" si="2"/>
        <v>0.5</v>
      </c>
      <c r="M12">
        <f t="shared" si="3"/>
        <v>0.5</v>
      </c>
      <c r="P12" s="8" t="s">
        <v>73</v>
      </c>
      <c r="Q12" s="8">
        <v>159672</v>
      </c>
      <c r="R12">
        <v>0</v>
      </c>
      <c r="S12" s="8">
        <f t="shared" si="4"/>
        <v>0</v>
      </c>
      <c r="T12" s="10">
        <f t="shared" si="5"/>
        <v>0.12201425516411508</v>
      </c>
      <c r="U12">
        <f t="shared" ref="U12:U61" si="12">IF(T12&lt;0,0,T12)</f>
        <v>0.12201425516411508</v>
      </c>
      <c r="V12">
        <v>9.1999999999999993</v>
      </c>
      <c r="W12" s="8">
        <f t="shared" ref="W12:W61" si="13">U12*V12</f>
        <v>1.1225311475098587</v>
      </c>
      <c r="Y12" s="8">
        <f>U12*$X$4</f>
        <v>1.9522280826258414</v>
      </c>
      <c r="Z12">
        <f>U12*$AC$2</f>
        <v>0.10324799815586737</v>
      </c>
      <c r="AA12" s="8">
        <f>Z12*20</f>
        <v>2.0649599631173472</v>
      </c>
      <c r="AB12">
        <f t="shared" si="8"/>
        <v>5.1245987168928336E-2</v>
      </c>
      <c r="AC12" s="8">
        <f t="shared" si="7"/>
        <v>1.0249197433785668</v>
      </c>
      <c r="AD12" s="54">
        <f>S12-Y12-AA12</f>
        <v>-4.0171880457431888</v>
      </c>
      <c r="AE12" s="54">
        <f t="shared" si="10"/>
        <v>-2.9771478260044084</v>
      </c>
      <c r="AH12">
        <f t="shared" si="11"/>
        <v>4.0171880457431888</v>
      </c>
      <c r="AJ12" s="48" t="s">
        <v>189</v>
      </c>
      <c r="AK12" s="49">
        <v>77.624711662869217</v>
      </c>
      <c r="AL12" s="3">
        <f>$AK$12*AL10</f>
        <v>2.2123042823917727</v>
      </c>
      <c r="AM12" s="3">
        <f>$AK$12*AM10</f>
        <v>7.3976350214714364</v>
      </c>
      <c r="AN12" s="3">
        <f>$AK$12*AN10</f>
        <v>0.63652263563552758</v>
      </c>
    </row>
    <row r="13" spans="1:40" ht="15.75" thickBot="1" x14ac:dyDescent="0.3">
      <c r="A13">
        <v>3</v>
      </c>
      <c r="B13" s="8" t="s">
        <v>62</v>
      </c>
      <c r="C13">
        <v>349590</v>
      </c>
      <c r="D13" s="8">
        <v>350796</v>
      </c>
      <c r="E13" s="8">
        <v>53442</v>
      </c>
      <c r="I13" s="13" t="s">
        <v>63</v>
      </c>
      <c r="J13" s="13">
        <v>286253</v>
      </c>
      <c r="K13">
        <v>0.1</v>
      </c>
      <c r="L13">
        <f t="shared" si="2"/>
        <v>0.5</v>
      </c>
      <c r="M13">
        <f t="shared" si="3"/>
        <v>0.5</v>
      </c>
      <c r="P13" s="8" t="s">
        <v>74</v>
      </c>
      <c r="Q13" s="8">
        <v>3716147</v>
      </c>
      <c r="R13">
        <v>12.5</v>
      </c>
      <c r="S13" s="8">
        <f t="shared" si="4"/>
        <v>100</v>
      </c>
      <c r="T13" s="10">
        <f t="shared" si="5"/>
        <v>5.3580444666392113</v>
      </c>
      <c r="U13">
        <f t="shared" si="12"/>
        <v>5.3580444666392113</v>
      </c>
      <c r="V13">
        <v>8.1</v>
      </c>
      <c r="W13" s="8">
        <f t="shared" si="13"/>
        <v>43.400160179777608</v>
      </c>
      <c r="Y13" s="8">
        <f t="shared" ref="Y13:Y25" si="14">U13*$X$4</f>
        <v>85.728711466227381</v>
      </c>
      <c r="Z13">
        <f t="shared" si="6"/>
        <v>4.5339568271472039</v>
      </c>
      <c r="AA13" s="8">
        <f t="shared" si="7"/>
        <v>90.679136542944079</v>
      </c>
      <c r="AB13">
        <f t="shared" si="8"/>
        <v>2.2503786759884687</v>
      </c>
      <c r="AC13" s="8">
        <f>AB13*20</f>
        <v>45.007573519769373</v>
      </c>
      <c r="AD13" s="54">
        <f>S13-Y13-AA13</f>
        <v>-76.40784800917146</v>
      </c>
      <c r="AE13" s="54">
        <f>S13-Y13-AC13</f>
        <v>-30.736284985996754</v>
      </c>
      <c r="AH13">
        <f t="shared" si="11"/>
        <v>176.40784800917146</v>
      </c>
      <c r="AJ13" s="50" t="s">
        <v>190</v>
      </c>
      <c r="AK13" s="51">
        <f>AVERAGE(AK11:AK12)</f>
        <v>252.10211523223109</v>
      </c>
      <c r="AL13" s="52">
        <f t="shared" ref="AL13:AN13" si="15">AVERAGE(AL11:AL12)</f>
        <v>7.1849102841185868</v>
      </c>
      <c r="AM13" s="52">
        <f t="shared" si="15"/>
        <v>24.025331581631622</v>
      </c>
      <c r="AN13" s="51">
        <f t="shared" si="15"/>
        <v>2.0672373449042949</v>
      </c>
    </row>
    <row r="14" spans="1:40" x14ac:dyDescent="0.25">
      <c r="A14">
        <v>4</v>
      </c>
      <c r="B14" s="8" t="s">
        <v>63</v>
      </c>
      <c r="C14">
        <v>286253</v>
      </c>
      <c r="D14" s="8">
        <v>286253</v>
      </c>
      <c r="E14" s="8">
        <v>42659</v>
      </c>
      <c r="I14" s="13" t="s">
        <v>64</v>
      </c>
      <c r="J14" s="13">
        <v>2047550</v>
      </c>
      <c r="K14">
        <v>0.5</v>
      </c>
      <c r="L14">
        <f t="shared" si="2"/>
        <v>2.5</v>
      </c>
      <c r="M14">
        <f t="shared" si="3"/>
        <v>2.5</v>
      </c>
      <c r="P14" s="8" t="s">
        <v>75</v>
      </c>
      <c r="Q14" s="8">
        <v>2829348</v>
      </c>
      <c r="R14">
        <v>12.5</v>
      </c>
      <c r="S14" s="8">
        <f t="shared" si="4"/>
        <v>100</v>
      </c>
      <c r="T14" s="10">
        <f t="shared" si="5"/>
        <v>4.0524521721605762</v>
      </c>
      <c r="U14">
        <f t="shared" si="12"/>
        <v>4.0524521721605762</v>
      </c>
      <c r="V14">
        <v>8.1</v>
      </c>
      <c r="W14" s="8">
        <f t="shared" si="13"/>
        <v>32.824862594500665</v>
      </c>
      <c r="Y14" s="8">
        <f t="shared" si="14"/>
        <v>64.839234754569219</v>
      </c>
      <c r="Z14">
        <f t="shared" si="6"/>
        <v>3.4291695985456569</v>
      </c>
      <c r="AA14" s="8">
        <f t="shared" si="7"/>
        <v>68.583391970913141</v>
      </c>
      <c r="AB14">
        <f t="shared" si="8"/>
        <v>1.7020299123074418</v>
      </c>
      <c r="AC14" s="8">
        <f t="shared" si="7"/>
        <v>34.040598246148839</v>
      </c>
      <c r="AD14" s="54">
        <f t="shared" si="9"/>
        <v>-33.42262672548236</v>
      </c>
      <c r="AE14" s="54">
        <f t="shared" si="10"/>
        <v>1.1201669992819419</v>
      </c>
      <c r="AH14">
        <f t="shared" si="11"/>
        <v>133.42262672548236</v>
      </c>
    </row>
    <row r="15" spans="1:40" x14ac:dyDescent="0.25">
      <c r="A15">
        <v>5</v>
      </c>
      <c r="B15" s="8" t="s">
        <v>64</v>
      </c>
      <c r="C15">
        <v>2057396</v>
      </c>
      <c r="D15" s="8">
        <v>2047550</v>
      </c>
      <c r="E15" s="8">
        <v>309392</v>
      </c>
      <c r="I15" s="13" t="s">
        <v>65</v>
      </c>
      <c r="J15" s="13">
        <v>1640308</v>
      </c>
      <c r="K15">
        <v>0.5</v>
      </c>
      <c r="L15">
        <f t="shared" si="2"/>
        <v>2.5</v>
      </c>
      <c r="M15">
        <f t="shared" si="3"/>
        <v>2.5</v>
      </c>
      <c r="P15" s="8" t="s">
        <v>76</v>
      </c>
      <c r="Q15" s="8">
        <v>1709465</v>
      </c>
      <c r="R15">
        <v>12.5</v>
      </c>
      <c r="S15" s="8">
        <f t="shared" si="4"/>
        <v>100</v>
      </c>
      <c r="T15" s="10">
        <f t="shared" si="5"/>
        <v>2.403701310333243</v>
      </c>
      <c r="U15">
        <f t="shared" si="12"/>
        <v>2.403701310333243</v>
      </c>
      <c r="V15">
        <v>8.6</v>
      </c>
      <c r="W15" s="8">
        <f t="shared" si="13"/>
        <v>20.671831268865887</v>
      </c>
      <c r="Y15" s="8">
        <f t="shared" si="14"/>
        <v>38.459220965331887</v>
      </c>
      <c r="Z15">
        <f t="shared" si="6"/>
        <v>2.0340028968150654</v>
      </c>
      <c r="AA15" s="8">
        <f t="shared" si="7"/>
        <v>40.68005793630131</v>
      </c>
      <c r="AB15">
        <f t="shared" si="8"/>
        <v>1.0095545503399621</v>
      </c>
      <c r="AC15" s="8">
        <f t="shared" si="7"/>
        <v>20.19109100679924</v>
      </c>
      <c r="AD15" s="54">
        <f t="shared" si="9"/>
        <v>20.860721098366803</v>
      </c>
      <c r="AE15" s="54">
        <f t="shared" si="10"/>
        <v>41.349688027868872</v>
      </c>
      <c r="AH15">
        <f t="shared" si="11"/>
        <v>79.13927890163319</v>
      </c>
      <c r="AK15">
        <v>2.2123042823917727</v>
      </c>
      <c r="AL15">
        <v>7.3976350214714364</v>
      </c>
      <c r="AM15">
        <v>0.63652263563552758</v>
      </c>
    </row>
    <row r="16" spans="1:40" ht="15.75" thickBot="1" x14ac:dyDescent="0.3">
      <c r="A16">
        <v>6</v>
      </c>
      <c r="B16" s="8" t="s">
        <v>65</v>
      </c>
      <c r="C16">
        <v>1651055</v>
      </c>
      <c r="D16" s="8">
        <v>1640308</v>
      </c>
      <c r="E16" s="8">
        <v>244612</v>
      </c>
      <c r="I16" s="29" t="s">
        <v>68</v>
      </c>
      <c r="J16" s="29">
        <v>8429272</v>
      </c>
      <c r="K16" s="16">
        <v>1.5</v>
      </c>
      <c r="L16" s="16">
        <f t="shared" si="2"/>
        <v>7.5</v>
      </c>
      <c r="M16" s="16">
        <f t="shared" si="3"/>
        <v>7.5</v>
      </c>
      <c r="P16" s="8" t="s">
        <v>77</v>
      </c>
      <c r="Q16" s="8">
        <v>2483082</v>
      </c>
      <c r="R16">
        <v>12.5</v>
      </c>
      <c r="S16" s="8">
        <f t="shared" si="4"/>
        <v>100</v>
      </c>
      <c r="T16" s="10">
        <f t="shared" si="5"/>
        <v>3.5426610904837372</v>
      </c>
      <c r="U16">
        <f t="shared" si="12"/>
        <v>3.5426610904837372</v>
      </c>
      <c r="V16">
        <v>8.6</v>
      </c>
      <c r="W16" s="8">
        <f t="shared" si="13"/>
        <v>30.466885378160139</v>
      </c>
      <c r="Y16" s="8">
        <f t="shared" si="14"/>
        <v>56.682577447739796</v>
      </c>
      <c r="Z16">
        <f t="shared" si="6"/>
        <v>2.9977863262382418</v>
      </c>
      <c r="AA16" s="8">
        <f t="shared" si="7"/>
        <v>59.955726524764835</v>
      </c>
      <c r="AB16">
        <f t="shared" si="8"/>
        <v>1.4879176580031697</v>
      </c>
      <c r="AC16" s="8">
        <f t="shared" si="7"/>
        <v>29.758353160063393</v>
      </c>
      <c r="AD16" s="54">
        <f t="shared" si="9"/>
        <v>-16.63830397250463</v>
      </c>
      <c r="AE16" s="54">
        <f t="shared" si="10"/>
        <v>13.559069392196811</v>
      </c>
      <c r="AH16">
        <f t="shared" si="11"/>
        <v>116.63830397250463</v>
      </c>
    </row>
    <row r="17" spans="1:38" ht="15.75" thickBot="1" x14ac:dyDescent="0.3">
      <c r="A17">
        <v>7</v>
      </c>
      <c r="B17" s="8" t="s">
        <v>68</v>
      </c>
      <c r="C17">
        <v>8464427</v>
      </c>
      <c r="D17" s="8">
        <v>8429272</v>
      </c>
      <c r="E17" s="8">
        <v>1265166</v>
      </c>
      <c r="I17" s="13" t="s">
        <v>69</v>
      </c>
      <c r="J17" s="13">
        <v>4934748</v>
      </c>
      <c r="K17">
        <v>1.5</v>
      </c>
      <c r="L17">
        <f t="shared" si="2"/>
        <v>7.5</v>
      </c>
      <c r="M17">
        <f t="shared" si="3"/>
        <v>7.5</v>
      </c>
      <c r="P17" s="8" t="s">
        <v>78</v>
      </c>
      <c r="Q17" s="8">
        <v>2553685</v>
      </c>
      <c r="R17">
        <v>12.5</v>
      </c>
      <c r="S17" s="8">
        <f t="shared" si="4"/>
        <v>100</v>
      </c>
      <c r="T17" s="10">
        <f t="shared" si="5"/>
        <v>3.6466065536237218</v>
      </c>
      <c r="U17">
        <f t="shared" si="12"/>
        <v>3.6466065536237218</v>
      </c>
      <c r="V17">
        <v>8.9</v>
      </c>
      <c r="W17" s="8">
        <f t="shared" si="13"/>
        <v>32.454798327251126</v>
      </c>
      <c r="Y17" s="8">
        <f t="shared" si="14"/>
        <v>58.345704857979548</v>
      </c>
      <c r="Z17">
        <f t="shared" si="6"/>
        <v>3.0857445813794349</v>
      </c>
      <c r="AA17" s="8">
        <f>Z17*20</f>
        <v>61.714891627588699</v>
      </c>
      <c r="AB17">
        <f t="shared" si="8"/>
        <v>1.5315747525219632</v>
      </c>
      <c r="AC17" s="8">
        <f>AB17*20</f>
        <v>30.631495050439263</v>
      </c>
      <c r="AD17" s="54">
        <f>S17-Y17-AA17</f>
        <v>-20.060596485568247</v>
      </c>
      <c r="AE17" s="54">
        <f>S17-Y17-AC17</f>
        <v>11.022800091581189</v>
      </c>
      <c r="AF17" t="s">
        <v>200</v>
      </c>
      <c r="AH17">
        <f t="shared" si="11"/>
        <v>120.06059648556825</v>
      </c>
      <c r="AJ17" s="129">
        <v>0.49919999999999998</v>
      </c>
      <c r="AK17" s="129">
        <v>7.0110000000000001</v>
      </c>
      <c r="AL17" s="130">
        <v>0.78349999999999997</v>
      </c>
    </row>
    <row r="18" spans="1:38" x14ac:dyDescent="0.25">
      <c r="A18">
        <v>8</v>
      </c>
      <c r="B18" s="8" t="s">
        <v>69</v>
      </c>
      <c r="C18">
        <v>4968377</v>
      </c>
      <c r="D18" s="8">
        <v>4934748</v>
      </c>
      <c r="E18" s="8">
        <v>735822</v>
      </c>
      <c r="I18" s="13" t="s">
        <v>70</v>
      </c>
      <c r="J18" s="13">
        <v>196373</v>
      </c>
      <c r="K18">
        <v>0</v>
      </c>
      <c r="L18">
        <f t="shared" si="2"/>
        <v>0</v>
      </c>
      <c r="M18">
        <f t="shared" si="3"/>
        <v>0</v>
      </c>
      <c r="P18" s="6" t="s">
        <v>79</v>
      </c>
      <c r="Q18" s="23">
        <v>2840796</v>
      </c>
      <c r="R18" s="7">
        <v>12.5</v>
      </c>
      <c r="S18" s="6">
        <f t="shared" si="4"/>
        <v>100</v>
      </c>
      <c r="T18" s="20">
        <f t="shared" si="5"/>
        <v>4.0693065220044433</v>
      </c>
      <c r="U18" s="7">
        <f t="shared" si="12"/>
        <v>4.0693065220044433</v>
      </c>
      <c r="V18" s="7">
        <v>8.9</v>
      </c>
      <c r="W18" s="6">
        <f t="shared" si="13"/>
        <v>36.216828045839549</v>
      </c>
      <c r="X18" s="7"/>
      <c r="Y18" s="6">
        <f t="shared" si="14"/>
        <v>65.108904352071093</v>
      </c>
      <c r="Z18" s="5">
        <f t="shared" si="6"/>
        <v>3.443431685211328</v>
      </c>
      <c r="AA18" s="6">
        <f t="shared" si="7"/>
        <v>68.868633704226568</v>
      </c>
      <c r="AB18" s="5">
        <f t="shared" si="8"/>
        <v>1.7091087392418662</v>
      </c>
      <c r="AC18" s="6">
        <f t="shared" si="7"/>
        <v>34.182174784837322</v>
      </c>
      <c r="AD18" s="55">
        <f t="shared" si="9"/>
        <v>-33.977538056297661</v>
      </c>
      <c r="AE18" s="55">
        <f>S18-Y18-AC18</f>
        <v>0.70892086309158486</v>
      </c>
      <c r="AF18" s="54">
        <f>AVERAGE(AD13:AD18)</f>
        <v>-26.60769869177626</v>
      </c>
      <c r="AG18" s="54">
        <f>AVERAGE(AE13:AE18)</f>
        <v>6.1707267313372745</v>
      </c>
      <c r="AH18">
        <f t="shared" si="11"/>
        <v>133.97753805629765</v>
      </c>
    </row>
    <row r="19" spans="1:38" x14ac:dyDescent="0.25">
      <c r="A19" s="7">
        <v>9</v>
      </c>
      <c r="B19" s="6" t="s">
        <v>70</v>
      </c>
      <c r="C19" s="7">
        <v>196373</v>
      </c>
      <c r="D19" s="6">
        <v>196373</v>
      </c>
      <c r="E19" s="6">
        <v>29737</v>
      </c>
      <c r="I19" s="13" t="s">
        <v>87</v>
      </c>
      <c r="J19" s="13">
        <v>5374327</v>
      </c>
      <c r="K19">
        <v>1.5</v>
      </c>
      <c r="L19">
        <f t="shared" si="2"/>
        <v>7.5</v>
      </c>
      <c r="M19">
        <f t="shared" si="3"/>
        <v>7.5</v>
      </c>
      <c r="P19" s="8" t="s">
        <v>80</v>
      </c>
      <c r="Q19" s="8">
        <v>352166</v>
      </c>
      <c r="R19">
        <v>0</v>
      </c>
      <c r="S19" s="8">
        <f t="shared" si="4"/>
        <v>0</v>
      </c>
      <c r="T19" s="10">
        <f t="shared" si="5"/>
        <v>0.40541408210727847</v>
      </c>
      <c r="U19">
        <f t="shared" si="12"/>
        <v>0.40541408210727847</v>
      </c>
      <c r="V19" s="14">
        <v>10.5</v>
      </c>
      <c r="W19" s="8">
        <f t="shared" si="13"/>
        <v>4.2568478621264241</v>
      </c>
      <c r="Y19" s="8">
        <f t="shared" si="14"/>
        <v>6.4866253137164556</v>
      </c>
      <c r="Z19">
        <f t="shared" si="6"/>
        <v>0.343059852682571</v>
      </c>
      <c r="AA19" s="8">
        <f t="shared" si="7"/>
        <v>6.86119705365142</v>
      </c>
      <c r="AB19">
        <f t="shared" si="8"/>
        <v>0.17027391448505697</v>
      </c>
      <c r="AC19" s="8">
        <f t="shared" si="7"/>
        <v>3.4054782897011391</v>
      </c>
      <c r="AD19" s="54">
        <f t="shared" si="9"/>
        <v>-13.347822367367876</v>
      </c>
      <c r="AE19" s="54">
        <f t="shared" si="10"/>
        <v>-9.8921036034175955</v>
      </c>
      <c r="AH19">
        <f t="shared" si="11"/>
        <v>13.347822367367876</v>
      </c>
    </row>
    <row r="20" spans="1:38" x14ac:dyDescent="0.25">
      <c r="A20">
        <v>10</v>
      </c>
      <c r="B20" s="8" t="s">
        <v>71</v>
      </c>
      <c r="C20" s="14">
        <v>0</v>
      </c>
      <c r="D20" s="8">
        <v>74542</v>
      </c>
      <c r="E20" s="8">
        <v>0</v>
      </c>
      <c r="I20" s="13" t="s">
        <v>88</v>
      </c>
      <c r="J20" s="13">
        <v>20264</v>
      </c>
      <c r="K20">
        <v>0</v>
      </c>
      <c r="L20">
        <f t="shared" si="2"/>
        <v>0</v>
      </c>
      <c r="M20">
        <f t="shared" si="3"/>
        <v>0</v>
      </c>
      <c r="P20" s="8" t="s">
        <v>81</v>
      </c>
      <c r="Q20" s="8">
        <v>2172556</v>
      </c>
      <c r="R20">
        <v>12.5</v>
      </c>
      <c r="S20" s="8">
        <f t="shared" si="4"/>
        <v>100</v>
      </c>
      <c r="T20" s="10">
        <f t="shared" si="5"/>
        <v>3.0854883232216266</v>
      </c>
      <c r="U20">
        <f t="shared" si="12"/>
        <v>3.0854883232216266</v>
      </c>
      <c r="V20" s="14">
        <v>10.7</v>
      </c>
      <c r="W20" s="8">
        <f t="shared" si="13"/>
        <v>33.014725058471399</v>
      </c>
      <c r="Y20" s="8">
        <f t="shared" si="14"/>
        <v>49.367813171546025</v>
      </c>
      <c r="Z20">
        <f t="shared" si="6"/>
        <v>2.6109284712466101</v>
      </c>
      <c r="AA20" s="8">
        <f t="shared" si="7"/>
        <v>52.218569424932198</v>
      </c>
      <c r="AB20">
        <f t="shared" si="8"/>
        <v>1.2959050957530831</v>
      </c>
      <c r="AC20" s="8">
        <f t="shared" si="7"/>
        <v>25.918101915061662</v>
      </c>
      <c r="AD20" s="54">
        <f t="shared" si="9"/>
        <v>-1.5863825964782237</v>
      </c>
      <c r="AE20" s="54">
        <f t="shared" si="10"/>
        <v>24.714084913392313</v>
      </c>
      <c r="AH20">
        <f t="shared" si="11"/>
        <v>101.58638259647822</v>
      </c>
    </row>
    <row r="21" spans="1:38" x14ac:dyDescent="0.25">
      <c r="A21">
        <v>11</v>
      </c>
      <c r="B21" s="8" t="s">
        <v>87</v>
      </c>
      <c r="C21">
        <v>5413381</v>
      </c>
      <c r="D21" s="8">
        <v>5374327</v>
      </c>
      <c r="E21" s="8">
        <v>806425</v>
      </c>
      <c r="P21" s="8" t="s">
        <v>82</v>
      </c>
      <c r="Q21" s="8">
        <v>1894244</v>
      </c>
      <c r="R21">
        <v>12.5</v>
      </c>
      <c r="S21" s="8">
        <f t="shared" si="4"/>
        <v>100</v>
      </c>
      <c r="T21" s="10">
        <f t="shared" si="5"/>
        <v>2.6757427070662883</v>
      </c>
      <c r="U21">
        <f t="shared" si="12"/>
        <v>2.6757427070662883</v>
      </c>
      <c r="V21" s="14">
        <v>10.7</v>
      </c>
      <c r="W21" s="8">
        <f t="shared" si="13"/>
        <v>28.630446965609284</v>
      </c>
      <c r="Y21" s="8">
        <f t="shared" si="14"/>
        <v>42.811883313060612</v>
      </c>
      <c r="Z21">
        <f t="shared" si="6"/>
        <v>2.2642032909446996</v>
      </c>
      <c r="AA21" s="8">
        <f t="shared" si="7"/>
        <v>45.284065818893993</v>
      </c>
      <c r="AB21">
        <f t="shared" si="8"/>
        <v>1.123811936967841</v>
      </c>
      <c r="AC21" s="8">
        <f t="shared" si="7"/>
        <v>22.47623873935682</v>
      </c>
      <c r="AD21" s="54">
        <f t="shared" si="9"/>
        <v>11.904050868045395</v>
      </c>
      <c r="AE21" s="54">
        <f t="shared" si="10"/>
        <v>34.711877947582565</v>
      </c>
      <c r="AH21">
        <f t="shared" si="11"/>
        <v>88.095949131954598</v>
      </c>
    </row>
    <row r="22" spans="1:38" x14ac:dyDescent="0.25">
      <c r="A22" s="7">
        <v>12</v>
      </c>
      <c r="B22" s="6" t="s">
        <v>72</v>
      </c>
      <c r="C22" s="7">
        <v>158891</v>
      </c>
      <c r="D22" s="6">
        <v>161777</v>
      </c>
      <c r="E22" s="6">
        <v>22775</v>
      </c>
      <c r="H22" s="25">
        <v>44424</v>
      </c>
      <c r="I22" s="13" t="s">
        <v>93</v>
      </c>
      <c r="J22" s="13">
        <v>17881</v>
      </c>
      <c r="K22">
        <v>0</v>
      </c>
      <c r="L22">
        <f t="shared" si="2"/>
        <v>0</v>
      </c>
      <c r="M22">
        <f>L22</f>
        <v>0</v>
      </c>
      <c r="P22" s="8" t="s">
        <v>83</v>
      </c>
      <c r="Q22" s="8">
        <v>2928756</v>
      </c>
      <c r="R22">
        <v>12.5</v>
      </c>
      <c r="S22" s="8">
        <f t="shared" si="4"/>
        <v>100</v>
      </c>
      <c r="T22" s="10">
        <f t="shared" si="5"/>
        <v>4.1988058766748262</v>
      </c>
      <c r="U22">
        <f t="shared" si="12"/>
        <v>4.1988058766748262</v>
      </c>
      <c r="V22" s="14">
        <v>10.1</v>
      </c>
      <c r="W22" s="8">
        <f t="shared" si="13"/>
        <v>42.407939354415745</v>
      </c>
      <c r="Y22" s="8">
        <f t="shared" si="14"/>
        <v>67.180894026797219</v>
      </c>
      <c r="Z22">
        <f t="shared" si="6"/>
        <v>3.5530135460702059</v>
      </c>
      <c r="AA22" s="8">
        <f t="shared" si="7"/>
        <v>71.060270921404111</v>
      </c>
      <c r="AB22">
        <f t="shared" si="8"/>
        <v>1.7634984682034269</v>
      </c>
      <c r="AC22" s="8">
        <f t="shared" si="7"/>
        <v>35.269969364068537</v>
      </c>
      <c r="AD22" s="54">
        <f t="shared" si="9"/>
        <v>-38.24116494820133</v>
      </c>
      <c r="AE22" s="54">
        <f t="shared" si="10"/>
        <v>-2.4508633908657558</v>
      </c>
      <c r="AH22">
        <f t="shared" si="11"/>
        <v>138.24116494820134</v>
      </c>
    </row>
    <row r="23" spans="1:38" x14ac:dyDescent="0.25">
      <c r="A23">
        <v>13</v>
      </c>
      <c r="B23" s="8" t="s">
        <v>73</v>
      </c>
      <c r="C23">
        <v>0</v>
      </c>
      <c r="D23" s="8">
        <v>159672</v>
      </c>
      <c r="E23" s="8">
        <v>23746</v>
      </c>
      <c r="I23" s="13" t="s">
        <v>94</v>
      </c>
      <c r="J23" s="13">
        <v>29907</v>
      </c>
      <c r="K23">
        <v>0</v>
      </c>
      <c r="L23">
        <f t="shared" si="2"/>
        <v>0</v>
      </c>
      <c r="M23">
        <f t="shared" ref="M23:M31" si="16">L23</f>
        <v>0</v>
      </c>
      <c r="P23" s="8" t="s">
        <v>84</v>
      </c>
      <c r="Q23" s="8">
        <v>3412430</v>
      </c>
      <c r="R23">
        <v>12.5</v>
      </c>
      <c r="S23" s="8">
        <f t="shared" si="4"/>
        <v>100</v>
      </c>
      <c r="T23" s="10">
        <f t="shared" si="5"/>
        <v>4.9108962685670807</v>
      </c>
      <c r="U23">
        <f t="shared" si="12"/>
        <v>4.9108962685670807</v>
      </c>
      <c r="V23" s="14">
        <v>10.1</v>
      </c>
      <c r="W23" s="8">
        <f t="shared" si="13"/>
        <v>49.600052312527517</v>
      </c>
      <c r="Y23" s="8">
        <f>U23*$X$4</f>
        <v>78.574340297073292</v>
      </c>
      <c r="Z23">
        <f t="shared" si="6"/>
        <v>4.1555817244360194</v>
      </c>
      <c r="AA23" s="8">
        <f t="shared" si="7"/>
        <v>83.111634488720384</v>
      </c>
      <c r="AB23">
        <f t="shared" si="8"/>
        <v>2.0625764327981737</v>
      </c>
      <c r="AC23" s="8">
        <f t="shared" si="7"/>
        <v>41.251528655963476</v>
      </c>
      <c r="AD23" s="54">
        <f t="shared" si="9"/>
        <v>-61.685974785793675</v>
      </c>
      <c r="AE23" s="54">
        <f t="shared" si="10"/>
        <v>-19.825868953036768</v>
      </c>
      <c r="AH23">
        <f t="shared" si="11"/>
        <v>161.68597478579369</v>
      </c>
    </row>
    <row r="24" spans="1:38" x14ac:dyDescent="0.25">
      <c r="A24">
        <v>14</v>
      </c>
      <c r="B24" s="8" t="s">
        <v>74</v>
      </c>
      <c r="C24">
        <v>3732609</v>
      </c>
      <c r="D24" s="8">
        <v>3716147</v>
      </c>
      <c r="E24" s="8">
        <v>551364</v>
      </c>
      <c r="I24" s="13" t="s">
        <v>95</v>
      </c>
      <c r="J24" s="13">
        <v>165906</v>
      </c>
      <c r="K24">
        <v>0.05</v>
      </c>
      <c r="L24">
        <f t="shared" si="2"/>
        <v>0.25</v>
      </c>
      <c r="M24">
        <f t="shared" si="16"/>
        <v>0.25</v>
      </c>
      <c r="P24" s="8" t="s">
        <v>85</v>
      </c>
      <c r="Q24" s="8">
        <v>2726658</v>
      </c>
      <c r="R24">
        <v>12.5</v>
      </c>
      <c r="S24" s="8">
        <f t="shared" si="4"/>
        <v>100</v>
      </c>
      <c r="T24" s="10">
        <f t="shared" si="5"/>
        <v>3.9012665340170836</v>
      </c>
      <c r="U24">
        <f t="shared" si="12"/>
        <v>3.9012665340170836</v>
      </c>
      <c r="V24" s="14">
        <v>11</v>
      </c>
      <c r="W24" s="8">
        <f t="shared" si="13"/>
        <v>42.913931874187917</v>
      </c>
      <c r="Y24" s="8">
        <f t="shared" si="14"/>
        <v>62.420264544273337</v>
      </c>
      <c r="Z24">
        <f t="shared" si="6"/>
        <v>3.3012368871814211</v>
      </c>
      <c r="AA24" s="8">
        <f t="shared" si="7"/>
        <v>66.024737743628421</v>
      </c>
      <c r="AB24">
        <f t="shared" si="8"/>
        <v>1.6385319442871751</v>
      </c>
      <c r="AC24" s="8">
        <f t="shared" si="7"/>
        <v>32.770638885743502</v>
      </c>
      <c r="AD24" s="54">
        <f t="shared" si="9"/>
        <v>-28.445002287901758</v>
      </c>
      <c r="AE24" s="54">
        <f t="shared" si="10"/>
        <v>4.8090965699831614</v>
      </c>
      <c r="AF24" t="s">
        <v>200</v>
      </c>
      <c r="AH24">
        <f t="shared" si="11"/>
        <v>128.44500228790176</v>
      </c>
    </row>
    <row r="25" spans="1:38" x14ac:dyDescent="0.25">
      <c r="A25">
        <v>15</v>
      </c>
      <c r="B25" s="8" t="s">
        <v>75</v>
      </c>
      <c r="C25">
        <v>2840501</v>
      </c>
      <c r="D25" s="8">
        <v>2829348</v>
      </c>
      <c r="E25" s="8">
        <v>425019</v>
      </c>
      <c r="I25" s="13" t="s">
        <v>96</v>
      </c>
      <c r="J25" s="13">
        <v>185386</v>
      </c>
      <c r="K25">
        <v>0.05</v>
      </c>
      <c r="L25">
        <f t="shared" si="2"/>
        <v>0.25</v>
      </c>
      <c r="M25">
        <f t="shared" si="16"/>
        <v>0.25</v>
      </c>
      <c r="P25" s="8" t="s">
        <v>86</v>
      </c>
      <c r="Q25" s="8">
        <v>4195581</v>
      </c>
      <c r="R25">
        <v>12.5</v>
      </c>
      <c r="S25" s="8">
        <f t="shared" si="4"/>
        <v>100</v>
      </c>
      <c r="T25" s="10">
        <f t="shared" si="5"/>
        <v>6.0638925067374414</v>
      </c>
      <c r="U25">
        <f t="shared" si="12"/>
        <v>6.0638925067374414</v>
      </c>
      <c r="V25" s="14">
        <v>11</v>
      </c>
      <c r="W25" s="8">
        <f t="shared" si="13"/>
        <v>66.702817574111862</v>
      </c>
      <c r="Y25" s="8">
        <f t="shared" si="14"/>
        <v>97.022280107799062</v>
      </c>
      <c r="Z25">
        <f t="shared" si="6"/>
        <v>5.1312427511923993</v>
      </c>
      <c r="AA25" s="8">
        <f t="shared" si="7"/>
        <v>102.62485502384799</v>
      </c>
      <c r="AB25">
        <f t="shared" si="8"/>
        <v>2.5468348528297251</v>
      </c>
      <c r="AC25" s="8">
        <f t="shared" si="7"/>
        <v>50.936697056594504</v>
      </c>
      <c r="AD25" s="54">
        <f t="shared" si="9"/>
        <v>-99.647135131647048</v>
      </c>
      <c r="AE25" s="54">
        <f t="shared" si="10"/>
        <v>-47.958977164393566</v>
      </c>
      <c r="AF25" s="54">
        <f>AVERAGE(AD20:AD25)</f>
        <v>-36.283601480329445</v>
      </c>
      <c r="AG25" s="54">
        <f>AVERAGE(AE20:AE25)</f>
        <v>-1.0001083462230085</v>
      </c>
      <c r="AH25">
        <f t="shared" si="11"/>
        <v>199.64713513164705</v>
      </c>
    </row>
    <row r="26" spans="1:38" x14ac:dyDescent="0.25">
      <c r="A26">
        <v>16</v>
      </c>
      <c r="B26" s="8" t="s">
        <v>76</v>
      </c>
      <c r="C26">
        <v>1713271</v>
      </c>
      <c r="D26" s="8">
        <v>1709465</v>
      </c>
      <c r="E26" s="8">
        <v>252374</v>
      </c>
      <c r="I26" s="13" t="s">
        <v>97</v>
      </c>
      <c r="J26" s="13">
        <v>1864943</v>
      </c>
      <c r="K26">
        <v>0.5</v>
      </c>
      <c r="L26">
        <f t="shared" si="2"/>
        <v>2.5</v>
      </c>
      <c r="M26">
        <f t="shared" si="16"/>
        <v>2.5</v>
      </c>
      <c r="R26" s="13"/>
      <c r="S26" s="13"/>
      <c r="T26" s="8"/>
      <c r="U26" s="13"/>
      <c r="V26" s="13"/>
      <c r="W26" s="13"/>
      <c r="X26" s="13"/>
      <c r="Y26" s="13"/>
      <c r="AA26" s="13"/>
      <c r="AC26" s="13"/>
      <c r="AD26" s="40"/>
      <c r="AE26" s="54"/>
      <c r="AH26">
        <f t="shared" si="11"/>
        <v>0</v>
      </c>
    </row>
    <row r="27" spans="1:38" x14ac:dyDescent="0.25">
      <c r="A27">
        <v>17</v>
      </c>
      <c r="B27" s="8" t="s">
        <v>77</v>
      </c>
      <c r="C27">
        <v>2483899</v>
      </c>
      <c r="D27" s="8">
        <v>2483082</v>
      </c>
      <c r="E27" s="8">
        <v>370702</v>
      </c>
      <c r="I27" s="13" t="s">
        <v>98</v>
      </c>
      <c r="J27" s="13">
        <v>1991144</v>
      </c>
      <c r="K27">
        <v>0.5</v>
      </c>
      <c r="L27">
        <f t="shared" si="2"/>
        <v>2.5</v>
      </c>
      <c r="M27">
        <f t="shared" si="16"/>
        <v>2.5</v>
      </c>
      <c r="R27" s="13"/>
      <c r="S27" s="13"/>
      <c r="T27" s="8"/>
      <c r="U27" s="13"/>
      <c r="V27" s="13"/>
      <c r="W27" s="13"/>
      <c r="X27" s="13"/>
      <c r="Y27" s="13"/>
      <c r="AA27" s="13"/>
      <c r="AC27" s="13"/>
      <c r="AD27" s="40"/>
      <c r="AE27" s="54"/>
      <c r="AH27">
        <f t="shared" si="11"/>
        <v>0</v>
      </c>
    </row>
    <row r="28" spans="1:38" x14ac:dyDescent="0.25">
      <c r="A28">
        <v>18</v>
      </c>
      <c r="B28" s="8" t="s">
        <v>78</v>
      </c>
      <c r="C28">
        <v>2569336</v>
      </c>
      <c r="D28" s="8">
        <v>2553685</v>
      </c>
      <c r="E28" s="8">
        <v>386763</v>
      </c>
      <c r="I28" s="29" t="s">
        <v>99</v>
      </c>
      <c r="J28" s="29">
        <v>4449364</v>
      </c>
      <c r="K28" s="16">
        <v>1</v>
      </c>
      <c r="L28" s="16">
        <f t="shared" si="2"/>
        <v>5</v>
      </c>
      <c r="M28" s="16">
        <f t="shared" si="16"/>
        <v>5</v>
      </c>
      <c r="O28" s="25">
        <v>44424</v>
      </c>
      <c r="P28" s="10" t="s">
        <v>102</v>
      </c>
      <c r="Q28" s="8">
        <v>2588454</v>
      </c>
      <c r="R28">
        <v>12.5</v>
      </c>
      <c r="S28" s="8">
        <f t="shared" ref="S28:S31" si="17">R28*8</f>
        <v>100</v>
      </c>
      <c r="T28" s="8">
        <f>(Q28-52870.69)/693980.552</f>
        <v>3.6536806437768878</v>
      </c>
      <c r="U28">
        <f t="shared" si="12"/>
        <v>3.6536806437768878</v>
      </c>
      <c r="V28" s="14">
        <v>9</v>
      </c>
      <c r="W28" s="8">
        <f t="shared" si="13"/>
        <v>32.883125793991994</v>
      </c>
      <c r="Y28" s="8">
        <f>U28*$X$4</f>
        <v>58.458890300430205</v>
      </c>
      <c r="Z28">
        <f t="shared" si="6"/>
        <v>3.0917306495327512</v>
      </c>
      <c r="AA28" s="8">
        <f t="shared" si="7"/>
        <v>61.834612990655025</v>
      </c>
      <c r="AB28">
        <f t="shared" si="8"/>
        <v>1.5345458703862929</v>
      </c>
      <c r="AC28" s="8">
        <f t="shared" si="7"/>
        <v>30.690917407725856</v>
      </c>
      <c r="AD28" s="54">
        <f t="shared" si="9"/>
        <v>-20.29350329108523</v>
      </c>
      <c r="AE28" s="54">
        <f t="shared" si="10"/>
        <v>10.850192291843939</v>
      </c>
      <c r="AH28">
        <f t="shared" si="11"/>
        <v>120.29350329108523</v>
      </c>
    </row>
    <row r="29" spans="1:38" x14ac:dyDescent="0.25">
      <c r="A29" s="7">
        <v>19</v>
      </c>
      <c r="B29" s="6" t="s">
        <v>79</v>
      </c>
      <c r="C29" s="7">
        <v>2848591</v>
      </c>
      <c r="D29" s="6">
        <v>2840796</v>
      </c>
      <c r="E29" s="6">
        <v>428125</v>
      </c>
      <c r="I29" s="13" t="s">
        <v>100</v>
      </c>
      <c r="J29" s="13">
        <v>3387624</v>
      </c>
      <c r="K29">
        <v>1</v>
      </c>
      <c r="L29">
        <f t="shared" si="2"/>
        <v>5</v>
      </c>
      <c r="M29">
        <f t="shared" si="16"/>
        <v>5</v>
      </c>
      <c r="P29" s="10" t="s">
        <v>103</v>
      </c>
      <c r="Q29" s="8">
        <v>3373853</v>
      </c>
      <c r="R29">
        <v>12.5</v>
      </c>
      <c r="S29" s="8">
        <f t="shared" si="17"/>
        <v>100</v>
      </c>
      <c r="T29" s="8">
        <f t="shared" ref="T29:T43" si="18">(Q29-52870.69)/693980.552</f>
        <v>4.7854112055866374</v>
      </c>
      <c r="U29">
        <f t="shared" si="12"/>
        <v>4.7854112055866374</v>
      </c>
      <c r="V29" s="14">
        <v>9</v>
      </c>
      <c r="W29" s="8">
        <f t="shared" si="13"/>
        <v>43.06870085027974</v>
      </c>
      <c r="Y29" s="8">
        <f t="shared" ref="Y29:Y31" si="19">U29*$X$4</f>
        <v>76.566579289386198</v>
      </c>
      <c r="Z29">
        <f t="shared" si="6"/>
        <v>4.0493967419209262</v>
      </c>
      <c r="AA29" s="8">
        <f t="shared" si="7"/>
        <v>80.987934838418525</v>
      </c>
      <c r="AB29">
        <f t="shared" si="8"/>
        <v>2.0098727063463877</v>
      </c>
      <c r="AC29" s="8">
        <f t="shared" si="7"/>
        <v>40.197454126927752</v>
      </c>
      <c r="AD29" s="54">
        <f t="shared" si="9"/>
        <v>-57.554514127804723</v>
      </c>
      <c r="AE29" s="54">
        <f t="shared" si="10"/>
        <v>-16.76403341631395</v>
      </c>
      <c r="AH29">
        <f t="shared" si="11"/>
        <v>157.55451412780474</v>
      </c>
    </row>
    <row r="30" spans="1:38" x14ac:dyDescent="0.25">
      <c r="A30">
        <v>20</v>
      </c>
      <c r="B30" s="8" t="s">
        <v>80</v>
      </c>
      <c r="C30">
        <v>351216</v>
      </c>
      <c r="D30" s="8">
        <v>352166</v>
      </c>
      <c r="E30" s="8">
        <v>52990</v>
      </c>
      <c r="I30" s="13" t="s">
        <v>101</v>
      </c>
      <c r="J30" s="13">
        <v>79262</v>
      </c>
      <c r="K30">
        <v>0</v>
      </c>
      <c r="L30">
        <f t="shared" si="2"/>
        <v>0</v>
      </c>
      <c r="M30">
        <f t="shared" si="16"/>
        <v>0</v>
      </c>
      <c r="P30" s="10" t="s">
        <v>104</v>
      </c>
      <c r="Q30" s="8">
        <v>1942122</v>
      </c>
      <c r="R30" s="13">
        <v>12.5</v>
      </c>
      <c r="S30" s="8">
        <f t="shared" si="17"/>
        <v>100</v>
      </c>
      <c r="T30" s="8">
        <f t="shared" si="18"/>
        <v>2.7223404237414424</v>
      </c>
      <c r="U30" s="13">
        <f t="shared" si="12"/>
        <v>2.7223404237414424</v>
      </c>
      <c r="V30" s="14">
        <v>8.6</v>
      </c>
      <c r="W30" s="8">
        <f t="shared" si="13"/>
        <v>23.412127644176405</v>
      </c>
      <c r="Y30" s="8">
        <f>U30*$X$4</f>
        <v>43.557446779863078</v>
      </c>
      <c r="Z30">
        <f t="shared" si="6"/>
        <v>2.3036341013764212</v>
      </c>
      <c r="AA30" s="8">
        <f t="shared" si="7"/>
        <v>46.072682027528423</v>
      </c>
      <c r="AB30">
        <f t="shared" si="8"/>
        <v>1.1433829779714058</v>
      </c>
      <c r="AC30" s="8">
        <f t="shared" si="7"/>
        <v>22.867659559428116</v>
      </c>
      <c r="AD30" s="54">
        <f t="shared" si="9"/>
        <v>10.3698711926085</v>
      </c>
      <c r="AE30" s="54">
        <f t="shared" si="10"/>
        <v>33.57489366070881</v>
      </c>
      <c r="AH30">
        <f t="shared" si="11"/>
        <v>89.6301288073915</v>
      </c>
    </row>
    <row r="31" spans="1:38" x14ac:dyDescent="0.25">
      <c r="A31">
        <v>21</v>
      </c>
      <c r="B31" s="8" t="s">
        <v>88</v>
      </c>
      <c r="D31" s="8">
        <v>20264</v>
      </c>
      <c r="E31" s="8"/>
      <c r="I31" s="13" t="s">
        <v>118</v>
      </c>
      <c r="J31" s="13">
        <v>40579</v>
      </c>
      <c r="K31">
        <v>0</v>
      </c>
      <c r="L31">
        <f t="shared" si="2"/>
        <v>0</v>
      </c>
      <c r="M31">
        <f t="shared" si="16"/>
        <v>0</v>
      </c>
      <c r="P31" s="20" t="s">
        <v>105</v>
      </c>
      <c r="Q31" s="23">
        <v>2174874</v>
      </c>
      <c r="R31" s="7">
        <v>12.5</v>
      </c>
      <c r="S31" s="6">
        <f t="shared" si="17"/>
        <v>100</v>
      </c>
      <c r="T31" s="6">
        <f t="shared" si="18"/>
        <v>3.0577273439213033</v>
      </c>
      <c r="U31" s="7">
        <f t="shared" si="12"/>
        <v>3.0577273439213033</v>
      </c>
      <c r="V31" s="7">
        <v>8.6</v>
      </c>
      <c r="W31" s="6">
        <f t="shared" si="13"/>
        <v>26.296455157723209</v>
      </c>
      <c r="X31" s="7"/>
      <c r="Y31" s="6">
        <f t="shared" si="19"/>
        <v>48.923637502740853</v>
      </c>
      <c r="Z31" s="5">
        <f t="shared" si="6"/>
        <v>2.587437236261406</v>
      </c>
      <c r="AA31" s="6">
        <f t="shared" si="7"/>
        <v>51.748744725228121</v>
      </c>
      <c r="AB31" s="5">
        <f t="shared" si="8"/>
        <v>1.2842454844469473</v>
      </c>
      <c r="AC31" s="6">
        <f t="shared" si="7"/>
        <v>25.684909688938944</v>
      </c>
      <c r="AD31" s="55">
        <f t="shared" si="9"/>
        <v>-0.67238222796897418</v>
      </c>
      <c r="AE31" s="55">
        <f t="shared" si="10"/>
        <v>25.391452808320203</v>
      </c>
      <c r="AH31">
        <f t="shared" si="11"/>
        <v>100.67238222796897</v>
      </c>
    </row>
    <row r="32" spans="1:38" x14ac:dyDescent="0.25">
      <c r="A32">
        <v>22</v>
      </c>
      <c r="B32" s="8" t="s">
        <v>81</v>
      </c>
      <c r="C32">
        <v>2185547</v>
      </c>
      <c r="D32" s="8">
        <v>2172556</v>
      </c>
      <c r="E32" s="8">
        <v>324387</v>
      </c>
      <c r="P32" s="10" t="s">
        <v>106</v>
      </c>
      <c r="Q32" s="8">
        <v>88960</v>
      </c>
      <c r="R32">
        <v>0</v>
      </c>
      <c r="S32" s="8">
        <f>R32*6</f>
        <v>0</v>
      </c>
      <c r="T32" s="8">
        <f t="shared" si="18"/>
        <v>5.2003344900650755E-2</v>
      </c>
      <c r="U32">
        <f t="shared" si="12"/>
        <v>5.2003344900650755E-2</v>
      </c>
      <c r="V32" s="14">
        <v>8.5</v>
      </c>
      <c r="W32" s="8">
        <f t="shared" si="13"/>
        <v>0.44202843165553141</v>
      </c>
      <c r="Y32" s="8">
        <f>U32*$Y$4</f>
        <v>1.1440735878143167</v>
      </c>
      <c r="Z32">
        <f>U32*$AC$3</f>
        <v>0.36431322668912552</v>
      </c>
      <c r="AA32" s="8">
        <f t="shared" si="7"/>
        <v>7.2862645337825107</v>
      </c>
      <c r="AB32">
        <f>U32*$AD$3</f>
        <v>9.9846422209249441E-2</v>
      </c>
      <c r="AC32" s="8">
        <f t="shared" si="7"/>
        <v>1.9969284441849888</v>
      </c>
      <c r="AD32" s="54">
        <f t="shared" si="9"/>
        <v>-8.4303381215968276</v>
      </c>
      <c r="AE32" s="54">
        <f t="shared" si="10"/>
        <v>-3.1410020319993057</v>
      </c>
      <c r="AH32">
        <f t="shared" si="11"/>
        <v>8.4303381215968276</v>
      </c>
    </row>
    <row r="33" spans="1:34" x14ac:dyDescent="0.25">
      <c r="A33">
        <v>23</v>
      </c>
      <c r="B33" s="8" t="s">
        <v>82</v>
      </c>
      <c r="C33">
        <v>1913623</v>
      </c>
      <c r="D33" s="8">
        <v>1894244</v>
      </c>
      <c r="E33" s="8">
        <v>284327</v>
      </c>
      <c r="H33" s="25">
        <v>44426</v>
      </c>
      <c r="I33" s="13" t="s">
        <v>121</v>
      </c>
      <c r="J33" s="13">
        <v>15880</v>
      </c>
      <c r="K33">
        <v>0</v>
      </c>
      <c r="L33">
        <f t="shared" si="2"/>
        <v>0</v>
      </c>
      <c r="M33">
        <f>L33</f>
        <v>0</v>
      </c>
      <c r="P33" s="10" t="s">
        <v>107</v>
      </c>
      <c r="Q33" s="8">
        <v>232604</v>
      </c>
      <c r="R33">
        <v>0</v>
      </c>
      <c r="S33" s="8">
        <f t="shared" ref="S33:S43" si="20">R33*6</f>
        <v>0</v>
      </c>
      <c r="T33" s="8">
        <f t="shared" si="18"/>
        <v>0.2589889723595597</v>
      </c>
      <c r="U33">
        <f t="shared" si="12"/>
        <v>0.2589889723595597</v>
      </c>
      <c r="V33" s="14">
        <v>8.9</v>
      </c>
      <c r="W33" s="8">
        <f t="shared" si="13"/>
        <v>2.3050018540000816</v>
      </c>
      <c r="Y33" s="8">
        <f>U33*$Y$4</f>
        <v>5.6977573919103133</v>
      </c>
      <c r="Z33">
        <f t="shared" ref="Z33:Z43" si="21">U33*$AC$3</f>
        <v>1.8143661408216689</v>
      </c>
      <c r="AA33" s="8">
        <f t="shared" si="7"/>
        <v>36.287322816433381</v>
      </c>
      <c r="AB33">
        <f t="shared" ref="AB33:AB43" si="22">U33*$AD$3</f>
        <v>0.49725882693035461</v>
      </c>
      <c r="AC33" s="8">
        <f t="shared" si="7"/>
        <v>9.9451765386070932</v>
      </c>
      <c r="AD33" s="54">
        <f t="shared" si="9"/>
        <v>-41.985080208343696</v>
      </c>
      <c r="AE33" s="54">
        <f t="shared" si="10"/>
        <v>-15.642933930517406</v>
      </c>
      <c r="AH33">
        <f t="shared" si="11"/>
        <v>41.985080208343696</v>
      </c>
    </row>
    <row r="34" spans="1:34" x14ac:dyDescent="0.25">
      <c r="A34">
        <v>24</v>
      </c>
      <c r="B34" s="8" t="s">
        <v>83</v>
      </c>
      <c r="C34">
        <v>2940252</v>
      </c>
      <c r="D34" s="8">
        <v>2928756</v>
      </c>
      <c r="E34" s="8">
        <v>438508</v>
      </c>
      <c r="I34" s="13" t="s">
        <v>122</v>
      </c>
      <c r="J34" s="13">
        <v>24957</v>
      </c>
      <c r="K34">
        <v>0</v>
      </c>
      <c r="L34">
        <f t="shared" si="2"/>
        <v>0</v>
      </c>
      <c r="M34">
        <f t="shared" ref="M34:M42" si="23">L34</f>
        <v>0</v>
      </c>
      <c r="P34" s="10" t="s">
        <v>108</v>
      </c>
      <c r="Q34" s="8">
        <v>1448094</v>
      </c>
      <c r="R34">
        <v>12.5</v>
      </c>
      <c r="S34" s="8">
        <f t="shared" si="20"/>
        <v>75</v>
      </c>
      <c r="T34" s="8">
        <f t="shared" si="18"/>
        <v>2.0104645670243508</v>
      </c>
      <c r="U34">
        <f t="shared" si="12"/>
        <v>2.0104645670243508</v>
      </c>
      <c r="V34" s="14">
        <v>8.6</v>
      </c>
      <c r="W34" s="8">
        <f t="shared" si="13"/>
        <v>17.289995276409417</v>
      </c>
      <c r="Y34" s="8">
        <f t="shared" ref="Y34:Y43" si="24">U34*$Y$4</f>
        <v>44.23022047453572</v>
      </c>
      <c r="Z34">
        <f t="shared" si="21"/>
        <v>14.084456200963167</v>
      </c>
      <c r="AA34" s="8">
        <f t="shared" si="7"/>
        <v>281.68912401926332</v>
      </c>
      <c r="AB34">
        <f t="shared" si="22"/>
        <v>3.8600919686867536</v>
      </c>
      <c r="AC34" s="8">
        <f t="shared" si="7"/>
        <v>77.201839373735069</v>
      </c>
      <c r="AD34" s="54">
        <f>S34-Y34-AA34</f>
        <v>-250.91934449379903</v>
      </c>
      <c r="AE34" s="54">
        <f t="shared" si="10"/>
        <v>-46.432059848270789</v>
      </c>
      <c r="AH34">
        <f t="shared" si="11"/>
        <v>325.91934449379903</v>
      </c>
    </row>
    <row r="35" spans="1:34" x14ac:dyDescent="0.25">
      <c r="A35">
        <v>25</v>
      </c>
      <c r="B35" s="8" t="s">
        <v>84</v>
      </c>
      <c r="C35">
        <v>3435503</v>
      </c>
      <c r="D35" s="8">
        <v>3412430</v>
      </c>
      <c r="E35" s="8">
        <v>508098</v>
      </c>
      <c r="I35" s="13" t="s">
        <v>123</v>
      </c>
      <c r="J35" s="13">
        <v>387228</v>
      </c>
      <c r="K35">
        <v>0.1</v>
      </c>
      <c r="L35">
        <f t="shared" si="2"/>
        <v>0.5</v>
      </c>
      <c r="M35">
        <f t="shared" si="23"/>
        <v>0.5</v>
      </c>
      <c r="P35" s="10" t="s">
        <v>109</v>
      </c>
      <c r="Q35" s="8">
        <v>1949849</v>
      </c>
      <c r="R35">
        <v>12.5</v>
      </c>
      <c r="S35" s="8">
        <f t="shared" si="20"/>
        <v>75</v>
      </c>
      <c r="T35" s="8">
        <f t="shared" si="18"/>
        <v>2.7334747415227278</v>
      </c>
      <c r="U35">
        <f t="shared" si="12"/>
        <v>2.7334747415227278</v>
      </c>
      <c r="V35" s="14">
        <v>8.6</v>
      </c>
      <c r="W35" s="8">
        <f t="shared" si="13"/>
        <v>23.507882777095457</v>
      </c>
      <c r="Y35" s="8">
        <f>U35*$Y$4</f>
        <v>60.136444313500014</v>
      </c>
      <c r="Z35">
        <f t="shared" si="21"/>
        <v>19.149556726780986</v>
      </c>
      <c r="AA35" s="8">
        <f t="shared" si="7"/>
        <v>382.99113453561972</v>
      </c>
      <c r="AB35">
        <f t="shared" si="22"/>
        <v>5.2482715037236369</v>
      </c>
      <c r="AC35" s="8">
        <f t="shared" si="7"/>
        <v>104.96543007447274</v>
      </c>
      <c r="AD35" s="54">
        <f t="shared" si="9"/>
        <v>-368.12757884911974</v>
      </c>
      <c r="AE35" s="54">
        <f t="shared" si="10"/>
        <v>-90.101874387972742</v>
      </c>
      <c r="AH35">
        <f t="shared" si="11"/>
        <v>443.12757884911974</v>
      </c>
    </row>
    <row r="36" spans="1:34" x14ac:dyDescent="0.25">
      <c r="A36">
        <v>26</v>
      </c>
      <c r="B36" s="8" t="s">
        <v>85</v>
      </c>
      <c r="C36">
        <v>2755923</v>
      </c>
      <c r="D36" s="8">
        <v>2726658</v>
      </c>
      <c r="E36" s="8">
        <v>406671</v>
      </c>
      <c r="I36" s="13" t="s">
        <v>124</v>
      </c>
      <c r="J36" s="13">
        <v>369283</v>
      </c>
      <c r="K36">
        <v>0.1</v>
      </c>
      <c r="L36">
        <f t="shared" si="2"/>
        <v>0.5</v>
      </c>
      <c r="M36">
        <f t="shared" si="23"/>
        <v>0.5</v>
      </c>
      <c r="P36" s="10" t="s">
        <v>110</v>
      </c>
      <c r="Q36" s="8">
        <v>720683</v>
      </c>
      <c r="R36">
        <v>12.5</v>
      </c>
      <c r="S36" s="8">
        <f t="shared" si="20"/>
        <v>75</v>
      </c>
      <c r="T36" s="8">
        <f t="shared" si="18"/>
        <v>0.96229254274549181</v>
      </c>
      <c r="U36">
        <f t="shared" si="12"/>
        <v>0.96229254274549181</v>
      </c>
      <c r="V36" s="14">
        <v>8.3000000000000007</v>
      </c>
      <c r="W36" s="8">
        <f t="shared" si="13"/>
        <v>7.9870281047875826</v>
      </c>
      <c r="Y36" s="8">
        <f t="shared" si="24"/>
        <v>21.170435940400822</v>
      </c>
      <c r="Z36">
        <f t="shared" si="21"/>
        <v>6.7414106138027741</v>
      </c>
      <c r="AA36" s="8">
        <f t="shared" si="7"/>
        <v>134.82821227605547</v>
      </c>
      <c r="AB36">
        <f t="shared" si="22"/>
        <v>1.8476016820713441</v>
      </c>
      <c r="AC36" s="8">
        <f t="shared" si="7"/>
        <v>36.95203364142688</v>
      </c>
      <c r="AD36" s="54">
        <f t="shared" si="9"/>
        <v>-80.998648216456289</v>
      </c>
      <c r="AE36" s="54">
        <f t="shared" si="10"/>
        <v>16.877530418172299</v>
      </c>
      <c r="AF36" t="s">
        <v>200</v>
      </c>
      <c r="AH36">
        <f t="shared" si="11"/>
        <v>155.99864821645627</v>
      </c>
    </row>
    <row r="37" spans="1:34" x14ac:dyDescent="0.25">
      <c r="A37">
        <v>27</v>
      </c>
      <c r="B37" s="8" t="s">
        <v>86</v>
      </c>
      <c r="C37">
        <v>4208329</v>
      </c>
      <c r="D37" s="8">
        <v>4195581</v>
      </c>
      <c r="E37" s="8">
        <v>634607</v>
      </c>
      <c r="I37" s="13" t="s">
        <v>125</v>
      </c>
      <c r="J37" s="13">
        <v>1914527</v>
      </c>
      <c r="K37">
        <v>0.5</v>
      </c>
      <c r="L37">
        <f t="shared" si="2"/>
        <v>2.5</v>
      </c>
      <c r="M37">
        <f t="shared" si="23"/>
        <v>2.5</v>
      </c>
      <c r="P37" s="20" t="s">
        <v>111</v>
      </c>
      <c r="Q37" s="23">
        <v>699793</v>
      </c>
      <c r="R37" s="7">
        <v>12.5</v>
      </c>
      <c r="S37" s="6">
        <f t="shared" si="20"/>
        <v>75</v>
      </c>
      <c r="T37" s="6">
        <f t="shared" si="18"/>
        <v>0.93219083465036356</v>
      </c>
      <c r="U37" s="7">
        <f t="shared" si="12"/>
        <v>0.93219083465036356</v>
      </c>
      <c r="V37" s="7">
        <v>8.3000000000000007</v>
      </c>
      <c r="W37" s="6">
        <f t="shared" si="13"/>
        <v>7.7371839275980179</v>
      </c>
      <c r="X37" s="7"/>
      <c r="Y37" s="6">
        <f t="shared" si="24"/>
        <v>20.508198362307997</v>
      </c>
      <c r="Z37" s="5">
        <f t="shared" si="21"/>
        <v>6.5305309016238535</v>
      </c>
      <c r="AA37" s="6">
        <f t="shared" si="7"/>
        <v>130.61061803247708</v>
      </c>
      <c r="AB37" s="5">
        <f t="shared" si="22"/>
        <v>1.7898064025286979</v>
      </c>
      <c r="AC37" s="6">
        <f t="shared" si="7"/>
        <v>35.796128050573955</v>
      </c>
      <c r="AD37" s="55">
        <f t="shared" si="9"/>
        <v>-76.118816394785071</v>
      </c>
      <c r="AE37" s="55">
        <f t="shared" si="10"/>
        <v>18.695673587118051</v>
      </c>
      <c r="AF37" s="54">
        <f>AVERAGE(AD34:AD37)</f>
        <v>-194.04109698854003</v>
      </c>
      <c r="AG37" s="54">
        <f>AVERAGE(AE34:AE37)</f>
        <v>-25.240182557738297</v>
      </c>
      <c r="AH37">
        <f t="shared" si="11"/>
        <v>151.11881639478509</v>
      </c>
    </row>
    <row r="38" spans="1:34" x14ac:dyDescent="0.25">
      <c r="I38" s="13" t="s">
        <v>126</v>
      </c>
      <c r="J38" s="13">
        <v>2039245</v>
      </c>
      <c r="K38">
        <v>0.5</v>
      </c>
      <c r="L38">
        <f t="shared" si="2"/>
        <v>2.5</v>
      </c>
      <c r="M38">
        <f t="shared" si="23"/>
        <v>2.5</v>
      </c>
      <c r="P38" s="10" t="s">
        <v>112</v>
      </c>
      <c r="Q38" s="8">
        <v>118898</v>
      </c>
      <c r="R38">
        <v>0</v>
      </c>
      <c r="S38" s="8">
        <f t="shared" si="20"/>
        <v>0</v>
      </c>
      <c r="T38" s="8">
        <f t="shared" si="18"/>
        <v>9.5142882332529682E-2</v>
      </c>
      <c r="U38">
        <f t="shared" si="12"/>
        <v>9.5142882332529682E-2</v>
      </c>
      <c r="V38" s="14">
        <v>10.6</v>
      </c>
      <c r="W38" s="8">
        <f t="shared" si="13"/>
        <v>1.0085145527248145</v>
      </c>
      <c r="Y38" s="8">
        <f t="shared" si="24"/>
        <v>2.0931434113156531</v>
      </c>
      <c r="Z38">
        <f t="shared" si="21"/>
        <v>0.66653040348244852</v>
      </c>
      <c r="AA38" s="8">
        <f t="shared" si="7"/>
        <v>13.330608069648971</v>
      </c>
      <c r="AB38">
        <f t="shared" si="22"/>
        <v>0.18267433407845698</v>
      </c>
      <c r="AC38" s="8">
        <f t="shared" si="7"/>
        <v>3.6534866815691398</v>
      </c>
      <c r="AD38" s="54">
        <f t="shared" si="9"/>
        <v>-15.423751480964624</v>
      </c>
      <c r="AE38" s="54">
        <f t="shared" si="10"/>
        <v>-5.7466300928847929</v>
      </c>
      <c r="AH38">
        <f t="shared" si="11"/>
        <v>15.423751480964624</v>
      </c>
    </row>
    <row r="39" spans="1:34" x14ac:dyDescent="0.25">
      <c r="I39" s="13" t="s">
        <v>127</v>
      </c>
      <c r="J39" s="13">
        <v>4252537</v>
      </c>
      <c r="K39">
        <v>1.5</v>
      </c>
      <c r="L39">
        <f t="shared" si="2"/>
        <v>7.5</v>
      </c>
      <c r="M39">
        <f t="shared" si="23"/>
        <v>7.5</v>
      </c>
      <c r="P39" s="10" t="s">
        <v>113</v>
      </c>
      <c r="Q39" s="8">
        <v>18766</v>
      </c>
      <c r="R39">
        <v>0</v>
      </c>
      <c r="S39" s="8">
        <f t="shared" si="20"/>
        <v>0</v>
      </c>
      <c r="T39" s="8">
        <f t="shared" si="18"/>
        <v>-4.9143581764233647E-2</v>
      </c>
      <c r="U39">
        <f t="shared" si="12"/>
        <v>0</v>
      </c>
      <c r="V39" s="14">
        <v>10.4</v>
      </c>
      <c r="W39" s="8">
        <f t="shared" si="13"/>
        <v>0</v>
      </c>
      <c r="Y39" s="8">
        <f t="shared" si="24"/>
        <v>0</v>
      </c>
      <c r="Z39">
        <f t="shared" si="21"/>
        <v>0</v>
      </c>
      <c r="AA39" s="8">
        <f t="shared" si="7"/>
        <v>0</v>
      </c>
      <c r="AB39">
        <f t="shared" si="22"/>
        <v>0</v>
      </c>
      <c r="AC39" s="8">
        <f t="shared" si="7"/>
        <v>0</v>
      </c>
      <c r="AD39" s="54">
        <f t="shared" si="9"/>
        <v>0</v>
      </c>
      <c r="AE39" s="54">
        <f t="shared" si="10"/>
        <v>0</v>
      </c>
      <c r="AH39">
        <f t="shared" si="11"/>
        <v>0</v>
      </c>
    </row>
    <row r="40" spans="1:34" x14ac:dyDescent="0.25">
      <c r="I40" s="13" t="s">
        <v>128</v>
      </c>
      <c r="J40" s="13">
        <v>4610723</v>
      </c>
      <c r="K40">
        <v>1.5</v>
      </c>
      <c r="L40">
        <f t="shared" si="2"/>
        <v>7.5</v>
      </c>
      <c r="M40">
        <f t="shared" si="23"/>
        <v>7.5</v>
      </c>
      <c r="P40" s="10" t="s">
        <v>114</v>
      </c>
      <c r="Q40" s="8">
        <v>766173</v>
      </c>
      <c r="R40">
        <v>12.5</v>
      </c>
      <c r="S40" s="8">
        <f t="shared" si="20"/>
        <v>75</v>
      </c>
      <c r="T40" s="8">
        <f t="shared" si="18"/>
        <v>1.0278419300718387</v>
      </c>
      <c r="U40">
        <f t="shared" si="12"/>
        <v>1.0278419300718387</v>
      </c>
      <c r="V40" s="14">
        <v>10.5</v>
      </c>
      <c r="W40" s="8">
        <f t="shared" si="13"/>
        <v>10.792340265754305</v>
      </c>
      <c r="Y40" s="8">
        <f t="shared" si="24"/>
        <v>22.612522461580451</v>
      </c>
      <c r="Z40">
        <f t="shared" si="21"/>
        <v>7.2006216289784124</v>
      </c>
      <c r="AA40" s="8">
        <f t="shared" si="7"/>
        <v>144.01243257956824</v>
      </c>
      <c r="AB40">
        <f t="shared" si="22"/>
        <v>1.9734565057379301</v>
      </c>
      <c r="AC40" s="8">
        <f t="shared" si="7"/>
        <v>39.469130114758599</v>
      </c>
      <c r="AD40" s="54">
        <f t="shared" si="9"/>
        <v>-91.624955041148695</v>
      </c>
      <c r="AE40" s="54">
        <f t="shared" si="10"/>
        <v>12.918347423660947</v>
      </c>
      <c r="AH40">
        <f t="shared" si="11"/>
        <v>166.6249550411487</v>
      </c>
    </row>
    <row r="41" spans="1:34" x14ac:dyDescent="0.25">
      <c r="A41" t="s">
        <v>91</v>
      </c>
      <c r="C41" t="s">
        <v>1</v>
      </c>
      <c r="I41" s="13" t="s">
        <v>129</v>
      </c>
      <c r="J41" s="13">
        <v>105093</v>
      </c>
      <c r="K41">
        <v>0</v>
      </c>
      <c r="L41">
        <f t="shared" si="2"/>
        <v>0</v>
      </c>
      <c r="M41">
        <f t="shared" si="23"/>
        <v>0</v>
      </c>
      <c r="P41" s="10" t="s">
        <v>115</v>
      </c>
      <c r="Q41" s="8">
        <v>694324</v>
      </c>
      <c r="R41">
        <v>12.5</v>
      </c>
      <c r="S41" s="8">
        <f t="shared" si="20"/>
        <v>75</v>
      </c>
      <c r="T41" s="8">
        <f t="shared" si="18"/>
        <v>0.92431021035298411</v>
      </c>
      <c r="U41">
        <f t="shared" si="12"/>
        <v>0.92431021035298411</v>
      </c>
      <c r="V41" s="14">
        <v>10.5</v>
      </c>
      <c r="W41" s="8">
        <f t="shared" si="13"/>
        <v>9.7052572087063336</v>
      </c>
      <c r="Y41" s="8">
        <f t="shared" si="24"/>
        <v>20.334824627765649</v>
      </c>
      <c r="Z41">
        <f>U41*$AC$3</f>
        <v>6.4753226131649493</v>
      </c>
      <c r="AA41" s="8">
        <f t="shared" si="7"/>
        <v>129.506452263299</v>
      </c>
      <c r="AB41">
        <f t="shared" si="22"/>
        <v>1.7746756038777294</v>
      </c>
      <c r="AC41" s="8">
        <f t="shared" si="7"/>
        <v>35.493512077554584</v>
      </c>
      <c r="AD41" s="54">
        <f t="shared" si="9"/>
        <v>-74.841276891064638</v>
      </c>
      <c r="AE41" s="54">
        <f t="shared" si="10"/>
        <v>19.171663294679767</v>
      </c>
      <c r="AH41">
        <f t="shared" si="11"/>
        <v>149.84127689106464</v>
      </c>
    </row>
    <row r="42" spans="1:34" x14ac:dyDescent="0.25">
      <c r="A42" t="s">
        <v>92</v>
      </c>
      <c r="I42" s="13" t="s">
        <v>134</v>
      </c>
      <c r="J42" s="13">
        <v>95715</v>
      </c>
      <c r="K42">
        <v>0</v>
      </c>
      <c r="L42">
        <f t="shared" si="2"/>
        <v>0</v>
      </c>
      <c r="M42">
        <f t="shared" si="23"/>
        <v>0</v>
      </c>
      <c r="P42" s="10" t="s">
        <v>116</v>
      </c>
      <c r="Q42" s="8">
        <v>545029</v>
      </c>
      <c r="R42">
        <v>12.5</v>
      </c>
      <c r="S42" s="8">
        <f t="shared" si="20"/>
        <v>75</v>
      </c>
      <c r="T42" s="8">
        <f t="shared" si="18"/>
        <v>0.70918170340888742</v>
      </c>
      <c r="U42">
        <f t="shared" si="12"/>
        <v>0.70918170340888742</v>
      </c>
      <c r="V42" s="14">
        <v>11.2</v>
      </c>
      <c r="W42" s="8">
        <f t="shared" si="13"/>
        <v>7.9428350781795389</v>
      </c>
      <c r="Y42" s="8">
        <f>U42*$Y$4</f>
        <v>15.601997474995523</v>
      </c>
      <c r="Z42">
        <f t="shared" si="21"/>
        <v>4.9682241627220609</v>
      </c>
      <c r="AA42" s="8">
        <f t="shared" si="7"/>
        <v>99.364483254441211</v>
      </c>
      <c r="AB42">
        <f t="shared" si="22"/>
        <v>1.3616288705450639</v>
      </c>
      <c r="AC42" s="8">
        <f t="shared" si="7"/>
        <v>27.232577410901278</v>
      </c>
      <c r="AD42" s="54">
        <f t="shared" si="9"/>
        <v>-39.966480729436732</v>
      </c>
      <c r="AE42" s="54">
        <f t="shared" si="10"/>
        <v>32.165425114103201</v>
      </c>
      <c r="AF42" t="s">
        <v>200</v>
      </c>
      <c r="AH42">
        <f t="shared" si="11"/>
        <v>114.96648072943674</v>
      </c>
    </row>
    <row r="43" spans="1:34" x14ac:dyDescent="0.25">
      <c r="A43" t="s">
        <v>2</v>
      </c>
      <c r="P43" s="10" t="s">
        <v>117</v>
      </c>
      <c r="Q43" s="8">
        <v>440541</v>
      </c>
      <c r="R43">
        <v>12.5</v>
      </c>
      <c r="S43" s="8">
        <f t="shared" si="20"/>
        <v>75</v>
      </c>
      <c r="T43" s="8">
        <f t="shared" si="18"/>
        <v>0.55861840635557169</v>
      </c>
      <c r="U43">
        <f t="shared" si="12"/>
        <v>0.55861840635557169</v>
      </c>
      <c r="V43" s="14">
        <v>11.2</v>
      </c>
      <c r="W43" s="8">
        <f t="shared" si="13"/>
        <v>6.2565261511824026</v>
      </c>
      <c r="Y43" s="8">
        <f t="shared" si="24"/>
        <v>12.289604939822578</v>
      </c>
      <c r="Z43">
        <f t="shared" si="21"/>
        <v>3.913442000627708</v>
      </c>
      <c r="AA43" s="8">
        <f t="shared" si="7"/>
        <v>78.268840012554165</v>
      </c>
      <c r="AB43">
        <f t="shared" si="22"/>
        <v>1.0725473402026977</v>
      </c>
      <c r="AC43" s="8">
        <f t="shared" si="7"/>
        <v>21.450946804053956</v>
      </c>
      <c r="AD43" s="54">
        <f t="shared" si="9"/>
        <v>-15.558444952376746</v>
      </c>
      <c r="AE43" s="54">
        <f t="shared" si="10"/>
        <v>41.259448256123463</v>
      </c>
      <c r="AF43" s="54">
        <f>AVERAGE(AD40:AD43)</f>
        <v>-55.497789403506701</v>
      </c>
      <c r="AG43" s="54">
        <f>AVERAGE(AE40:AE43)</f>
        <v>26.378721022141843</v>
      </c>
      <c r="AH43">
        <f t="shared" si="11"/>
        <v>90.558444952376746</v>
      </c>
    </row>
    <row r="44" spans="1:34" x14ac:dyDescent="0.25">
      <c r="A44" t="s">
        <v>4</v>
      </c>
      <c r="S44" s="13"/>
      <c r="T44" s="8"/>
      <c r="U44" s="13"/>
      <c r="V44" s="13"/>
      <c r="W44" s="13"/>
      <c r="X44" s="13"/>
      <c r="Y44" s="13"/>
      <c r="Z44" s="13"/>
      <c r="AA44" s="13"/>
      <c r="AB44" s="13"/>
      <c r="AC44" s="13"/>
      <c r="AD44" s="40"/>
      <c r="AE44" s="54"/>
      <c r="AH44">
        <f t="shared" si="11"/>
        <v>0</v>
      </c>
    </row>
    <row r="45" spans="1:34" x14ac:dyDescent="0.25">
      <c r="A45" s="1"/>
      <c r="B45" s="2"/>
      <c r="C45" s="3" t="s">
        <v>8</v>
      </c>
      <c r="D45" s="3"/>
      <c r="E45" s="22" t="s">
        <v>9</v>
      </c>
      <c r="S45" s="13"/>
      <c r="T45" s="8"/>
      <c r="U45" s="13"/>
      <c r="V45" s="13"/>
      <c r="W45" s="13"/>
      <c r="X45" s="13"/>
      <c r="Y45" s="13"/>
      <c r="Z45" s="13"/>
      <c r="AA45" s="13"/>
      <c r="AB45" s="13"/>
      <c r="AC45" s="13"/>
      <c r="AD45" s="40"/>
      <c r="AE45" s="54"/>
      <c r="AH45">
        <f t="shared" si="11"/>
        <v>0</v>
      </c>
    </row>
    <row r="46" spans="1:34" x14ac:dyDescent="0.25">
      <c r="A46" s="5" t="s">
        <v>11</v>
      </c>
      <c r="B46" s="6" t="s">
        <v>12</v>
      </c>
      <c r="C46" s="7" t="s">
        <v>16</v>
      </c>
      <c r="D46" s="6" t="s">
        <v>17</v>
      </c>
      <c r="E46" s="23" t="s">
        <v>19</v>
      </c>
      <c r="O46" s="25">
        <v>44426</v>
      </c>
      <c r="P46" s="10" t="s">
        <v>130</v>
      </c>
      <c r="Q46" s="8">
        <v>2287282</v>
      </c>
      <c r="R46">
        <v>12.5</v>
      </c>
      <c r="S46" s="8">
        <f t="shared" ref="S46:S49" si="25">R46*8</f>
        <v>100</v>
      </c>
      <c r="T46" s="8">
        <f>(Q46-150277.947)/586305.168</f>
        <v>3.6448664784752505</v>
      </c>
      <c r="U46">
        <f t="shared" si="12"/>
        <v>3.6448664784752505</v>
      </c>
      <c r="V46" s="14">
        <v>8.5</v>
      </c>
      <c r="W46" s="8">
        <f t="shared" si="13"/>
        <v>30.981365067039629</v>
      </c>
      <c r="Y46" s="8">
        <f>U46*$X$4</f>
        <v>58.317863655604008</v>
      </c>
      <c r="Z46">
        <f t="shared" ref="Z46:Z49" si="26">U46*$AC$2</f>
        <v>3.0842721364140595</v>
      </c>
      <c r="AA46" s="8">
        <f t="shared" si="7"/>
        <v>61.685442728281188</v>
      </c>
      <c r="AB46">
        <f t="shared" ref="AB46:AB49" si="27">U46*$AD$2</f>
        <v>1.5308439209596052</v>
      </c>
      <c r="AC46" s="8">
        <f t="shared" si="7"/>
        <v>30.616878419192105</v>
      </c>
      <c r="AD46" s="54">
        <f t="shared" si="9"/>
        <v>-20.003306383885196</v>
      </c>
      <c r="AE46" s="54">
        <f t="shared" si="10"/>
        <v>11.065257925203888</v>
      </c>
      <c r="AH46">
        <f t="shared" si="11"/>
        <v>120.00330638388519</v>
      </c>
    </row>
    <row r="47" spans="1:34" x14ac:dyDescent="0.25">
      <c r="A47">
        <v>1</v>
      </c>
      <c r="B47" s="4" t="s">
        <v>93</v>
      </c>
      <c r="D47" s="4">
        <v>17881</v>
      </c>
      <c r="E47" s="4"/>
      <c r="P47" s="10" t="s">
        <v>131</v>
      </c>
      <c r="Q47" s="8">
        <v>2168216</v>
      </c>
      <c r="R47">
        <v>12.5</v>
      </c>
      <c r="S47" s="8">
        <f t="shared" si="25"/>
        <v>100</v>
      </c>
      <c r="T47" s="8">
        <f t="shared" ref="T47:T61" si="28">(Q47-150277.947)/586305.168</f>
        <v>3.4417879342315474</v>
      </c>
      <c r="U47">
        <f t="shared" si="12"/>
        <v>3.4417879342315474</v>
      </c>
      <c r="V47" s="14">
        <v>8.5</v>
      </c>
      <c r="W47" s="8">
        <f t="shared" si="13"/>
        <v>29.255197440968153</v>
      </c>
      <c r="Y47" s="8">
        <f t="shared" ref="Y47:Y49" si="29">U47*$X$4</f>
        <v>55.068606947704758</v>
      </c>
      <c r="Z47">
        <f t="shared" si="26"/>
        <v>2.9124278454878243</v>
      </c>
      <c r="AA47" s="8">
        <f t="shared" si="7"/>
        <v>58.248556909756488</v>
      </c>
      <c r="AB47">
        <f t="shared" si="27"/>
        <v>1.4455509323772497</v>
      </c>
      <c r="AC47" s="8">
        <f t="shared" si="7"/>
        <v>28.911018647544996</v>
      </c>
      <c r="AD47" s="54">
        <f t="shared" si="9"/>
        <v>-13.317163857461246</v>
      </c>
      <c r="AE47" s="54">
        <f t="shared" si="10"/>
        <v>16.020374404750246</v>
      </c>
      <c r="AH47">
        <f t="shared" si="11"/>
        <v>113.31716385746125</v>
      </c>
    </row>
    <row r="48" spans="1:34" x14ac:dyDescent="0.25">
      <c r="A48">
        <v>2</v>
      </c>
      <c r="B48" s="8" t="s">
        <v>94</v>
      </c>
      <c r="D48" s="8">
        <v>29907</v>
      </c>
      <c r="E48" s="8"/>
      <c r="P48" s="10" t="s">
        <v>132</v>
      </c>
      <c r="Q48" s="8">
        <v>2424455</v>
      </c>
      <c r="R48" s="13">
        <v>12.5</v>
      </c>
      <c r="S48" s="8">
        <f t="shared" si="25"/>
        <v>100</v>
      </c>
      <c r="T48" s="8">
        <f t="shared" si="28"/>
        <v>3.878828257232759</v>
      </c>
      <c r="U48" s="13">
        <f t="shared" si="12"/>
        <v>3.878828257232759</v>
      </c>
      <c r="V48" s="14">
        <v>8.8000000000000007</v>
      </c>
      <c r="W48" s="8">
        <f t="shared" si="13"/>
        <v>34.133688663648279</v>
      </c>
      <c r="Y48" s="8">
        <f>U48*$X$4</f>
        <v>62.061252115724145</v>
      </c>
      <c r="Z48">
        <f t="shared" si="26"/>
        <v>3.2822497027992954</v>
      </c>
      <c r="AA48" s="8">
        <f t="shared" si="7"/>
        <v>65.644994055985904</v>
      </c>
      <c r="AB48">
        <f t="shared" si="27"/>
        <v>1.6291078680377586</v>
      </c>
      <c r="AC48" s="8">
        <f t="shared" si="7"/>
        <v>32.582157360755176</v>
      </c>
      <c r="AD48" s="54">
        <f t="shared" si="9"/>
        <v>-27.706246171710049</v>
      </c>
      <c r="AE48" s="54">
        <f t="shared" si="10"/>
        <v>5.3565905235206799</v>
      </c>
      <c r="AH48">
        <f t="shared" si="11"/>
        <v>127.70624617171005</v>
      </c>
    </row>
    <row r="49" spans="1:34" x14ac:dyDescent="0.25">
      <c r="A49">
        <v>3</v>
      </c>
      <c r="B49" s="8" t="s">
        <v>95</v>
      </c>
      <c r="D49" s="8">
        <v>165906</v>
      </c>
      <c r="E49" s="8">
        <v>25418</v>
      </c>
      <c r="P49" s="20" t="s">
        <v>133</v>
      </c>
      <c r="Q49" s="23">
        <v>2767769</v>
      </c>
      <c r="R49" s="7">
        <v>12.5</v>
      </c>
      <c r="S49" s="6">
        <f t="shared" si="25"/>
        <v>100</v>
      </c>
      <c r="T49" s="6">
        <f t="shared" si="28"/>
        <v>4.4643833891636451</v>
      </c>
      <c r="U49" s="7">
        <f t="shared" si="12"/>
        <v>4.4643833891636451</v>
      </c>
      <c r="V49" s="7">
        <v>8.8000000000000007</v>
      </c>
      <c r="W49" s="6">
        <f t="shared" si="13"/>
        <v>39.28657382464008</v>
      </c>
      <c r="X49" s="7"/>
      <c r="Y49" s="6">
        <f t="shared" si="29"/>
        <v>71.430134226618321</v>
      </c>
      <c r="Z49" s="5">
        <f t="shared" si="26"/>
        <v>3.7777442259633358</v>
      </c>
      <c r="AA49" s="6">
        <f t="shared" si="7"/>
        <v>75.554884519266722</v>
      </c>
      <c r="AB49" s="5">
        <f t="shared" si="27"/>
        <v>1.8750410234487309</v>
      </c>
      <c r="AC49" s="6">
        <f t="shared" si="7"/>
        <v>37.500820468974617</v>
      </c>
      <c r="AD49" s="55">
        <f t="shared" si="9"/>
        <v>-46.985018745885043</v>
      </c>
      <c r="AE49" s="55">
        <f t="shared" si="10"/>
        <v>-8.9309546955929378</v>
      </c>
      <c r="AH49">
        <f t="shared" si="11"/>
        <v>146.98501874588504</v>
      </c>
    </row>
    <row r="50" spans="1:34" x14ac:dyDescent="0.25">
      <c r="A50">
        <v>4</v>
      </c>
      <c r="B50" s="8" t="s">
        <v>96</v>
      </c>
      <c r="C50">
        <v>184189</v>
      </c>
      <c r="D50" s="8">
        <v>185386</v>
      </c>
      <c r="E50" s="8">
        <v>29464</v>
      </c>
      <c r="P50" s="10" t="s">
        <v>135</v>
      </c>
      <c r="Q50" s="8">
        <v>239617</v>
      </c>
      <c r="R50">
        <v>0</v>
      </c>
      <c r="S50" s="8">
        <f>R50*6</f>
        <v>0</v>
      </c>
      <c r="T50" s="8">
        <f t="shared" si="28"/>
        <v>0.15237636963827689</v>
      </c>
      <c r="U50">
        <f t="shared" si="12"/>
        <v>0.15237636963827689</v>
      </c>
      <c r="V50" s="14">
        <v>5.6</v>
      </c>
      <c r="W50" s="8">
        <f t="shared" si="13"/>
        <v>0.85330766997435048</v>
      </c>
      <c r="Y50" s="8">
        <f>U50*$Z$4</f>
        <v>2.1332691749358763</v>
      </c>
      <c r="Z50">
        <f>U50*$AC$4</f>
        <v>0.25829780194697782</v>
      </c>
      <c r="AA50" s="8">
        <f t="shared" si="7"/>
        <v>5.1659560389395569</v>
      </c>
      <c r="AB50">
        <f>U50*$AD$4</f>
        <v>0.11123474983594213</v>
      </c>
      <c r="AC50" s="8">
        <f t="shared" si="7"/>
        <v>2.2246949967188425</v>
      </c>
      <c r="AD50" s="54">
        <f t="shared" si="9"/>
        <v>-7.2992252138754328</v>
      </c>
      <c r="AE50" s="54">
        <f t="shared" si="10"/>
        <v>-4.3579641716547188</v>
      </c>
      <c r="AH50">
        <f t="shared" si="11"/>
        <v>7.2992252138754328</v>
      </c>
    </row>
    <row r="51" spans="1:34" x14ac:dyDescent="0.25">
      <c r="A51">
        <v>5</v>
      </c>
      <c r="B51" s="8" t="s">
        <v>97</v>
      </c>
      <c r="C51">
        <v>1866416</v>
      </c>
      <c r="D51" s="8">
        <v>1864943</v>
      </c>
      <c r="E51" s="8">
        <v>278286</v>
      </c>
      <c r="P51" s="10" t="s">
        <v>136</v>
      </c>
      <c r="Q51" s="8">
        <v>53381</v>
      </c>
      <c r="R51">
        <v>0</v>
      </c>
      <c r="S51" s="8">
        <f t="shared" ref="S51:S61" si="30">R51*6</f>
        <v>0</v>
      </c>
      <c r="T51" s="8">
        <f t="shared" si="28"/>
        <v>-0.16526708664454412</v>
      </c>
      <c r="U51">
        <f t="shared" si="12"/>
        <v>0</v>
      </c>
      <c r="V51" s="14">
        <v>5.6</v>
      </c>
      <c r="W51" s="8">
        <f t="shared" si="13"/>
        <v>0</v>
      </c>
      <c r="Y51" s="8">
        <f t="shared" ref="Y51:Y61" si="31">U51*$Z$4</f>
        <v>0</v>
      </c>
      <c r="Z51">
        <f t="shared" ref="Z51:Z61" si="32">U51*$AC$4</f>
        <v>0</v>
      </c>
      <c r="AA51" s="8">
        <f t="shared" si="7"/>
        <v>0</v>
      </c>
      <c r="AB51">
        <f t="shared" ref="AB51:AB61" si="33">U51*$AD$4</f>
        <v>0</v>
      </c>
      <c r="AC51" s="8">
        <f t="shared" si="7"/>
        <v>0</v>
      </c>
      <c r="AD51" s="54">
        <f t="shared" si="9"/>
        <v>0</v>
      </c>
      <c r="AE51" s="54">
        <f t="shared" si="10"/>
        <v>0</v>
      </c>
      <c r="AH51">
        <f t="shared" si="11"/>
        <v>0</v>
      </c>
    </row>
    <row r="52" spans="1:34" x14ac:dyDescent="0.25">
      <c r="A52">
        <v>6</v>
      </c>
      <c r="B52" s="8" t="s">
        <v>98</v>
      </c>
      <c r="C52">
        <v>1998748</v>
      </c>
      <c r="D52" s="8">
        <v>1991144</v>
      </c>
      <c r="E52" s="8">
        <v>293244</v>
      </c>
      <c r="P52" s="10" t="s">
        <v>137</v>
      </c>
      <c r="Q52" s="8">
        <v>2239511</v>
      </c>
      <c r="R52">
        <v>12.5</v>
      </c>
      <c r="S52" s="8">
        <f t="shared" si="30"/>
        <v>75</v>
      </c>
      <c r="T52" s="8">
        <f t="shared" si="28"/>
        <v>3.5633884315343445</v>
      </c>
      <c r="U52">
        <f t="shared" si="12"/>
        <v>3.5633884315343445</v>
      </c>
      <c r="V52" s="14">
        <v>5.6</v>
      </c>
      <c r="W52" s="8">
        <f t="shared" si="13"/>
        <v>19.954975216592327</v>
      </c>
      <c r="Y52" s="8">
        <f t="shared" si="31"/>
        <v>49.88743804148082</v>
      </c>
      <c r="Z52">
        <f t="shared" si="32"/>
        <v>6.0404077189498944</v>
      </c>
      <c r="AA52" s="8">
        <f t="shared" si="7"/>
        <v>120.80815437899788</v>
      </c>
      <c r="AB52">
        <f t="shared" si="33"/>
        <v>2.6012735550200716</v>
      </c>
      <c r="AC52" s="8">
        <f t="shared" si="7"/>
        <v>52.025471100401433</v>
      </c>
      <c r="AD52" s="54">
        <f t="shared" si="9"/>
        <v>-95.695592420478704</v>
      </c>
      <c r="AE52" s="54">
        <f t="shared" si="10"/>
        <v>-26.912909141882253</v>
      </c>
      <c r="AH52">
        <f t="shared" si="11"/>
        <v>170.6955924204787</v>
      </c>
    </row>
    <row r="53" spans="1:34" x14ac:dyDescent="0.25">
      <c r="A53">
        <v>7</v>
      </c>
      <c r="B53" s="8" t="s">
        <v>99</v>
      </c>
      <c r="C53">
        <v>4458414</v>
      </c>
      <c r="D53" s="8">
        <v>4449364</v>
      </c>
      <c r="E53" s="8">
        <v>668539</v>
      </c>
      <c r="P53" s="10" t="s">
        <v>138</v>
      </c>
      <c r="Q53" s="8">
        <v>1846720</v>
      </c>
      <c r="R53">
        <v>12.5</v>
      </c>
      <c r="S53" s="8">
        <f t="shared" si="30"/>
        <v>75</v>
      </c>
      <c r="T53" s="8">
        <f t="shared" si="28"/>
        <v>2.8934455051571373</v>
      </c>
      <c r="U53">
        <f t="shared" si="12"/>
        <v>2.8934455051571373</v>
      </c>
      <c r="V53" s="14">
        <v>5.6</v>
      </c>
      <c r="W53" s="8">
        <f t="shared" si="13"/>
        <v>16.203294828879969</v>
      </c>
      <c r="Y53" s="8">
        <f t="shared" si="31"/>
        <v>40.508237072199918</v>
      </c>
      <c r="Z53">
        <f t="shared" si="32"/>
        <v>4.9047671617956192</v>
      </c>
      <c r="AA53" s="8">
        <f t="shared" si="7"/>
        <v>98.095343235912381</v>
      </c>
      <c r="AB53">
        <f t="shared" si="33"/>
        <v>2.1122152187647103</v>
      </c>
      <c r="AC53" s="8">
        <f t="shared" si="7"/>
        <v>42.244304375294206</v>
      </c>
      <c r="AD53" s="54">
        <f t="shared" si="9"/>
        <v>-63.603580308112299</v>
      </c>
      <c r="AE53" s="54">
        <f t="shared" si="10"/>
        <v>-7.7525414474941243</v>
      </c>
      <c r="AH53">
        <f t="shared" si="11"/>
        <v>138.6035803081123</v>
      </c>
    </row>
    <row r="54" spans="1:34" x14ac:dyDescent="0.25">
      <c r="A54">
        <v>8</v>
      </c>
      <c r="B54" s="8" t="s">
        <v>100</v>
      </c>
      <c r="C54">
        <v>3394771</v>
      </c>
      <c r="D54" s="8">
        <v>3387624</v>
      </c>
      <c r="E54" s="8">
        <v>504093</v>
      </c>
      <c r="P54" s="10" t="s">
        <v>139</v>
      </c>
      <c r="Q54" s="8">
        <v>2082174</v>
      </c>
      <c r="R54">
        <v>12.5</v>
      </c>
      <c r="S54" s="8">
        <f t="shared" si="30"/>
        <v>75</v>
      </c>
      <c r="T54" s="8">
        <f t="shared" si="28"/>
        <v>3.2950350064115419</v>
      </c>
      <c r="U54">
        <f t="shared" si="12"/>
        <v>3.2950350064115419</v>
      </c>
      <c r="V54" s="14">
        <v>5.5</v>
      </c>
      <c r="W54" s="8">
        <f t="shared" si="13"/>
        <v>18.122692535263482</v>
      </c>
      <c r="Y54" s="8">
        <f t="shared" si="31"/>
        <v>46.130490089761587</v>
      </c>
      <c r="Z54">
        <f t="shared" si="32"/>
        <v>5.5855136955609108</v>
      </c>
      <c r="AA54" s="8">
        <f t="shared" si="7"/>
        <v>111.71027391121822</v>
      </c>
      <c r="AB54">
        <f t="shared" si="33"/>
        <v>2.4053755546804254</v>
      </c>
      <c r="AC54" s="8">
        <f t="shared" si="7"/>
        <v>48.107511093608508</v>
      </c>
      <c r="AD54" s="54">
        <f t="shared" si="9"/>
        <v>-82.840764000979817</v>
      </c>
      <c r="AE54" s="54">
        <f t="shared" si="10"/>
        <v>-19.238001183370095</v>
      </c>
      <c r="AF54" t="s">
        <v>200</v>
      </c>
      <c r="AH54">
        <f t="shared" si="11"/>
        <v>157.84076400097982</v>
      </c>
    </row>
    <row r="55" spans="1:34" x14ac:dyDescent="0.25">
      <c r="A55">
        <v>9</v>
      </c>
      <c r="B55" s="8" t="s">
        <v>101</v>
      </c>
      <c r="D55" s="8">
        <v>79262</v>
      </c>
      <c r="E55" s="8">
        <v>13273</v>
      </c>
      <c r="P55" s="20" t="s">
        <v>140</v>
      </c>
      <c r="Q55" s="23">
        <v>2181819</v>
      </c>
      <c r="R55" s="7">
        <v>12.5</v>
      </c>
      <c r="S55" s="6">
        <f t="shared" si="30"/>
        <v>75</v>
      </c>
      <c r="T55" s="6">
        <f t="shared" si="28"/>
        <v>3.4649891624356282</v>
      </c>
      <c r="U55" s="7">
        <f t="shared" si="12"/>
        <v>3.4649891624356282</v>
      </c>
      <c r="V55" s="7">
        <v>5.5</v>
      </c>
      <c r="W55" s="6">
        <f t="shared" si="13"/>
        <v>19.057440393395954</v>
      </c>
      <c r="X55" s="7"/>
      <c r="Y55" s="6">
        <f>U55*$Z$4</f>
        <v>48.509848274098793</v>
      </c>
      <c r="Z55" s="5">
        <f t="shared" si="32"/>
        <v>5.8736081359061272</v>
      </c>
      <c r="AA55" s="6">
        <f t="shared" si="7"/>
        <v>117.47216271812255</v>
      </c>
      <c r="AB55" s="5">
        <f t="shared" si="33"/>
        <v>2.5294420885780085</v>
      </c>
      <c r="AC55" s="6">
        <f t="shared" si="7"/>
        <v>50.588841771560169</v>
      </c>
      <c r="AD55" s="55">
        <f t="shared" si="9"/>
        <v>-90.982010992221348</v>
      </c>
      <c r="AE55" s="55">
        <f t="shared" si="10"/>
        <v>-24.098690045658962</v>
      </c>
      <c r="AF55" s="54">
        <f>AVERAGE(AD52:AD55)</f>
        <v>-83.280486930448035</v>
      </c>
      <c r="AG55" s="54">
        <f>AVERAGE(AE52:AE55)</f>
        <v>-19.500535454601359</v>
      </c>
      <c r="AH55">
        <f t="shared" si="11"/>
        <v>165.98201099222135</v>
      </c>
    </row>
    <row r="56" spans="1:34" x14ac:dyDescent="0.25">
      <c r="A56">
        <v>10</v>
      </c>
      <c r="B56" s="10" t="s">
        <v>102</v>
      </c>
      <c r="C56">
        <v>2593106</v>
      </c>
      <c r="D56" s="8">
        <v>2588454</v>
      </c>
      <c r="E56" s="8">
        <v>388061</v>
      </c>
      <c r="P56" s="10" t="s">
        <v>141</v>
      </c>
      <c r="Q56" s="8">
        <v>156682</v>
      </c>
      <c r="R56">
        <v>0</v>
      </c>
      <c r="S56" s="8">
        <f t="shared" si="30"/>
        <v>0</v>
      </c>
      <c r="T56" s="8">
        <f t="shared" si="28"/>
        <v>1.0922729918696564E-2</v>
      </c>
      <c r="U56">
        <f t="shared" si="12"/>
        <v>1.0922729918696564E-2</v>
      </c>
      <c r="V56" s="14">
        <v>7.8</v>
      </c>
      <c r="W56" s="8">
        <f t="shared" si="13"/>
        <v>8.5197293365833204E-2</v>
      </c>
      <c r="Y56" s="8">
        <f t="shared" si="31"/>
        <v>0.15291821886175189</v>
      </c>
      <c r="Z56">
        <f t="shared" si="32"/>
        <v>1.851545049903263E-2</v>
      </c>
      <c r="AA56" s="8">
        <f t="shared" si="7"/>
        <v>0.37030900998065264</v>
      </c>
      <c r="AB56">
        <f t="shared" si="33"/>
        <v>7.9735928406484916E-3</v>
      </c>
      <c r="AC56" s="8">
        <f t="shared" si="7"/>
        <v>0.15947185681296983</v>
      </c>
      <c r="AD56" s="54">
        <f t="shared" si="9"/>
        <v>-0.52322722884240447</v>
      </c>
      <c r="AE56" s="54">
        <f t="shared" si="10"/>
        <v>-0.31239007567472171</v>
      </c>
      <c r="AH56">
        <f t="shared" si="11"/>
        <v>0.52322722884240447</v>
      </c>
    </row>
    <row r="57" spans="1:34" x14ac:dyDescent="0.25">
      <c r="A57">
        <v>11</v>
      </c>
      <c r="B57" s="10" t="s">
        <v>103</v>
      </c>
      <c r="C57">
        <v>3383281</v>
      </c>
      <c r="D57" s="8">
        <v>3373853</v>
      </c>
      <c r="E57" s="8">
        <v>505733</v>
      </c>
      <c r="P57" s="10" t="s">
        <v>142</v>
      </c>
      <c r="Q57" s="8">
        <v>31295</v>
      </c>
      <c r="R57">
        <v>0</v>
      </c>
      <c r="S57" s="8">
        <f t="shared" si="30"/>
        <v>0</v>
      </c>
      <c r="T57" s="8">
        <f t="shared" si="28"/>
        <v>-0.20293688934360543</v>
      </c>
      <c r="U57">
        <f t="shared" si="12"/>
        <v>0</v>
      </c>
      <c r="V57" s="14">
        <v>8.3000000000000007</v>
      </c>
      <c r="W57" s="8">
        <f t="shared" si="13"/>
        <v>0</v>
      </c>
      <c r="Y57" s="8">
        <f t="shared" si="31"/>
        <v>0</v>
      </c>
      <c r="Z57">
        <f t="shared" si="32"/>
        <v>0</v>
      </c>
      <c r="AA57" s="8">
        <f t="shared" si="7"/>
        <v>0</v>
      </c>
      <c r="AB57">
        <f t="shared" si="33"/>
        <v>0</v>
      </c>
      <c r="AC57" s="8">
        <f t="shared" si="7"/>
        <v>0</v>
      </c>
      <c r="AD57" s="54">
        <f t="shared" si="9"/>
        <v>0</v>
      </c>
      <c r="AE57" s="54">
        <f t="shared" si="10"/>
        <v>0</v>
      </c>
      <c r="AH57">
        <f t="shared" si="11"/>
        <v>0</v>
      </c>
    </row>
    <row r="58" spans="1:34" x14ac:dyDescent="0.25">
      <c r="A58">
        <v>12</v>
      </c>
      <c r="B58" s="10" t="s">
        <v>104</v>
      </c>
      <c r="C58">
        <v>1942122</v>
      </c>
      <c r="D58" s="8">
        <v>1942122</v>
      </c>
      <c r="E58" s="8">
        <v>292687</v>
      </c>
      <c r="P58" s="10" t="s">
        <v>143</v>
      </c>
      <c r="Q58" s="8">
        <v>1899653</v>
      </c>
      <c r="R58">
        <v>12.5</v>
      </c>
      <c r="S58" s="8">
        <f t="shared" si="30"/>
        <v>75</v>
      </c>
      <c r="T58" s="8">
        <f t="shared" si="28"/>
        <v>2.9837278408571017</v>
      </c>
      <c r="U58">
        <f t="shared" si="12"/>
        <v>2.9837278408571017</v>
      </c>
      <c r="V58" s="14">
        <v>7.8</v>
      </c>
      <c r="W58" s="8">
        <f t="shared" si="13"/>
        <v>23.273077158685393</v>
      </c>
      <c r="Y58" s="8">
        <f t="shared" si="31"/>
        <v>41.772189771999422</v>
      </c>
      <c r="Z58">
        <f t="shared" si="32"/>
        <v>5.057807485051109</v>
      </c>
      <c r="AA58" s="8">
        <f t="shared" si="7"/>
        <v>101.15614970102217</v>
      </c>
      <c r="AB58">
        <f t="shared" si="33"/>
        <v>2.178121323825684</v>
      </c>
      <c r="AC58" s="8">
        <f t="shared" si="7"/>
        <v>43.562426476513679</v>
      </c>
      <c r="AD58" s="54">
        <f t="shared" si="9"/>
        <v>-67.928339473021595</v>
      </c>
      <c r="AE58" s="54">
        <f t="shared" si="10"/>
        <v>-10.3346162485131</v>
      </c>
      <c r="AH58">
        <f t="shared" si="11"/>
        <v>142.92833947302159</v>
      </c>
    </row>
    <row r="59" spans="1:34" x14ac:dyDescent="0.25">
      <c r="A59" s="7">
        <v>13</v>
      </c>
      <c r="B59" s="20" t="s">
        <v>105</v>
      </c>
      <c r="C59" s="7">
        <v>2182455</v>
      </c>
      <c r="D59" s="6">
        <v>2174874</v>
      </c>
      <c r="E59" s="6">
        <v>328860</v>
      </c>
      <c r="P59" s="10" t="s">
        <v>144</v>
      </c>
      <c r="Q59" s="8">
        <v>1871546</v>
      </c>
      <c r="R59">
        <v>12.5</v>
      </c>
      <c r="S59" s="8">
        <f t="shared" si="30"/>
        <v>75</v>
      </c>
      <c r="T59" s="8">
        <f t="shared" si="28"/>
        <v>2.9357886420677093</v>
      </c>
      <c r="U59">
        <f t="shared" si="12"/>
        <v>2.9357886420677093</v>
      </c>
      <c r="V59" s="14">
        <v>7.8</v>
      </c>
      <c r="W59" s="8">
        <f t="shared" si="13"/>
        <v>22.89915140812813</v>
      </c>
      <c r="Y59" s="8">
        <f t="shared" si="31"/>
        <v>41.101040988947929</v>
      </c>
      <c r="Z59">
        <f t="shared" si="32"/>
        <v>4.9765442963835094</v>
      </c>
      <c r="AA59" s="8">
        <f t="shared" si="7"/>
        <v>99.530885927670184</v>
      </c>
      <c r="AB59">
        <f t="shared" si="33"/>
        <v>2.1431257087094275</v>
      </c>
      <c r="AC59" s="8">
        <f t="shared" si="7"/>
        <v>42.862514174188547</v>
      </c>
      <c r="AD59" s="54">
        <f t="shared" si="9"/>
        <v>-65.631926916618113</v>
      </c>
      <c r="AE59" s="54">
        <f t="shared" si="10"/>
        <v>-8.9635551631364763</v>
      </c>
      <c r="AH59">
        <f t="shared" si="11"/>
        <v>140.63192691661811</v>
      </c>
    </row>
    <row r="60" spans="1:34" x14ac:dyDescent="0.25">
      <c r="A60">
        <v>14</v>
      </c>
      <c r="B60" s="10" t="s">
        <v>106</v>
      </c>
      <c r="D60" s="8">
        <v>88960</v>
      </c>
      <c r="E60" s="8"/>
      <c r="P60" s="10" t="s">
        <v>145</v>
      </c>
      <c r="Q60" s="8">
        <v>1597957</v>
      </c>
      <c r="R60">
        <v>12.5</v>
      </c>
      <c r="S60" s="8">
        <f t="shared" si="30"/>
        <v>75</v>
      </c>
      <c r="T60" s="8">
        <f t="shared" si="28"/>
        <v>2.4691562210483537</v>
      </c>
      <c r="U60">
        <f t="shared" si="12"/>
        <v>2.4691562210483537</v>
      </c>
      <c r="V60" s="14">
        <v>7.9</v>
      </c>
      <c r="W60" s="8">
        <f t="shared" si="13"/>
        <v>19.506334146281997</v>
      </c>
      <c r="Y60" s="8">
        <f t="shared" si="31"/>
        <v>34.568187094676951</v>
      </c>
      <c r="Z60">
        <f t="shared" si="32"/>
        <v>4.1855415381958698</v>
      </c>
      <c r="AA60" s="8">
        <f t="shared" si="7"/>
        <v>83.7108307639174</v>
      </c>
      <c r="AB60">
        <f t="shared" si="33"/>
        <v>1.8024840413652983</v>
      </c>
      <c r="AC60" s="8">
        <f t="shared" si="7"/>
        <v>36.049680827305963</v>
      </c>
      <c r="AD60" s="54">
        <f t="shared" si="9"/>
        <v>-43.279017858594351</v>
      </c>
      <c r="AE60" s="54">
        <f t="shared" si="10"/>
        <v>4.3821320780170865</v>
      </c>
      <c r="AF60" t="s">
        <v>200</v>
      </c>
      <c r="AH60">
        <f t="shared" si="11"/>
        <v>118.27901785859436</v>
      </c>
    </row>
    <row r="61" spans="1:34" x14ac:dyDescent="0.25">
      <c r="A61">
        <v>15</v>
      </c>
      <c r="B61" s="10" t="s">
        <v>107</v>
      </c>
      <c r="D61" s="8">
        <v>232604</v>
      </c>
      <c r="E61" s="8"/>
      <c r="P61" s="10" t="s">
        <v>146</v>
      </c>
      <c r="Q61" s="8">
        <v>1860703</v>
      </c>
      <c r="R61">
        <v>12.5</v>
      </c>
      <c r="S61" s="8">
        <f t="shared" si="30"/>
        <v>75</v>
      </c>
      <c r="T61" s="8">
        <f t="shared" si="28"/>
        <v>2.9172948600036905</v>
      </c>
      <c r="U61">
        <f t="shared" si="12"/>
        <v>2.9172948600036905</v>
      </c>
      <c r="V61" s="14">
        <v>7.9</v>
      </c>
      <c r="W61" s="8">
        <f t="shared" si="13"/>
        <v>23.046629394029157</v>
      </c>
      <c r="Y61" s="8">
        <f t="shared" si="31"/>
        <v>40.842128040051669</v>
      </c>
      <c r="Z61">
        <f t="shared" si="32"/>
        <v>4.9451949259518448</v>
      </c>
      <c r="AA61" s="8">
        <f t="shared" si="7"/>
        <v>98.9038985190369</v>
      </c>
      <c r="AB61">
        <f t="shared" si="33"/>
        <v>2.1296252478026942</v>
      </c>
      <c r="AC61" s="8">
        <f t="shared" si="7"/>
        <v>42.592504956053887</v>
      </c>
      <c r="AD61" s="54">
        <f t="shared" si="9"/>
        <v>-64.746026559088563</v>
      </c>
      <c r="AE61" s="54">
        <f t="shared" si="10"/>
        <v>-8.4346329961055559</v>
      </c>
      <c r="AF61" s="54">
        <f>AVERAGE(AD58:AD61)</f>
        <v>-60.396327701830657</v>
      </c>
      <c r="AG61" s="54">
        <f>AVERAGE(AE58:AE61)</f>
        <v>-5.8376680824345115</v>
      </c>
      <c r="AH61">
        <f t="shared" si="11"/>
        <v>139.74602655908856</v>
      </c>
    </row>
    <row r="62" spans="1:34" x14ac:dyDescent="0.25">
      <c r="A62">
        <v>16</v>
      </c>
      <c r="B62" s="10" t="s">
        <v>108</v>
      </c>
      <c r="C62">
        <v>1448094</v>
      </c>
      <c r="D62" s="8">
        <v>1448094</v>
      </c>
      <c r="E62" s="8">
        <v>212995</v>
      </c>
    </row>
    <row r="63" spans="1:34" x14ac:dyDescent="0.25">
      <c r="A63">
        <v>17</v>
      </c>
      <c r="B63" s="10" t="s">
        <v>109</v>
      </c>
      <c r="C63">
        <v>1954193</v>
      </c>
      <c r="D63" s="8">
        <v>1949849</v>
      </c>
      <c r="E63" s="8">
        <v>288234</v>
      </c>
    </row>
    <row r="64" spans="1:34" x14ac:dyDescent="0.25">
      <c r="A64">
        <v>18</v>
      </c>
      <c r="B64" s="10" t="s">
        <v>110</v>
      </c>
      <c r="C64">
        <v>718257</v>
      </c>
      <c r="D64" s="8">
        <v>720683</v>
      </c>
      <c r="E64" s="8">
        <v>103142</v>
      </c>
    </row>
    <row r="65" spans="1:5" x14ac:dyDescent="0.25">
      <c r="A65" s="7">
        <v>19</v>
      </c>
      <c r="B65" s="20" t="s">
        <v>111</v>
      </c>
      <c r="C65" s="7">
        <v>699793</v>
      </c>
      <c r="D65" s="6">
        <v>699793</v>
      </c>
      <c r="E65" s="6">
        <v>105074</v>
      </c>
    </row>
    <row r="66" spans="1:5" x14ac:dyDescent="0.25">
      <c r="A66" s="7">
        <v>20</v>
      </c>
      <c r="B66" s="6" t="s">
        <v>118</v>
      </c>
      <c r="C66" s="7"/>
      <c r="D66" s="6">
        <v>40579</v>
      </c>
      <c r="E66" s="6"/>
    </row>
    <row r="67" spans="1:5" x14ac:dyDescent="0.25">
      <c r="A67">
        <v>21</v>
      </c>
      <c r="B67" s="10" t="s">
        <v>112</v>
      </c>
      <c r="D67" s="8">
        <v>118898</v>
      </c>
      <c r="E67" s="8">
        <v>16006</v>
      </c>
    </row>
    <row r="68" spans="1:5" x14ac:dyDescent="0.25">
      <c r="A68">
        <v>22</v>
      </c>
      <c r="B68" s="10" t="s">
        <v>113</v>
      </c>
      <c r="D68" s="8">
        <v>18766</v>
      </c>
      <c r="E68" s="8"/>
    </row>
    <row r="69" spans="1:5" x14ac:dyDescent="0.25">
      <c r="A69">
        <v>23</v>
      </c>
      <c r="B69" s="10" t="s">
        <v>114</v>
      </c>
      <c r="C69">
        <v>761878</v>
      </c>
      <c r="D69" s="8">
        <v>766173</v>
      </c>
      <c r="E69" s="8">
        <v>115566</v>
      </c>
    </row>
    <row r="70" spans="1:5" x14ac:dyDescent="0.25">
      <c r="A70">
        <v>24</v>
      </c>
      <c r="B70" s="10" t="s">
        <v>115</v>
      </c>
      <c r="C70">
        <v>694324</v>
      </c>
      <c r="D70" s="8">
        <v>694324</v>
      </c>
      <c r="E70" s="8">
        <v>101227</v>
      </c>
    </row>
    <row r="71" spans="1:5" x14ac:dyDescent="0.25">
      <c r="A71">
        <v>25</v>
      </c>
      <c r="B71" s="10" t="s">
        <v>116</v>
      </c>
      <c r="C71">
        <v>545029</v>
      </c>
      <c r="D71" s="8">
        <v>545029</v>
      </c>
      <c r="E71" s="8">
        <v>78863</v>
      </c>
    </row>
    <row r="72" spans="1:5" x14ac:dyDescent="0.25">
      <c r="A72">
        <v>26</v>
      </c>
      <c r="B72" s="10" t="s">
        <v>117</v>
      </c>
      <c r="C72">
        <v>440088</v>
      </c>
      <c r="D72" s="8">
        <v>440541</v>
      </c>
      <c r="E72" s="8">
        <v>65666</v>
      </c>
    </row>
    <row r="76" spans="1:5" x14ac:dyDescent="0.25">
      <c r="A76" t="s">
        <v>119</v>
      </c>
      <c r="C76" t="s">
        <v>1</v>
      </c>
    </row>
    <row r="77" spans="1:5" x14ac:dyDescent="0.25">
      <c r="A77" t="s">
        <v>120</v>
      </c>
    </row>
    <row r="78" spans="1:5" x14ac:dyDescent="0.25">
      <c r="A78" t="s">
        <v>2</v>
      </c>
    </row>
    <row r="79" spans="1:5" x14ac:dyDescent="0.25">
      <c r="A79" t="s">
        <v>4</v>
      </c>
    </row>
    <row r="80" spans="1:5" x14ac:dyDescent="0.25">
      <c r="A80" s="1"/>
      <c r="B80" s="2"/>
      <c r="C80" s="3" t="s">
        <v>8</v>
      </c>
      <c r="D80" s="3"/>
      <c r="E80" s="22" t="s">
        <v>9</v>
      </c>
    </row>
    <row r="81" spans="1:5" x14ac:dyDescent="0.25">
      <c r="A81" s="5" t="s">
        <v>11</v>
      </c>
      <c r="B81" s="6" t="s">
        <v>12</v>
      </c>
      <c r="C81" s="7" t="s">
        <v>16</v>
      </c>
      <c r="D81" s="6" t="s">
        <v>17</v>
      </c>
      <c r="E81" s="23" t="s">
        <v>19</v>
      </c>
    </row>
    <row r="82" spans="1:5" x14ac:dyDescent="0.25">
      <c r="A82">
        <v>1</v>
      </c>
      <c r="B82" s="4" t="s">
        <v>121</v>
      </c>
      <c r="D82" s="4">
        <v>15880</v>
      </c>
      <c r="E82" s="4"/>
    </row>
    <row r="83" spans="1:5" x14ac:dyDescent="0.25">
      <c r="A83">
        <v>2</v>
      </c>
      <c r="B83" s="8" t="s">
        <v>122</v>
      </c>
      <c r="D83" s="8">
        <v>24957</v>
      </c>
      <c r="E83" s="8"/>
    </row>
    <row r="84" spans="1:5" x14ac:dyDescent="0.25">
      <c r="A84">
        <v>3</v>
      </c>
      <c r="B84" s="8" t="s">
        <v>123</v>
      </c>
      <c r="C84">
        <v>387228</v>
      </c>
      <c r="D84" s="8">
        <v>387228</v>
      </c>
      <c r="E84" s="8">
        <v>58783</v>
      </c>
    </row>
    <row r="85" spans="1:5" x14ac:dyDescent="0.25">
      <c r="A85">
        <v>4</v>
      </c>
      <c r="B85" s="8" t="s">
        <v>124</v>
      </c>
      <c r="C85">
        <v>369283</v>
      </c>
      <c r="D85" s="8">
        <v>369283</v>
      </c>
      <c r="E85" s="8">
        <v>54144</v>
      </c>
    </row>
    <row r="86" spans="1:5" x14ac:dyDescent="0.25">
      <c r="A86">
        <v>5</v>
      </c>
      <c r="B86" s="8" t="s">
        <v>125</v>
      </c>
      <c r="C86">
        <v>1914527</v>
      </c>
      <c r="D86" s="8">
        <v>1914527</v>
      </c>
      <c r="E86" s="8">
        <v>287527</v>
      </c>
    </row>
    <row r="87" spans="1:5" x14ac:dyDescent="0.25">
      <c r="A87">
        <v>6</v>
      </c>
      <c r="B87" s="8" t="s">
        <v>126</v>
      </c>
      <c r="C87">
        <v>2044957</v>
      </c>
      <c r="D87" s="8">
        <v>2039245</v>
      </c>
      <c r="E87" s="8">
        <v>301209</v>
      </c>
    </row>
    <row r="88" spans="1:5" x14ac:dyDescent="0.25">
      <c r="A88">
        <v>7</v>
      </c>
      <c r="B88" s="8" t="s">
        <v>127</v>
      </c>
      <c r="C88">
        <v>4260749</v>
      </c>
      <c r="D88" s="8">
        <v>4252537</v>
      </c>
      <c r="E88" s="8">
        <v>637012</v>
      </c>
    </row>
    <row r="89" spans="1:5" x14ac:dyDescent="0.25">
      <c r="A89">
        <v>8</v>
      </c>
      <c r="B89" s="8" t="s">
        <v>128</v>
      </c>
      <c r="C89">
        <v>4619125</v>
      </c>
      <c r="D89" s="8">
        <v>4610723</v>
      </c>
      <c r="E89" s="8">
        <v>690732</v>
      </c>
    </row>
    <row r="90" spans="1:5" x14ac:dyDescent="0.25">
      <c r="A90">
        <v>9</v>
      </c>
      <c r="B90" s="6" t="s">
        <v>129</v>
      </c>
      <c r="C90" s="7"/>
      <c r="D90" s="6">
        <v>105093</v>
      </c>
      <c r="E90" s="6"/>
    </row>
    <row r="91" spans="1:5" x14ac:dyDescent="0.25">
      <c r="A91">
        <v>10</v>
      </c>
      <c r="B91" s="10" t="s">
        <v>130</v>
      </c>
      <c r="C91">
        <v>2289482</v>
      </c>
      <c r="D91" s="8">
        <v>2287282</v>
      </c>
      <c r="E91" s="8">
        <v>347571</v>
      </c>
    </row>
    <row r="92" spans="1:5" x14ac:dyDescent="0.25">
      <c r="A92">
        <v>11</v>
      </c>
      <c r="B92" s="10" t="s">
        <v>131</v>
      </c>
      <c r="C92">
        <v>2168216</v>
      </c>
      <c r="D92" s="8">
        <v>2168216</v>
      </c>
      <c r="E92" s="8">
        <v>325270</v>
      </c>
    </row>
    <row r="93" spans="1:5" x14ac:dyDescent="0.25">
      <c r="A93">
        <v>12</v>
      </c>
      <c r="B93" s="10" t="s">
        <v>132</v>
      </c>
      <c r="C93">
        <v>2430899</v>
      </c>
      <c r="D93" s="8">
        <v>2424455</v>
      </c>
      <c r="E93" s="8">
        <v>368191</v>
      </c>
    </row>
    <row r="94" spans="1:5" x14ac:dyDescent="0.25">
      <c r="A94" s="7">
        <v>13</v>
      </c>
      <c r="B94" s="20" t="s">
        <v>133</v>
      </c>
      <c r="C94" s="7">
        <v>2770487</v>
      </c>
      <c r="D94" s="6">
        <v>2767769</v>
      </c>
      <c r="E94" s="6">
        <v>411032</v>
      </c>
    </row>
    <row r="95" spans="1:5" x14ac:dyDescent="0.25">
      <c r="A95">
        <v>14</v>
      </c>
      <c r="B95" s="10" t="s">
        <v>135</v>
      </c>
      <c r="C95">
        <v>238332</v>
      </c>
      <c r="D95" s="8">
        <v>239617</v>
      </c>
      <c r="E95" s="8">
        <v>35258</v>
      </c>
    </row>
    <row r="96" spans="1:5" x14ac:dyDescent="0.25">
      <c r="A96">
        <v>15</v>
      </c>
      <c r="B96" s="10" t="s">
        <v>136</v>
      </c>
      <c r="D96" s="8">
        <v>53381</v>
      </c>
      <c r="E96" s="8"/>
    </row>
    <row r="97" spans="1:5" x14ac:dyDescent="0.25">
      <c r="A97">
        <v>16</v>
      </c>
      <c r="B97" s="10" t="s">
        <v>137</v>
      </c>
      <c r="C97">
        <v>2244300</v>
      </c>
      <c r="D97" s="8">
        <v>2239511</v>
      </c>
      <c r="E97" s="8">
        <v>337853</v>
      </c>
    </row>
    <row r="98" spans="1:5" x14ac:dyDescent="0.25">
      <c r="A98">
        <v>17</v>
      </c>
      <c r="B98" s="10" t="s">
        <v>138</v>
      </c>
      <c r="C98">
        <v>1850022</v>
      </c>
      <c r="D98" s="8">
        <v>1846720</v>
      </c>
      <c r="E98" s="8">
        <v>274660</v>
      </c>
    </row>
    <row r="99" spans="1:5" x14ac:dyDescent="0.25">
      <c r="A99">
        <v>18</v>
      </c>
      <c r="B99" s="10" t="s">
        <v>139</v>
      </c>
      <c r="C99">
        <v>2084957</v>
      </c>
      <c r="D99" s="8">
        <v>2082174</v>
      </c>
      <c r="E99" s="8">
        <v>311155</v>
      </c>
    </row>
    <row r="100" spans="1:5" x14ac:dyDescent="0.25">
      <c r="A100" s="7">
        <v>19</v>
      </c>
      <c r="B100" s="20" t="s">
        <v>140</v>
      </c>
      <c r="C100" s="7">
        <v>2181819</v>
      </c>
      <c r="D100" s="6">
        <v>2181819</v>
      </c>
      <c r="E100" s="6">
        <v>321609</v>
      </c>
    </row>
    <row r="101" spans="1:5" x14ac:dyDescent="0.25">
      <c r="A101" s="7">
        <v>20</v>
      </c>
      <c r="B101" s="2" t="s">
        <v>134</v>
      </c>
      <c r="C101" s="21"/>
      <c r="D101" s="2">
        <v>95715</v>
      </c>
      <c r="E101" s="2"/>
    </row>
    <row r="102" spans="1:5" x14ac:dyDescent="0.25">
      <c r="A102">
        <v>21</v>
      </c>
      <c r="B102" s="10" t="s">
        <v>141</v>
      </c>
      <c r="C102">
        <v>155631</v>
      </c>
      <c r="D102" s="8">
        <v>156682</v>
      </c>
      <c r="E102" s="8">
        <v>23900</v>
      </c>
    </row>
    <row r="103" spans="1:5" x14ac:dyDescent="0.25">
      <c r="A103">
        <v>22</v>
      </c>
      <c r="B103" s="10" t="s">
        <v>142</v>
      </c>
      <c r="D103" s="8">
        <v>31295</v>
      </c>
      <c r="E103" s="8"/>
    </row>
    <row r="104" spans="1:5" x14ac:dyDescent="0.25">
      <c r="A104">
        <v>23</v>
      </c>
      <c r="B104" s="10" t="s">
        <v>143</v>
      </c>
      <c r="C104">
        <v>1905470</v>
      </c>
      <c r="D104" s="8">
        <v>1899653</v>
      </c>
      <c r="E104" s="8">
        <v>287831</v>
      </c>
    </row>
    <row r="105" spans="1:5" x14ac:dyDescent="0.25">
      <c r="A105">
        <v>24</v>
      </c>
      <c r="B105" s="10" t="s">
        <v>144</v>
      </c>
      <c r="C105">
        <v>1871546</v>
      </c>
      <c r="D105" s="8">
        <v>1871546</v>
      </c>
      <c r="E105" s="8">
        <v>284569</v>
      </c>
    </row>
    <row r="106" spans="1:5" x14ac:dyDescent="0.25">
      <c r="A106">
        <v>25</v>
      </c>
      <c r="B106" s="10" t="s">
        <v>145</v>
      </c>
      <c r="C106">
        <v>1597957</v>
      </c>
      <c r="D106" s="8">
        <v>1597957</v>
      </c>
      <c r="E106" s="8">
        <v>239509</v>
      </c>
    </row>
    <row r="107" spans="1:5" x14ac:dyDescent="0.25">
      <c r="A107">
        <v>26</v>
      </c>
      <c r="B107" s="10" t="s">
        <v>146</v>
      </c>
      <c r="C107">
        <v>1863148</v>
      </c>
      <c r="D107" s="8">
        <v>1860703</v>
      </c>
      <c r="E107" s="8">
        <v>275397</v>
      </c>
    </row>
  </sheetData>
  <pageMargins left="0.7" right="0.7" top="0.78740157499999996" bottom="0.78740157499999996" header="0.3" footer="0.3"/>
  <ignoredErrors>
    <ignoredError sqref="AB44:AB45 AB10:AB43 AB46:AB6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B0AD-6B65-43C5-AE07-A14EB6B3A612}">
  <dimension ref="A1:BU139"/>
  <sheetViews>
    <sheetView topLeftCell="T1" zoomScale="70" zoomScaleNormal="70" workbookViewId="0">
      <selection activeCell="AO14" sqref="AO14"/>
    </sheetView>
  </sheetViews>
  <sheetFormatPr baseColWidth="10" defaultRowHeight="15" x14ac:dyDescent="0.25"/>
  <cols>
    <col min="2" max="2" width="33.140625" bestFit="1" customWidth="1"/>
    <col min="13" max="13" width="33.140625" bestFit="1" customWidth="1"/>
    <col min="15" max="15" width="15.28515625" bestFit="1" customWidth="1"/>
    <col min="30" max="30" width="29.5703125" bestFit="1" customWidth="1"/>
    <col min="31" max="32" width="15.42578125" bestFit="1" customWidth="1"/>
    <col min="33" max="33" width="15.5703125" customWidth="1"/>
    <col min="34" max="35" width="12.85546875" bestFit="1" customWidth="1"/>
    <col min="38" max="38" width="14.85546875" bestFit="1" customWidth="1"/>
    <col min="39" max="39" width="12.85546875" bestFit="1" customWidth="1"/>
    <col min="40" max="40" width="15.7109375" bestFit="1" customWidth="1"/>
    <col min="41" max="41" width="12.85546875" bestFit="1" customWidth="1"/>
    <col min="42" max="42" width="11.140625" bestFit="1" customWidth="1"/>
    <col min="44" max="44" width="12.85546875" bestFit="1" customWidth="1"/>
    <col min="46" max="46" width="12.85546875" bestFit="1" customWidth="1"/>
    <col min="64" max="64" width="12.140625" bestFit="1" customWidth="1"/>
  </cols>
  <sheetData>
    <row r="1" spans="1:73" x14ac:dyDescent="0.25">
      <c r="A1" t="s">
        <v>24</v>
      </c>
      <c r="M1" s="68" t="s">
        <v>212</v>
      </c>
      <c r="R1" s="69"/>
      <c r="AD1" s="68" t="s">
        <v>212</v>
      </c>
      <c r="AL1" s="72" t="s">
        <v>257</v>
      </c>
      <c r="AN1" t="s">
        <v>169</v>
      </c>
      <c r="AO1" t="s">
        <v>170</v>
      </c>
      <c r="AP1" t="s">
        <v>171</v>
      </c>
      <c r="AR1" t="s">
        <v>220</v>
      </c>
      <c r="AS1">
        <v>20</v>
      </c>
      <c r="AT1" t="s">
        <v>266</v>
      </c>
      <c r="AU1" t="s">
        <v>259</v>
      </c>
      <c r="AV1" t="s">
        <v>261</v>
      </c>
      <c r="AW1" t="s">
        <v>265</v>
      </c>
      <c r="AX1" t="s">
        <v>260</v>
      </c>
      <c r="AY1" t="s">
        <v>263</v>
      </c>
      <c r="AZ1" t="s">
        <v>264</v>
      </c>
      <c r="BC1">
        <v>0.99195</v>
      </c>
      <c r="BD1">
        <v>0.61699999999999999</v>
      </c>
      <c r="BE1" t="s">
        <v>200</v>
      </c>
      <c r="BG1" s="95" t="s">
        <v>308</v>
      </c>
      <c r="BK1" t="s">
        <v>290</v>
      </c>
      <c r="BM1" t="s">
        <v>246</v>
      </c>
      <c r="BQ1" t="s">
        <v>283</v>
      </c>
      <c r="BR1" t="s">
        <v>290</v>
      </c>
      <c r="BT1" t="s">
        <v>246</v>
      </c>
    </row>
    <row r="2" spans="1:73" x14ac:dyDescent="0.25">
      <c r="A2" t="s">
        <v>25</v>
      </c>
      <c r="M2" s="70" t="s">
        <v>213</v>
      </c>
      <c r="R2" s="69"/>
      <c r="AC2" s="79" t="s">
        <v>221</v>
      </c>
      <c r="AD2" s="70" t="s">
        <v>213</v>
      </c>
      <c r="AE2" t="s">
        <v>222</v>
      </c>
      <c r="AF2" t="s">
        <v>223</v>
      </c>
      <c r="AG2" s="24"/>
      <c r="AL2" s="72" t="s">
        <v>258</v>
      </c>
      <c r="AM2" s="72" t="s">
        <v>224</v>
      </c>
      <c r="AN2">
        <v>8</v>
      </c>
      <c r="AO2">
        <v>6</v>
      </c>
      <c r="AP2">
        <v>6</v>
      </c>
      <c r="AU2" t="s">
        <v>169</v>
      </c>
      <c r="AV2">
        <v>0.49919651814028965</v>
      </c>
      <c r="AX2" t="s">
        <v>169</v>
      </c>
      <c r="AY2">
        <v>0.73899999999999999</v>
      </c>
      <c r="AZ2">
        <v>0.61960000000000004</v>
      </c>
      <c r="BC2">
        <v>1.1083000000000001</v>
      </c>
      <c r="BD2">
        <v>0.80700000000000005</v>
      </c>
      <c r="BE2" t="s">
        <v>267</v>
      </c>
      <c r="BI2" t="s">
        <v>283</v>
      </c>
      <c r="BJ2" t="s">
        <v>182</v>
      </c>
      <c r="BK2" t="s">
        <v>288</v>
      </c>
      <c r="BL2" t="s">
        <v>289</v>
      </c>
      <c r="BM2" t="s">
        <v>288</v>
      </c>
      <c r="BN2" t="s">
        <v>289</v>
      </c>
      <c r="BP2" t="s">
        <v>169</v>
      </c>
      <c r="BQ2" t="s">
        <v>182</v>
      </c>
      <c r="BR2" t="s">
        <v>288</v>
      </c>
      <c r="BS2" t="s">
        <v>289</v>
      </c>
      <c r="BT2" t="s">
        <v>288</v>
      </c>
      <c r="BU2" t="s">
        <v>289</v>
      </c>
    </row>
    <row r="3" spans="1:73" ht="15.75" thickBot="1" x14ac:dyDescent="0.3">
      <c r="A3" t="s">
        <v>2</v>
      </c>
      <c r="M3" s="71" t="s">
        <v>214</v>
      </c>
      <c r="AC3" s="79" t="s">
        <v>225</v>
      </c>
      <c r="AD3" s="80" t="s">
        <v>214</v>
      </c>
      <c r="AE3" t="s">
        <v>226</v>
      </c>
      <c r="AF3" t="s">
        <v>223</v>
      </c>
      <c r="AM3" t="s">
        <v>227</v>
      </c>
      <c r="AN3">
        <v>8</v>
      </c>
      <c r="AO3">
        <v>16</v>
      </c>
      <c r="AP3">
        <v>8</v>
      </c>
      <c r="AU3" t="s">
        <v>170</v>
      </c>
      <c r="AV3">
        <v>7.0109859810614132</v>
      </c>
      <c r="AX3" t="s">
        <v>170</v>
      </c>
      <c r="BC3">
        <v>0.73899999999999999</v>
      </c>
      <c r="BD3">
        <v>0.61960000000000004</v>
      </c>
      <c r="BE3" t="s">
        <v>268</v>
      </c>
      <c r="BI3" t="s">
        <v>169</v>
      </c>
      <c r="BJ3" t="s">
        <v>276</v>
      </c>
      <c r="BK3" s="94">
        <f>AVERAGE(AN39:AN44,AN59:AN62)</f>
        <v>6.9730969997123609</v>
      </c>
      <c r="BL3" s="94">
        <f>AVERAGE(AO39:AO44,AO59:AO62)</f>
        <v>6.9830426996584567</v>
      </c>
      <c r="BM3" s="94">
        <f>AVERAGE(AP39:AP44,AP59:AP62)</f>
        <v>55.784775997698887</v>
      </c>
      <c r="BN3" s="94">
        <f>AVERAGE(AQ39:AQ44,AQ59:AQ62)</f>
        <v>55.864341597267654</v>
      </c>
      <c r="BO3" s="98"/>
      <c r="BP3" t="s">
        <v>276</v>
      </c>
      <c r="BQ3" t="s">
        <v>281</v>
      </c>
      <c r="BR3" s="94">
        <f>AVERAGE(AN59:AN62)</f>
        <v>6.3356406014975981</v>
      </c>
      <c r="BS3" s="94">
        <f t="shared" ref="BS3:BU3" si="0">AVERAGE(AO59:AO62)</f>
        <v>6.2428718713783233</v>
      </c>
      <c r="BT3" s="94">
        <f t="shared" si="0"/>
        <v>50.685124811980785</v>
      </c>
      <c r="BU3" s="94">
        <f t="shared" si="0"/>
        <v>49.942974971026587</v>
      </c>
    </row>
    <row r="4" spans="1:73" ht="15.75" thickBot="1" x14ac:dyDescent="0.3">
      <c r="A4" t="s">
        <v>4</v>
      </c>
      <c r="M4" s="24"/>
      <c r="P4" s="72" t="s">
        <v>200</v>
      </c>
      <c r="AC4" s="79" t="s">
        <v>228</v>
      </c>
      <c r="AD4" s="81" t="s">
        <v>229</v>
      </c>
      <c r="AE4" t="s">
        <v>230</v>
      </c>
      <c r="AF4" t="s">
        <v>231</v>
      </c>
      <c r="AG4" s="82" t="s">
        <v>232</v>
      </c>
      <c r="AM4" t="s">
        <v>233</v>
      </c>
      <c r="AN4">
        <f>SUM(AN2:AN3)</f>
        <v>16</v>
      </c>
      <c r="AO4">
        <f t="shared" ref="AO4:AP4" si="1">SUM(AO2:AO3)</f>
        <v>22</v>
      </c>
      <c r="AP4">
        <f t="shared" si="1"/>
        <v>14</v>
      </c>
      <c r="AU4" t="s">
        <v>171</v>
      </c>
      <c r="AV4">
        <v>0.7834690532107339</v>
      </c>
      <c r="AX4" t="s">
        <v>171</v>
      </c>
      <c r="BI4" t="s">
        <v>281</v>
      </c>
      <c r="BJ4" t="s">
        <v>278</v>
      </c>
      <c r="BK4" s="54">
        <f>STDEV(AN39:AN44,AN59:AN62)</f>
        <v>1.7931760314575558</v>
      </c>
      <c r="BL4" s="54">
        <f>STDEV(AO39:AO44,AO59:AO62)</f>
        <v>1.8275479556641625</v>
      </c>
      <c r="BM4" s="54">
        <f t="shared" ref="BM4" si="2">STDEV(AP39:AP44,AP59:AP62)</f>
        <v>14.345408251660446</v>
      </c>
      <c r="BN4" s="54">
        <f>STDEV(AQ39:AQ44,AQ59:AQ62)</f>
        <v>14.6203836453133</v>
      </c>
      <c r="BQ4" t="s">
        <v>292</v>
      </c>
      <c r="BR4" s="54">
        <f>STDEV(AN59:AN62)</f>
        <v>1.6193894918554004</v>
      </c>
      <c r="BS4" s="54">
        <f t="shared" ref="BS4:BU4" si="3">STDEV(AO59:AO62)</f>
        <v>1.6225225847780134</v>
      </c>
      <c r="BT4" s="54">
        <f t="shared" si="3"/>
        <v>12.955115934843203</v>
      </c>
      <c r="BU4" s="54">
        <f t="shared" si="3"/>
        <v>12.980180678224107</v>
      </c>
    </row>
    <row r="5" spans="1:73" x14ac:dyDescent="0.25">
      <c r="A5" s="1"/>
      <c r="B5" s="2"/>
      <c r="C5" t="s">
        <v>8</v>
      </c>
      <c r="E5" t="s">
        <v>9</v>
      </c>
      <c r="F5" s="8"/>
      <c r="G5" t="s">
        <v>6</v>
      </c>
      <c r="H5" s="8"/>
      <c r="I5" s="63" t="s">
        <v>210</v>
      </c>
      <c r="M5" s="24" t="s">
        <v>147</v>
      </c>
      <c r="N5" t="s">
        <v>215</v>
      </c>
      <c r="O5" s="100" t="s">
        <v>216</v>
      </c>
      <c r="P5" s="62" t="s">
        <v>217</v>
      </c>
      <c r="AC5" s="79" t="s">
        <v>234</v>
      </c>
      <c r="AD5" s="83" t="s">
        <v>235</v>
      </c>
      <c r="AJ5" s="72" t="s">
        <v>236</v>
      </c>
      <c r="AM5" t="s">
        <v>237</v>
      </c>
      <c r="AN5">
        <f>AN4/AN3</f>
        <v>2</v>
      </c>
      <c r="AO5">
        <f>AO4/AO3</f>
        <v>1.375</v>
      </c>
      <c r="AP5">
        <f t="shared" ref="AP5" si="4">AP4/AP3</f>
        <v>1.75</v>
      </c>
      <c r="AS5" s="8"/>
      <c r="AT5" t="s">
        <v>240</v>
      </c>
      <c r="AU5" s="8"/>
      <c r="AV5" t="s">
        <v>240</v>
      </c>
      <c r="AX5" t="s">
        <v>240</v>
      </c>
      <c r="AZ5" t="s">
        <v>240</v>
      </c>
      <c r="BC5" t="s">
        <v>175</v>
      </c>
      <c r="BE5" t="s">
        <v>175</v>
      </c>
      <c r="BJ5" t="s">
        <v>277</v>
      </c>
      <c r="BK5" s="94">
        <f>AVERAGE(AN47:AN52,AN82:AN85)</f>
        <v>7.2770761637392454</v>
      </c>
      <c r="BL5" s="94">
        <f t="shared" ref="BL5:BN5" si="5">AVERAGE(AO47:AO52,AO82:AO85)</f>
        <v>7.2718944367060017</v>
      </c>
      <c r="BM5" s="94">
        <f t="shared" si="5"/>
        <v>58.216609309913963</v>
      </c>
      <c r="BN5" s="94">
        <f t="shared" si="5"/>
        <v>58.175155493648013</v>
      </c>
      <c r="BQ5" t="s">
        <v>278</v>
      </c>
      <c r="BR5" s="94">
        <f>AVERAGE(AN39:AN44)</f>
        <v>7.3980679318555351</v>
      </c>
      <c r="BS5" s="94">
        <f t="shared" ref="BS5:BU5" si="6">AVERAGE(AO39:AO44)</f>
        <v>7.4764899185118772</v>
      </c>
      <c r="BT5" s="94">
        <f t="shared" si="6"/>
        <v>59.184543454844281</v>
      </c>
      <c r="BU5" s="94">
        <f t="shared" si="6"/>
        <v>59.811919348095017</v>
      </c>
    </row>
    <row r="6" spans="1:73" x14ac:dyDescent="0.25">
      <c r="A6" s="5" t="s">
        <v>11</v>
      </c>
      <c r="B6" s="6" t="s">
        <v>12</v>
      </c>
      <c r="C6" s="7" t="s">
        <v>16</v>
      </c>
      <c r="D6" s="6" t="s">
        <v>17</v>
      </c>
      <c r="E6" s="7" t="s">
        <v>18</v>
      </c>
      <c r="F6" s="6" t="s">
        <v>19</v>
      </c>
      <c r="G6" s="7" t="s">
        <v>14</v>
      </c>
      <c r="H6" s="6" t="s">
        <v>15</v>
      </c>
      <c r="I6" s="23" t="s">
        <v>211</v>
      </c>
      <c r="L6" s="25">
        <v>44388</v>
      </c>
      <c r="M6" t="s">
        <v>218</v>
      </c>
      <c r="N6" t="s">
        <v>148</v>
      </c>
      <c r="O6" s="100" t="s">
        <v>219</v>
      </c>
      <c r="P6" s="74" t="s">
        <v>219</v>
      </c>
      <c r="Q6" t="s">
        <v>149</v>
      </c>
      <c r="R6" t="s">
        <v>150</v>
      </c>
      <c r="S6" t="s">
        <v>151</v>
      </c>
      <c r="AG6" s="84" t="s">
        <v>200</v>
      </c>
      <c r="AH6" t="s">
        <v>182</v>
      </c>
      <c r="AI6" s="8"/>
      <c r="AJ6" s="85" t="s">
        <v>200</v>
      </c>
      <c r="AK6" s="8"/>
      <c r="AL6" t="s">
        <v>238</v>
      </c>
      <c r="AN6" s="16" t="s">
        <v>239</v>
      </c>
      <c r="AS6" s="8"/>
      <c r="AT6" t="s">
        <v>248</v>
      </c>
      <c r="AU6" s="8"/>
      <c r="AV6" t="s">
        <v>248</v>
      </c>
      <c r="AW6" s="8"/>
      <c r="AX6" t="s">
        <v>249</v>
      </c>
      <c r="AZ6" t="s">
        <v>249</v>
      </c>
      <c r="BA6" s="8"/>
      <c r="BC6" t="s">
        <v>269</v>
      </c>
      <c r="BE6" t="s">
        <v>272</v>
      </c>
      <c r="BI6" t="s">
        <v>282</v>
      </c>
      <c r="BJ6" t="s">
        <v>279</v>
      </c>
      <c r="BK6" s="54">
        <f>STDEV(AN47:AN52,AN82:AN85)</f>
        <v>1.9247437177495277</v>
      </c>
      <c r="BL6" s="54">
        <f t="shared" ref="BL6:BN6" si="7">STDEV(AO47:AO52,AO82:AO85)</f>
        <v>1.9384587331414846</v>
      </c>
      <c r="BM6" s="54">
        <f t="shared" si="7"/>
        <v>15.397949741996221</v>
      </c>
      <c r="BN6" s="54">
        <f t="shared" si="7"/>
        <v>15.507669865131877</v>
      </c>
      <c r="BQ6" t="s">
        <v>291</v>
      </c>
      <c r="BR6" s="54">
        <f>STDEV(AN39:AN44)</f>
        <v>1.9164055490240222</v>
      </c>
      <c r="BS6" s="54">
        <f t="shared" ref="BS6:BU6" si="8">STDEV(AO39:AO44)</f>
        <v>1.9240214547147645</v>
      </c>
      <c r="BT6" s="54">
        <f t="shared" si="8"/>
        <v>15.331244392192177</v>
      </c>
      <c r="BU6" s="54">
        <f t="shared" si="8"/>
        <v>15.392171637718116</v>
      </c>
    </row>
    <row r="7" spans="1:73" x14ac:dyDescent="0.25">
      <c r="A7">
        <v>1</v>
      </c>
      <c r="B7" s="4" t="s">
        <v>27</v>
      </c>
      <c r="C7" s="14">
        <v>0</v>
      </c>
      <c r="D7" s="4">
        <v>58071</v>
      </c>
      <c r="E7" s="14">
        <v>0</v>
      </c>
      <c r="F7" s="4">
        <v>0</v>
      </c>
      <c r="G7">
        <v>138407</v>
      </c>
      <c r="H7" s="64">
        <v>142133</v>
      </c>
      <c r="I7" t="e">
        <f>D7/F7</f>
        <v>#DIV/0!</v>
      </c>
      <c r="L7" t="s">
        <v>11</v>
      </c>
      <c r="N7" s="6" t="s">
        <v>17</v>
      </c>
      <c r="O7" s="6" t="s">
        <v>17</v>
      </c>
      <c r="P7" s="6" t="s">
        <v>17</v>
      </c>
      <c r="Q7" t="s">
        <v>152</v>
      </c>
      <c r="R7" t="s">
        <v>153</v>
      </c>
      <c r="S7" t="s">
        <v>152</v>
      </c>
      <c r="AE7" s="8" t="s">
        <v>215</v>
      </c>
      <c r="AF7" s="101" t="s">
        <v>213</v>
      </c>
      <c r="AG7" s="65" t="s">
        <v>241</v>
      </c>
      <c r="AH7" t="s">
        <v>242</v>
      </c>
      <c r="AI7" s="8"/>
      <c r="AJ7" s="87" t="s">
        <v>243</v>
      </c>
      <c r="AK7" s="8"/>
      <c r="AL7" t="s">
        <v>244</v>
      </c>
      <c r="AN7" t="s">
        <v>245</v>
      </c>
      <c r="AP7" t="s">
        <v>246</v>
      </c>
      <c r="AR7" t="s">
        <v>247</v>
      </c>
      <c r="AS7" s="8"/>
      <c r="AT7" t="s">
        <v>259</v>
      </c>
      <c r="AU7" s="8"/>
      <c r="AV7" s="13" t="s">
        <v>260</v>
      </c>
      <c r="AW7" s="8"/>
      <c r="AX7" t="s">
        <v>259</v>
      </c>
      <c r="AZ7" s="8" t="s">
        <v>260</v>
      </c>
      <c r="BC7" s="13" t="s">
        <v>270</v>
      </c>
      <c r="BD7" s="13" t="s">
        <v>271</v>
      </c>
      <c r="BE7" s="13" t="s">
        <v>270</v>
      </c>
      <c r="BF7" s="13" t="s">
        <v>271</v>
      </c>
      <c r="BK7" s="54"/>
      <c r="BL7" s="54"/>
      <c r="BM7" s="54"/>
      <c r="BN7" s="54"/>
      <c r="BP7" t="s">
        <v>277</v>
      </c>
      <c r="BQ7" t="s">
        <v>282</v>
      </c>
      <c r="BR7" s="94">
        <f>AVERAGE(AN82:AN85)</f>
        <v>6.9908865475277757</v>
      </c>
      <c r="BS7" s="94">
        <f t="shared" ref="BS7:BU7" si="9">AVERAGE(AO82:AO85)</f>
        <v>6.933415618196574</v>
      </c>
      <c r="BT7" s="94">
        <f t="shared" si="9"/>
        <v>55.927092380222206</v>
      </c>
      <c r="BU7" s="94">
        <f t="shared" si="9"/>
        <v>55.467324945572592</v>
      </c>
    </row>
    <row r="8" spans="1:73" x14ac:dyDescent="0.25">
      <c r="A8">
        <v>2</v>
      </c>
      <c r="B8" s="8" t="s">
        <v>28</v>
      </c>
      <c r="C8">
        <v>0</v>
      </c>
      <c r="D8" s="8">
        <v>50070</v>
      </c>
      <c r="E8" s="14">
        <v>0</v>
      </c>
      <c r="F8" s="8">
        <v>0</v>
      </c>
      <c r="G8">
        <v>377181</v>
      </c>
      <c r="H8" s="65">
        <v>377181</v>
      </c>
      <c r="I8" t="e">
        <f t="shared" ref="I8:I32" si="10">D8/F8</f>
        <v>#DIV/0!</v>
      </c>
      <c r="L8">
        <v>1</v>
      </c>
      <c r="M8" s="4" t="s">
        <v>27</v>
      </c>
      <c r="N8" s="4">
        <v>58071</v>
      </c>
      <c r="O8">
        <f>IF(N8&lt;=0,0,N8*((-8080.957*L8+439063.922)/(-8080.957*L8+439063.922)))</f>
        <v>58071</v>
      </c>
      <c r="P8">
        <f>IF(AVERAGE($O$8:$O$9,$O$15:$O$16)&gt;0,IF(O8-AVERAGE($O$8:$O$9,$O$15:$O$16)&lt;=0,0,O8-AVERAGE($O$8:$O$9,$O$15:$O$16)),O8)</f>
        <v>0</v>
      </c>
      <c r="Q8">
        <v>0</v>
      </c>
      <c r="R8">
        <f>Q8*5</f>
        <v>0</v>
      </c>
      <c r="S8">
        <f>Q8*5</f>
        <v>0</v>
      </c>
      <c r="AC8" s="25">
        <v>44419</v>
      </c>
      <c r="AD8" s="24" t="s">
        <v>155</v>
      </c>
      <c r="AE8" s="8" t="s">
        <v>148</v>
      </c>
      <c r="AF8" s="8" t="s">
        <v>148</v>
      </c>
      <c r="AG8" s="8" t="s">
        <v>148</v>
      </c>
      <c r="AH8" t="s">
        <v>297</v>
      </c>
      <c r="AI8" s="8" t="s">
        <v>298</v>
      </c>
      <c r="AJ8" t="s">
        <v>248</v>
      </c>
      <c r="AK8" s="8" t="s">
        <v>249</v>
      </c>
      <c r="AL8" t="s">
        <v>248</v>
      </c>
      <c r="AM8" s="8" t="s">
        <v>249</v>
      </c>
      <c r="AN8" t="s">
        <v>248</v>
      </c>
      <c r="AO8" s="8" t="s">
        <v>249</v>
      </c>
      <c r="AP8" t="s">
        <v>248</v>
      </c>
      <c r="AQ8" s="8" t="s">
        <v>249</v>
      </c>
      <c r="AR8" t="s">
        <v>252</v>
      </c>
      <c r="AS8" s="8"/>
      <c r="AT8" t="s">
        <v>262</v>
      </c>
      <c r="AU8" s="8" t="s">
        <v>253</v>
      </c>
      <c r="AV8" s="8" t="s">
        <v>254</v>
      </c>
      <c r="AW8" s="8" t="s">
        <v>253</v>
      </c>
      <c r="AX8" s="8" t="s">
        <v>254</v>
      </c>
      <c r="AY8" s="8" t="s">
        <v>253</v>
      </c>
      <c r="AZ8" s="8" t="s">
        <v>254</v>
      </c>
      <c r="BA8" s="8" t="s">
        <v>253</v>
      </c>
      <c r="BC8" s="14" t="s">
        <v>253</v>
      </c>
      <c r="BD8" s="14" t="s">
        <v>253</v>
      </c>
      <c r="BE8" s="14" t="s">
        <v>253</v>
      </c>
      <c r="BF8" s="14" t="s">
        <v>253</v>
      </c>
      <c r="BI8" t="s">
        <v>170</v>
      </c>
      <c r="BJ8" t="s">
        <v>276</v>
      </c>
      <c r="BK8" s="94">
        <f>AVERAGE(AN65:AN68)</f>
        <v>1.7205267633408692</v>
      </c>
      <c r="BL8" s="94">
        <f t="shared" ref="BL8:BN8" si="11">AVERAGE(AO65:AO68)</f>
        <v>1.7238555302944021</v>
      </c>
      <c r="BM8" s="94">
        <f t="shared" si="11"/>
        <v>10.323160580045213</v>
      </c>
      <c r="BN8" s="94">
        <f t="shared" si="11"/>
        <v>10.343133181766413</v>
      </c>
      <c r="BQ8" t="s">
        <v>293</v>
      </c>
      <c r="BR8" s="99">
        <f>STDEV(AN82:AN85)</f>
        <v>0.88452765113423415</v>
      </c>
      <c r="BS8" s="99">
        <f t="shared" ref="BS8:BU8" si="12">STDEV(AO82:AO85)</f>
        <v>0.88765175201457935</v>
      </c>
      <c r="BT8" s="99">
        <f t="shared" si="12"/>
        <v>7.0762212090738732</v>
      </c>
      <c r="BU8" s="99">
        <f t="shared" si="12"/>
        <v>7.1012140161166348</v>
      </c>
    </row>
    <row r="9" spans="1:73" x14ac:dyDescent="0.25">
      <c r="A9">
        <v>3</v>
      </c>
      <c r="B9" s="8" t="s">
        <v>29</v>
      </c>
      <c r="C9">
        <v>143771</v>
      </c>
      <c r="D9" s="8">
        <v>144925</v>
      </c>
      <c r="E9">
        <v>0</v>
      </c>
      <c r="F9" s="8">
        <v>23711</v>
      </c>
      <c r="G9">
        <v>114061</v>
      </c>
      <c r="H9" s="8">
        <v>116140</v>
      </c>
      <c r="I9">
        <f t="shared" si="10"/>
        <v>6.1121420437771494</v>
      </c>
      <c r="L9">
        <v>2</v>
      </c>
      <c r="M9" s="8" t="s">
        <v>28</v>
      </c>
      <c r="N9" s="8">
        <v>50070</v>
      </c>
      <c r="O9">
        <f t="shared" ref="O9:O17" si="13">IF(N9&lt;=0,0,N9*((-8080.957*L9+439063.922)/(-8080.957*L9+439063.922)))</f>
        <v>50070</v>
      </c>
      <c r="P9">
        <f t="shared" ref="P9:P17" si="14">IF(AVERAGE($O$8:$O$9,$O$15:$O$16)&gt;0,IF(O9-AVERAGE($O$8:$O$9,$O$15:$O$16)&lt;=0,0,O9-AVERAGE($O$8:$O$9,$O$15:$O$16)),O9)</f>
        <v>0</v>
      </c>
      <c r="Q9">
        <v>0</v>
      </c>
      <c r="R9">
        <f t="shared" ref="R9:R60" si="15">Q9*5</f>
        <v>0</v>
      </c>
      <c r="S9">
        <f t="shared" ref="S9:S60" si="16">Q9*5</f>
        <v>0</v>
      </c>
      <c r="AC9" t="s">
        <v>11</v>
      </c>
      <c r="AD9" s="7" t="s">
        <v>154</v>
      </c>
      <c r="AE9" s="6" t="s">
        <v>17</v>
      </c>
      <c r="AF9" s="6" t="s">
        <v>17</v>
      </c>
      <c r="AG9" s="6" t="s">
        <v>17</v>
      </c>
      <c r="AH9" s="7" t="s">
        <v>255</v>
      </c>
      <c r="AI9" s="6" t="s">
        <v>255</v>
      </c>
      <c r="AJ9" s="5"/>
      <c r="AK9" s="6"/>
      <c r="AL9" s="5" t="s">
        <v>152</v>
      </c>
      <c r="AM9" s="6" t="s">
        <v>152</v>
      </c>
      <c r="AN9" s="5" t="s">
        <v>152</v>
      </c>
      <c r="AO9" s="6" t="s">
        <v>152</v>
      </c>
      <c r="AP9" s="6" t="s">
        <v>256</v>
      </c>
      <c r="AQ9" s="6" t="s">
        <v>256</v>
      </c>
      <c r="AR9" s="5" t="s">
        <v>152</v>
      </c>
      <c r="AS9" s="6" t="s">
        <v>256</v>
      </c>
      <c r="AT9" s="6" t="s">
        <v>152</v>
      </c>
      <c r="AU9" s="23" t="s">
        <v>256</v>
      </c>
      <c r="AV9" s="6" t="s">
        <v>152</v>
      </c>
      <c r="AW9" s="23" t="s">
        <v>256</v>
      </c>
      <c r="AX9" s="6" t="s">
        <v>152</v>
      </c>
      <c r="AY9" s="23" t="s">
        <v>256</v>
      </c>
      <c r="AZ9" s="6" t="s">
        <v>152</v>
      </c>
      <c r="BA9" s="23" t="s">
        <v>256</v>
      </c>
      <c r="BB9" s="9"/>
      <c r="BC9" s="93" t="s">
        <v>256</v>
      </c>
      <c r="BD9" s="93" t="s">
        <v>256</v>
      </c>
      <c r="BE9" s="93" t="s">
        <v>256</v>
      </c>
      <c r="BF9" s="93" t="s">
        <v>256</v>
      </c>
      <c r="BJ9" t="s">
        <v>284</v>
      </c>
      <c r="BK9" s="54">
        <f>STDEV(AN65:AN68)</f>
        <v>1.0736382839505048</v>
      </c>
      <c r="BL9" s="54">
        <f t="shared" ref="BL9:BN9" si="17">STDEV(AO65:AO68)</f>
        <v>1.0757154917660483</v>
      </c>
      <c r="BM9" s="54">
        <f t="shared" si="17"/>
        <v>6.4418297037030303</v>
      </c>
      <c r="BN9" s="54">
        <f t="shared" si="17"/>
        <v>6.4542929505962885</v>
      </c>
      <c r="BQ9" t="s">
        <v>279</v>
      </c>
      <c r="BR9" s="94">
        <f>AVERAGE(AN47:AN52)</f>
        <v>7.4678692412135588</v>
      </c>
      <c r="BS9" s="94">
        <f t="shared" ref="BS9:BU9" si="18">AVERAGE(AO47:AO52)</f>
        <v>7.4975469823789531</v>
      </c>
      <c r="BT9" s="94">
        <f t="shared" si="18"/>
        <v>59.74295392970847</v>
      </c>
      <c r="BU9" s="94">
        <f t="shared" si="18"/>
        <v>59.980375859031625</v>
      </c>
    </row>
    <row r="10" spans="1:73" x14ac:dyDescent="0.25">
      <c r="A10">
        <v>4</v>
      </c>
      <c r="B10" s="8" t="s">
        <v>30</v>
      </c>
      <c r="C10">
        <v>168486</v>
      </c>
      <c r="D10" s="8">
        <v>169101</v>
      </c>
      <c r="E10">
        <v>0</v>
      </c>
      <c r="F10" s="8">
        <v>25699</v>
      </c>
      <c r="G10">
        <v>221562</v>
      </c>
      <c r="H10" s="8">
        <v>221562</v>
      </c>
      <c r="I10">
        <f t="shared" si="10"/>
        <v>6.5800614809914784</v>
      </c>
      <c r="L10">
        <v>3</v>
      </c>
      <c r="M10" s="8" t="s">
        <v>29</v>
      </c>
      <c r="N10" s="8">
        <v>144925</v>
      </c>
      <c r="O10">
        <f t="shared" si="13"/>
        <v>144925</v>
      </c>
      <c r="P10">
        <f>IF(AVERAGE($O$8:$O$9,$O$15:$O$16)&gt;0,IF(O10-AVERAGE($O$8:$O$9,$O$15:$O$16)&lt;=0,0,O10-AVERAGE($O$8:$O$9,$O$15:$O$16)),O10)</f>
        <v>61009.75</v>
      </c>
      <c r="Q10">
        <v>0.05</v>
      </c>
      <c r="R10">
        <f t="shared" si="15"/>
        <v>0.25</v>
      </c>
      <c r="S10">
        <f t="shared" si="16"/>
        <v>0.25</v>
      </c>
      <c r="AC10">
        <v>1</v>
      </c>
      <c r="AD10" s="4" t="s">
        <v>27</v>
      </c>
      <c r="AE10" s="4">
        <v>58071</v>
      </c>
      <c r="AF10" s="4">
        <f>IF(AE10&lt;=0,0,AE10*((-8080.957*AC10+439063.922)/(-8080.957*AC10+439063.922)))</f>
        <v>58071</v>
      </c>
      <c r="AG10" s="8">
        <f>IF(AVERAGE($AF$10:$AF$12,$AF$23)&gt;0,IF(AF10-AVERAGE($AF$10:$AF$12,$AF$23)&lt;=0,0,AF10-AVERAGE($AF$10:$AF$12,$AF$23)),AF10)</f>
        <v>0</v>
      </c>
      <c r="AH10">
        <f>IF(AG10&lt;=0,0,(AG10-83522.069)/354001.655)</f>
        <v>0</v>
      </c>
      <c r="AI10" s="8">
        <f>IF(AG10&lt;=0,0,(AG10-9440.721)/351257.31)</f>
        <v>0</v>
      </c>
      <c r="AK10" s="4"/>
      <c r="AL10" s="26">
        <f t="shared" ref="AL10:AL29" si="19">IF(AJ10&lt;=0,0,AJ10)</f>
        <v>0</v>
      </c>
      <c r="AM10" s="4">
        <f t="shared" ref="AM10:AM29" si="20">IF(AK10&lt;=0,0,AK10)</f>
        <v>0</v>
      </c>
      <c r="AO10" s="8"/>
      <c r="AQ10" s="4"/>
      <c r="AR10">
        <v>0</v>
      </c>
      <c r="AS10" s="8">
        <f t="shared" ref="AS10:AS12" si="21">AR10*$AN$2</f>
        <v>0</v>
      </c>
      <c r="BB10" s="13"/>
      <c r="BC10" s="13"/>
      <c r="BD10" s="96"/>
      <c r="BE10" s="13"/>
      <c r="BJ10" t="s">
        <v>277</v>
      </c>
      <c r="BK10" s="94">
        <f>AVERAGE(AN72:AN75)</f>
        <v>0.87197848715499937</v>
      </c>
      <c r="BL10" s="94">
        <f t="shared" ref="BL10:BN10" si="22">AVERAGE(AO72:AO75)</f>
        <v>0.87366553628092947</v>
      </c>
      <c r="BM10" s="94">
        <f t="shared" si="22"/>
        <v>5.2318709229299962</v>
      </c>
      <c r="BN10" s="94">
        <f t="shared" si="22"/>
        <v>5.2419932176855761</v>
      </c>
      <c r="BQ10" t="s">
        <v>291</v>
      </c>
      <c r="BR10" s="54">
        <f>STDEV(AN47:AN52)</f>
        <v>2.4677336946316402</v>
      </c>
      <c r="BS10" s="54">
        <f t="shared" ref="BS10:BU10" si="23">STDEV(AO47:AO52)</f>
        <v>2.4775406100299771</v>
      </c>
      <c r="BT10" s="54">
        <f t="shared" si="23"/>
        <v>19.741869557053121</v>
      </c>
      <c r="BU10" s="54">
        <f t="shared" si="23"/>
        <v>19.820324880239816</v>
      </c>
    </row>
    <row r="11" spans="1:73" x14ac:dyDescent="0.25">
      <c r="A11">
        <v>5</v>
      </c>
      <c r="B11" s="8" t="s">
        <v>31</v>
      </c>
      <c r="C11">
        <v>1072490</v>
      </c>
      <c r="D11" s="8">
        <v>1072490</v>
      </c>
      <c r="E11">
        <v>161703</v>
      </c>
      <c r="F11" s="8">
        <v>161703</v>
      </c>
      <c r="G11">
        <v>209211</v>
      </c>
      <c r="H11" s="8">
        <v>214182</v>
      </c>
      <c r="I11">
        <f t="shared" si="10"/>
        <v>6.6324681669480468</v>
      </c>
      <c r="L11">
        <v>4</v>
      </c>
      <c r="M11" s="8" t="s">
        <v>30</v>
      </c>
      <c r="N11" s="8">
        <v>169101</v>
      </c>
      <c r="O11">
        <f t="shared" si="13"/>
        <v>169101</v>
      </c>
      <c r="P11">
        <f t="shared" si="14"/>
        <v>85185.75</v>
      </c>
      <c r="Q11">
        <v>0.05</v>
      </c>
      <c r="R11">
        <f t="shared" si="15"/>
        <v>0.25</v>
      </c>
      <c r="S11">
        <f t="shared" si="16"/>
        <v>0.25</v>
      </c>
      <c r="AC11">
        <v>2</v>
      </c>
      <c r="AD11" s="8" t="s">
        <v>28</v>
      </c>
      <c r="AE11" s="8">
        <v>50070</v>
      </c>
      <c r="AF11" s="4">
        <f t="shared" ref="AF11:AF29" si="24">IF(AE11&lt;=0,0,AE11*((-8080.957*AC11+439063.922)/(-8080.957*AC11+439063.922)))</f>
        <v>50070</v>
      </c>
      <c r="AG11" s="8">
        <f t="shared" ref="AG11:AG29" si="25">IF(AVERAGE($AF$10:$AF$12,$AF$23)&gt;0,IF(AF11-AVERAGE($AF$10:$AF$12,$AF$23)&lt;=0,0,AF11-AVERAGE($AF$10:$AF$12,$AF$23)),AF11)</f>
        <v>0</v>
      </c>
      <c r="AH11">
        <f t="shared" ref="AH11:AH29" si="26">IF(AG11&lt;=0,0,(AG11-83522.069)/354001.655)</f>
        <v>0</v>
      </c>
      <c r="AI11" s="8">
        <f t="shared" ref="AI11:AI29" si="27">IF(AG11&lt;=0,0,(AG11-9440.721)/351257.31)</f>
        <v>0</v>
      </c>
      <c r="AK11" s="8"/>
      <c r="AL11" s="9">
        <f t="shared" si="19"/>
        <v>0</v>
      </c>
      <c r="AM11" s="8">
        <f t="shared" si="20"/>
        <v>0</v>
      </c>
      <c r="AO11" s="8"/>
      <c r="AQ11" s="8"/>
      <c r="AR11">
        <v>0</v>
      </c>
      <c r="AS11" s="8">
        <f t="shared" si="21"/>
        <v>0</v>
      </c>
      <c r="BC11" s="13"/>
      <c r="BD11" s="96"/>
      <c r="BE11" s="13"/>
      <c r="BJ11" t="s">
        <v>285</v>
      </c>
      <c r="BK11" s="54">
        <f>STDEV(AN72:AN75)</f>
        <v>0.25940279157644375</v>
      </c>
      <c r="BL11" s="54">
        <f t="shared" ref="BL11:BN11" si="28">STDEV(AO72:AO75)</f>
        <v>0.25990466778008842</v>
      </c>
      <c r="BM11" s="54">
        <f t="shared" si="28"/>
        <v>1.556416749458666</v>
      </c>
      <c r="BN11" s="54">
        <f t="shared" si="28"/>
        <v>1.5594280066805322</v>
      </c>
    </row>
    <row r="12" spans="1:73" x14ac:dyDescent="0.25">
      <c r="A12">
        <v>6</v>
      </c>
      <c r="B12" s="8" t="s">
        <v>32</v>
      </c>
      <c r="C12">
        <v>918453</v>
      </c>
      <c r="D12" s="8">
        <v>918453</v>
      </c>
      <c r="E12">
        <v>137659</v>
      </c>
      <c r="F12" s="8">
        <v>139199</v>
      </c>
      <c r="G12">
        <v>494028</v>
      </c>
      <c r="H12" s="8">
        <v>494028</v>
      </c>
      <c r="I12">
        <f t="shared" si="10"/>
        <v>6.5981292969058689</v>
      </c>
      <c r="L12">
        <v>5</v>
      </c>
      <c r="M12" s="8" t="s">
        <v>31</v>
      </c>
      <c r="N12" s="8">
        <v>1072490</v>
      </c>
      <c r="O12">
        <f t="shared" si="13"/>
        <v>1072490</v>
      </c>
      <c r="P12">
        <f t="shared" si="14"/>
        <v>988574.75</v>
      </c>
      <c r="Q12">
        <v>0.5</v>
      </c>
      <c r="R12">
        <f t="shared" si="15"/>
        <v>2.5</v>
      </c>
      <c r="S12">
        <f t="shared" si="16"/>
        <v>2.5</v>
      </c>
      <c r="AC12">
        <v>8</v>
      </c>
      <c r="AD12" s="8" t="s">
        <v>35</v>
      </c>
      <c r="AE12" s="8">
        <v>108062</v>
      </c>
      <c r="AF12" s="4">
        <f t="shared" si="24"/>
        <v>108062</v>
      </c>
      <c r="AG12" s="8">
        <f t="shared" si="25"/>
        <v>24146.75</v>
      </c>
      <c r="AH12">
        <f t="shared" si="26"/>
        <v>-0.16772610568727425</v>
      </c>
      <c r="AI12" s="8">
        <f t="shared" si="27"/>
        <v>4.1866826913865507E-2</v>
      </c>
      <c r="AK12" s="8"/>
      <c r="AL12" s="9">
        <f t="shared" si="19"/>
        <v>0</v>
      </c>
      <c r="AM12" s="8">
        <f t="shared" si="20"/>
        <v>0</v>
      </c>
      <c r="AO12" s="8"/>
      <c r="AQ12" s="8"/>
      <c r="AR12">
        <v>0</v>
      </c>
      <c r="AS12" s="8">
        <f t="shared" si="21"/>
        <v>0</v>
      </c>
      <c r="BC12" s="13"/>
      <c r="BD12" s="96"/>
      <c r="BE12" s="13"/>
      <c r="BK12" s="54"/>
      <c r="BL12" s="54"/>
      <c r="BM12" s="54"/>
      <c r="BN12" s="54"/>
      <c r="BP12" s="72" t="s">
        <v>294</v>
      </c>
    </row>
    <row r="13" spans="1:73" x14ac:dyDescent="0.25">
      <c r="A13">
        <v>7</v>
      </c>
      <c r="B13" s="17" t="s">
        <v>33</v>
      </c>
      <c r="C13" s="16">
        <v>3853856</v>
      </c>
      <c r="D13" s="17">
        <v>3846642</v>
      </c>
      <c r="E13" s="16">
        <v>577740</v>
      </c>
      <c r="F13" s="17">
        <v>578278</v>
      </c>
      <c r="G13" s="16">
        <v>1127402</v>
      </c>
      <c r="H13" s="17">
        <v>1125408</v>
      </c>
      <c r="I13">
        <f t="shared" si="10"/>
        <v>6.6518906131652944</v>
      </c>
      <c r="L13">
        <v>6</v>
      </c>
      <c r="M13" s="8" t="s">
        <v>32</v>
      </c>
      <c r="N13" s="8">
        <v>918453</v>
      </c>
      <c r="O13">
        <f t="shared" si="13"/>
        <v>918453</v>
      </c>
      <c r="P13">
        <f t="shared" si="14"/>
        <v>834537.75</v>
      </c>
      <c r="Q13">
        <v>0.5</v>
      </c>
      <c r="R13">
        <f t="shared" si="15"/>
        <v>2.5</v>
      </c>
      <c r="S13">
        <f t="shared" si="16"/>
        <v>2.5</v>
      </c>
      <c r="AC13" s="13">
        <v>9</v>
      </c>
      <c r="AD13" s="88" t="s">
        <v>36</v>
      </c>
      <c r="AE13" s="88">
        <v>72744</v>
      </c>
      <c r="AF13" s="4">
        <f t="shared" si="24"/>
        <v>72744</v>
      </c>
      <c r="AG13" s="88">
        <f t="shared" si="25"/>
        <v>0</v>
      </c>
      <c r="AH13">
        <f t="shared" si="26"/>
        <v>0</v>
      </c>
      <c r="AI13" s="8">
        <f t="shared" si="27"/>
        <v>0</v>
      </c>
      <c r="AJ13" s="89">
        <f>IF(AVERAGE($AH$13,$AH$36,$AH$38)&gt;0,IF(AH13-MAX($AH$13,$AH$36,$AH$38)&lt;=0,0,AH13-MAX($AH$13,$AH$36,$AH$38)),AH13)</f>
        <v>0</v>
      </c>
      <c r="AK13" s="88">
        <f>IF(AVERAGE($AI$13,$AI$36,$AI$38)&gt;0,IF(AI13-MAX($AI$13,$AI$36,$AI$38)&lt;=0,0,AI13-MAX($AI$13,$AI$36,$AI$38)),AI13)</f>
        <v>0</v>
      </c>
      <c r="AL13" s="92">
        <f t="shared" si="19"/>
        <v>0</v>
      </c>
      <c r="AM13" s="88">
        <f t="shared" si="20"/>
        <v>0</v>
      </c>
      <c r="AN13" s="89">
        <f>AL13*$AN$5</f>
        <v>0</v>
      </c>
      <c r="AO13" s="88">
        <f>AM13*$AN$5</f>
        <v>0</v>
      </c>
      <c r="AP13" s="89">
        <f>AN13*$AN$2</f>
        <v>0</v>
      </c>
      <c r="AQ13" s="88">
        <f>AO13*$AN$2</f>
        <v>0</v>
      </c>
      <c r="AR13" s="89">
        <v>0</v>
      </c>
      <c r="AS13" s="88">
        <f>AR13*$AN$2</f>
        <v>0</v>
      </c>
      <c r="AT13" s="89">
        <f>$AV$2*AN13</f>
        <v>0</v>
      </c>
      <c r="AU13">
        <f>AT13*$AS$1</f>
        <v>0</v>
      </c>
      <c r="AV13">
        <f>$AY$2*(AN13^$AZ$2)</f>
        <v>0</v>
      </c>
      <c r="AW13">
        <f>AV13*$AS$1</f>
        <v>0</v>
      </c>
      <c r="AX13" s="89">
        <f>$AV$2*AO13</f>
        <v>0</v>
      </c>
      <c r="AY13">
        <f>AX13*$AS$1</f>
        <v>0</v>
      </c>
      <c r="AZ13">
        <f>$AY$2*(AO13^$AZ$2)</f>
        <v>0</v>
      </c>
      <c r="BA13">
        <f>AZ13*$AS$1</f>
        <v>0</v>
      </c>
      <c r="BC13" s="102">
        <f>IF(AS13-(AP13+AU13)&lt;0,$BG$1,AS13-(AP13+AU13))</f>
        <v>0</v>
      </c>
      <c r="BD13" s="106">
        <f>IF(AS13-(AP13+AW13)&lt;0,$BG$1,AS13-(AP13+AW13))</f>
        <v>0</v>
      </c>
      <c r="BE13" s="102">
        <f>IF(AS13-(AQ13+AY13)&lt;0,$BG$1,AS13-(AQ13+AY13))</f>
        <v>0</v>
      </c>
      <c r="BF13" s="102">
        <f>IF(AS13-(AQ13+BA13)&lt;0,$BG$1,AS13-(AQ13+BA13))</f>
        <v>0</v>
      </c>
      <c r="BI13" t="s">
        <v>170</v>
      </c>
      <c r="BJ13" t="s">
        <v>276</v>
      </c>
      <c r="BK13" s="94">
        <f>AVERAGE(AN88:AN91)</f>
        <v>5.515716774306175</v>
      </c>
      <c r="BL13" s="94">
        <f t="shared" ref="BL13:BN13" si="29">AVERAGE(AO88:AO91)</f>
        <v>5.5351979692786717</v>
      </c>
      <c r="BM13" s="94">
        <f t="shared" si="29"/>
        <v>33.094300645837052</v>
      </c>
      <c r="BN13" s="94">
        <f t="shared" si="29"/>
        <v>33.211187815672034</v>
      </c>
      <c r="BP13" s="25">
        <v>44419</v>
      </c>
      <c r="BQ13" t="s">
        <v>283</v>
      </c>
      <c r="BR13" t="s">
        <v>290</v>
      </c>
      <c r="BT13" t="s">
        <v>246</v>
      </c>
    </row>
    <row r="14" spans="1:73" x14ac:dyDescent="0.25">
      <c r="A14">
        <v>8</v>
      </c>
      <c r="B14" s="8" t="s">
        <v>35</v>
      </c>
      <c r="C14">
        <v>0</v>
      </c>
      <c r="D14" s="8">
        <v>108062</v>
      </c>
      <c r="E14">
        <v>0</v>
      </c>
      <c r="F14" s="8">
        <v>16561</v>
      </c>
      <c r="G14">
        <v>445076</v>
      </c>
      <c r="H14" s="65">
        <v>445076</v>
      </c>
      <c r="I14">
        <f t="shared" si="10"/>
        <v>6.5250890646700075</v>
      </c>
      <c r="L14" s="76">
        <v>7</v>
      </c>
      <c r="M14" s="77" t="s">
        <v>33</v>
      </c>
      <c r="N14" s="77">
        <v>3846642</v>
      </c>
      <c r="O14">
        <f t="shared" si="13"/>
        <v>3846642</v>
      </c>
      <c r="P14">
        <f t="shared" si="14"/>
        <v>3762726.75</v>
      </c>
      <c r="Q14">
        <v>1</v>
      </c>
      <c r="R14">
        <f t="shared" si="15"/>
        <v>5</v>
      </c>
      <c r="S14">
        <f t="shared" si="16"/>
        <v>5</v>
      </c>
      <c r="AC14" s="13">
        <v>10</v>
      </c>
      <c r="AD14" s="14" t="s">
        <v>40</v>
      </c>
      <c r="AE14" s="8">
        <v>2222263</v>
      </c>
      <c r="AF14" s="4">
        <f t="shared" si="24"/>
        <v>2222263</v>
      </c>
      <c r="AG14" s="8">
        <f t="shared" si="25"/>
        <v>2138347.75</v>
      </c>
      <c r="AH14">
        <f t="shared" si="26"/>
        <v>5.804565182046959</v>
      </c>
      <c r="AI14" s="8">
        <f t="shared" si="27"/>
        <v>6.0608191442336103</v>
      </c>
      <c r="AJ14">
        <f>IF(AVERAGE($AH$13,$AH$36,$AH$38)&gt;0,IF(AH14-MAX($AH$13,$AH$36,$AH$38)&lt;=0,0,AH14-MAX($AH$13,$AH$36,$AH$38)),AH14)</f>
        <v>5.804565182046959</v>
      </c>
      <c r="AK14" s="8">
        <f>IF(AVERAGE($AI$13,$AI$36,$AI$38)&gt;0,IF(AI14-MAX($AI$13,$AI$36,$AI$38)&lt;=0,0,AI14-MAX($AI$13,$AI$36,$AI$38)),AI14)</f>
        <v>5.9620697226063104</v>
      </c>
      <c r="AL14" s="9">
        <f t="shared" si="19"/>
        <v>5.804565182046959</v>
      </c>
      <c r="AM14" s="8">
        <f t="shared" si="20"/>
        <v>5.9620697226063104</v>
      </c>
      <c r="AN14">
        <f t="shared" ref="AN14:AO28" si="30">AL14*$AN$5</f>
        <v>11.609130364093918</v>
      </c>
      <c r="AO14" s="8">
        <f t="shared" si="30"/>
        <v>11.924139445212621</v>
      </c>
      <c r="AP14">
        <f t="shared" ref="AP14:AQ20" si="31">AN14*$AN$2</f>
        <v>92.873042912751345</v>
      </c>
      <c r="AQ14" s="8">
        <f t="shared" si="31"/>
        <v>95.393115561700967</v>
      </c>
      <c r="AR14">
        <v>12.5</v>
      </c>
      <c r="AS14" s="8">
        <f t="shared" ref="AS14:AS52" si="32">AR14*$AN$2</f>
        <v>100</v>
      </c>
      <c r="AT14">
        <f t="shared" ref="AT14:AT52" si="33">$AV$2*AN14</f>
        <v>5.795237456392397</v>
      </c>
      <c r="AU14">
        <f t="shared" ref="AU14:AW29" si="34">AT14*$AS$1</f>
        <v>115.90474912784794</v>
      </c>
      <c r="AV14">
        <f>$AY$2*(AN14^$AZ$2)</f>
        <v>3.3759369354661937</v>
      </c>
      <c r="AW14">
        <f t="shared" si="34"/>
        <v>67.51873870932387</v>
      </c>
      <c r="AX14">
        <f>$AV$2*AO14</f>
        <v>5.9524888928694253</v>
      </c>
      <c r="AY14">
        <f t="shared" ref="AY14:AY29" si="35">AX14*$AS$1</f>
        <v>119.04977785738851</v>
      </c>
      <c r="AZ14">
        <f t="shared" ref="AZ14:AZ52" si="36">$AY$2*(AO14^$AZ$2)</f>
        <v>3.4324058715380477</v>
      </c>
      <c r="BA14">
        <f t="shared" ref="BA14:BA29" si="37">AZ14*$AS$1</f>
        <v>68.648117430760948</v>
      </c>
      <c r="BC14" s="97" t="str">
        <f t="shared" ref="BC14:BC75" si="38">IF(AS14-(AP14+AU14)&lt;0,$BG$1,AS14-(AP14+AU14))</f>
        <v>&lt; 0</v>
      </c>
      <c r="BD14" s="107" t="str">
        <f t="shared" ref="BD14:BD75" si="39">IF(AS14-(AP14+AW14)&lt;0,$BG$1,AS14-(AP14+AW14))</f>
        <v>&lt; 0</v>
      </c>
      <c r="BE14" s="97" t="str">
        <f t="shared" ref="BE14:BE75" si="40">IF(AS14-(AQ14+AY14)&lt;0,$BG$1,AS14-(AQ14+AY14))</f>
        <v>&lt; 0</v>
      </c>
      <c r="BF14" s="97" t="str">
        <f t="shared" ref="BF14:BF75" si="41">IF(AS14-(AQ14+BA14)&lt;0,$BG$1,AS14-(AQ14+BA14))</f>
        <v>&lt; 0</v>
      </c>
      <c r="BJ14" t="s">
        <v>286</v>
      </c>
      <c r="BK14" s="54">
        <f>STDEV(AN88:AN91)</f>
        <v>0.5170009148455722</v>
      </c>
      <c r="BL14" s="54">
        <f t="shared" ref="BL14:BN14" si="42">STDEV(AO88:AO91)</f>
        <v>0.5188269323941862</v>
      </c>
      <c r="BM14" s="54">
        <f t="shared" si="42"/>
        <v>3.102005489073433</v>
      </c>
      <c r="BN14" s="54">
        <f t="shared" si="42"/>
        <v>3.112961594365117</v>
      </c>
      <c r="BP14" t="s">
        <v>169</v>
      </c>
      <c r="BQ14" t="s">
        <v>182</v>
      </c>
      <c r="BR14" t="s">
        <v>288</v>
      </c>
      <c r="BS14" t="s">
        <v>289</v>
      </c>
      <c r="BT14" t="s">
        <v>288</v>
      </c>
      <c r="BU14" t="s">
        <v>289</v>
      </c>
    </row>
    <row r="15" spans="1:73" x14ac:dyDescent="0.25">
      <c r="A15" s="13">
        <v>9</v>
      </c>
      <c r="B15" s="10" t="s">
        <v>36</v>
      </c>
      <c r="C15">
        <v>0</v>
      </c>
      <c r="D15" s="10">
        <v>72744</v>
      </c>
      <c r="E15">
        <v>0</v>
      </c>
      <c r="F15" s="8">
        <v>11448</v>
      </c>
      <c r="G15">
        <v>415553</v>
      </c>
      <c r="H15" s="8">
        <v>415553</v>
      </c>
      <c r="I15">
        <f t="shared" si="10"/>
        <v>6.3542976939203353</v>
      </c>
      <c r="L15">
        <v>8</v>
      </c>
      <c r="M15" s="8" t="s">
        <v>35</v>
      </c>
      <c r="N15" s="8">
        <v>108062</v>
      </c>
      <c r="O15">
        <f t="shared" si="13"/>
        <v>108062</v>
      </c>
      <c r="P15">
        <f t="shared" si="14"/>
        <v>24146.75</v>
      </c>
      <c r="Q15">
        <v>0</v>
      </c>
      <c r="R15">
        <f t="shared" si="15"/>
        <v>0</v>
      </c>
      <c r="S15">
        <f t="shared" si="16"/>
        <v>0</v>
      </c>
      <c r="AC15" s="13">
        <v>11</v>
      </c>
      <c r="AD15" s="10" t="s">
        <v>39</v>
      </c>
      <c r="AE15" s="10">
        <v>1434022</v>
      </c>
      <c r="AF15" s="4">
        <f t="shared" si="24"/>
        <v>1434022</v>
      </c>
      <c r="AG15" s="8">
        <f t="shared" si="25"/>
        <v>1350106.75</v>
      </c>
      <c r="AH15">
        <f t="shared" si="26"/>
        <v>3.5779061004672421</v>
      </c>
      <c r="AI15" s="8">
        <f t="shared" si="27"/>
        <v>3.8167633550459068</v>
      </c>
      <c r="AJ15">
        <f t="shared" ref="AJ15:AJ20" si="43">IF(AVERAGE($AH$13,$AH$36,$AH$38)&gt;0,IF(AH15-MAX($AH$13,$AH$36,$AH$38)&lt;=0,0,AH15-MAX($AH$13,$AH$36,$AH$38)),AH15)</f>
        <v>3.5779061004672421</v>
      </c>
      <c r="AK15" s="8">
        <f t="shared" ref="AK15:AK20" si="44">IF(AVERAGE($AI$13,$AI$36,$AI$38)&gt;0,IF(AI15-MAX($AI$13,$AI$36,$AI$38)&lt;=0,0,AI15-MAX($AI$13,$AI$36,$AI$38)),AI15)</f>
        <v>3.7180139334186069</v>
      </c>
      <c r="AL15" s="9">
        <f t="shared" si="19"/>
        <v>3.5779061004672421</v>
      </c>
      <c r="AM15" s="8">
        <f t="shared" si="20"/>
        <v>3.7180139334186069</v>
      </c>
      <c r="AN15">
        <f t="shared" si="30"/>
        <v>7.1558122009344842</v>
      </c>
      <c r="AO15" s="8">
        <f t="shared" si="30"/>
        <v>7.4360278668372137</v>
      </c>
      <c r="AP15">
        <f t="shared" si="31"/>
        <v>57.246497607475874</v>
      </c>
      <c r="AQ15" s="8">
        <f t="shared" si="31"/>
        <v>59.48822293469771</v>
      </c>
      <c r="AR15">
        <v>12.5</v>
      </c>
      <c r="AS15" s="8">
        <f t="shared" si="32"/>
        <v>100</v>
      </c>
      <c r="AT15">
        <f t="shared" si="33"/>
        <v>3.5721565351722973</v>
      </c>
      <c r="AU15">
        <f t="shared" si="34"/>
        <v>71.443130703445945</v>
      </c>
      <c r="AV15">
        <f t="shared" ref="AV15:AV52" si="45">$AY$2*(AN15^$AZ$2)</f>
        <v>2.5014458969382343</v>
      </c>
      <c r="AW15">
        <f t="shared" si="34"/>
        <v>50.028917938764685</v>
      </c>
      <c r="AX15">
        <f t="shared" ref="AX15:AX29" si="46">$AV$2*AO15</f>
        <v>3.7120392199193026</v>
      </c>
      <c r="AY15">
        <f t="shared" si="35"/>
        <v>74.240784398386054</v>
      </c>
      <c r="AZ15">
        <f t="shared" si="36"/>
        <v>2.5616944499127041</v>
      </c>
      <c r="BA15">
        <f t="shared" si="37"/>
        <v>51.233888998254081</v>
      </c>
      <c r="BC15" s="97" t="str">
        <f t="shared" si="38"/>
        <v>&lt; 0</v>
      </c>
      <c r="BD15" s="107" t="str">
        <f t="shared" si="39"/>
        <v>&lt; 0</v>
      </c>
      <c r="BE15" s="97" t="str">
        <f t="shared" si="40"/>
        <v>&lt; 0</v>
      </c>
      <c r="BF15" s="97" t="str">
        <f t="shared" si="41"/>
        <v>&lt; 0</v>
      </c>
      <c r="BJ15" t="s">
        <v>277</v>
      </c>
      <c r="BK15" s="94">
        <f>AVERAGE(AN95:AN98)</f>
        <v>4.766045687917253</v>
      </c>
      <c r="BL15" s="94">
        <f t="shared" ref="BL15:BN15" si="47">AVERAGE(AO95:AO98)</f>
        <v>4.9268928413115898</v>
      </c>
      <c r="BM15" s="94">
        <f t="shared" si="47"/>
        <v>28.596274127503516</v>
      </c>
      <c r="BN15" s="94">
        <f t="shared" si="47"/>
        <v>29.561357047869542</v>
      </c>
      <c r="BP15" t="s">
        <v>276</v>
      </c>
      <c r="BQ15" t="s">
        <v>295</v>
      </c>
      <c r="BR15" s="24">
        <f>AVERAGE(AN14:AN20,AN29)</f>
        <v>10.894010119811446</v>
      </c>
      <c r="BS15" s="24">
        <f t="shared" ref="BS15:BU15" si="48">AVERAGE(AO14:AO20,AO29)</f>
        <v>11.203432024205497</v>
      </c>
      <c r="BT15" s="24">
        <f t="shared" si="48"/>
        <v>87.152080958491567</v>
      </c>
      <c r="BU15" s="24">
        <f t="shared" si="48"/>
        <v>89.62745619364398</v>
      </c>
    </row>
    <row r="16" spans="1:73" x14ac:dyDescent="0.25">
      <c r="A16" s="13">
        <v>10</v>
      </c>
      <c r="B16" s="14" t="s">
        <v>40</v>
      </c>
      <c r="C16" s="13">
        <v>2232547</v>
      </c>
      <c r="D16" s="8">
        <v>2222263</v>
      </c>
      <c r="E16" s="13">
        <v>329490</v>
      </c>
      <c r="F16" s="8">
        <v>330191</v>
      </c>
      <c r="G16" s="13">
        <v>708801</v>
      </c>
      <c r="H16" s="8">
        <v>706253</v>
      </c>
      <c r="I16">
        <f t="shared" si="10"/>
        <v>6.7302349246345301</v>
      </c>
      <c r="L16">
        <v>19</v>
      </c>
      <c r="M16" s="8" t="s">
        <v>37</v>
      </c>
      <c r="N16" s="11">
        <v>119458</v>
      </c>
      <c r="O16">
        <f t="shared" si="13"/>
        <v>119458</v>
      </c>
      <c r="P16">
        <f t="shared" si="14"/>
        <v>35542.75</v>
      </c>
      <c r="Q16">
        <v>0</v>
      </c>
      <c r="R16">
        <f t="shared" si="15"/>
        <v>0</v>
      </c>
      <c r="S16">
        <f t="shared" si="16"/>
        <v>0</v>
      </c>
      <c r="AC16" s="13">
        <v>12</v>
      </c>
      <c r="AD16" s="17" t="s">
        <v>41</v>
      </c>
      <c r="AE16" s="17">
        <v>3379558</v>
      </c>
      <c r="AF16" s="4">
        <f t="shared" si="24"/>
        <v>3379558</v>
      </c>
      <c r="AG16" s="8">
        <f t="shared" si="25"/>
        <v>3295642.75</v>
      </c>
      <c r="AH16">
        <f t="shared" si="26"/>
        <v>9.0737448134246712</v>
      </c>
      <c r="AI16" s="8">
        <f t="shared" si="27"/>
        <v>9.3555406120943072</v>
      </c>
      <c r="AJ16">
        <f t="shared" si="43"/>
        <v>9.0737448134246712</v>
      </c>
      <c r="AK16" s="8">
        <f t="shared" si="44"/>
        <v>9.2567911904670073</v>
      </c>
      <c r="AL16" s="9">
        <f t="shared" si="19"/>
        <v>9.0737448134246712</v>
      </c>
      <c r="AM16" s="8">
        <f t="shared" si="20"/>
        <v>9.2567911904670073</v>
      </c>
      <c r="AN16">
        <f t="shared" si="30"/>
        <v>18.147489626849342</v>
      </c>
      <c r="AO16" s="8">
        <f t="shared" si="30"/>
        <v>18.513582380934015</v>
      </c>
      <c r="AP16">
        <f t="shared" si="31"/>
        <v>145.17991701479474</v>
      </c>
      <c r="AQ16" s="8">
        <f t="shared" si="31"/>
        <v>148.10865904747212</v>
      </c>
      <c r="AR16">
        <v>12.5</v>
      </c>
      <c r="AS16" s="8">
        <f t="shared" si="32"/>
        <v>100</v>
      </c>
      <c r="AT16">
        <f t="shared" si="33"/>
        <v>9.0591636347102167</v>
      </c>
      <c r="AU16">
        <f t="shared" si="34"/>
        <v>181.18327269420433</v>
      </c>
      <c r="AV16">
        <f t="shared" si="45"/>
        <v>4.4525333084095235</v>
      </c>
      <c r="AW16">
        <f t="shared" si="34"/>
        <v>89.050666168190475</v>
      </c>
      <c r="AX16">
        <f t="shared" si="46"/>
        <v>9.2419158628656728</v>
      </c>
      <c r="AY16">
        <f t="shared" si="35"/>
        <v>184.83831725731346</v>
      </c>
      <c r="AZ16">
        <f t="shared" si="36"/>
        <v>4.5079753147725388</v>
      </c>
      <c r="BA16">
        <f t="shared" si="37"/>
        <v>90.159506295450768</v>
      </c>
      <c r="BC16" s="97" t="str">
        <f t="shared" si="38"/>
        <v>&lt; 0</v>
      </c>
      <c r="BD16" s="107" t="str">
        <f t="shared" si="39"/>
        <v>&lt; 0</v>
      </c>
      <c r="BE16" s="97" t="str">
        <f t="shared" si="40"/>
        <v>&lt; 0</v>
      </c>
      <c r="BF16" s="97" t="str">
        <f t="shared" si="41"/>
        <v>&lt; 0</v>
      </c>
      <c r="BJ16" t="s">
        <v>287</v>
      </c>
      <c r="BK16" s="54">
        <f>STDEV(AN95:AN98)</f>
        <v>0.41976038085569894</v>
      </c>
      <c r="BL16" s="54">
        <f t="shared" ref="BL16:BN16" si="49">STDEV(AO95:AO98)</f>
        <v>0.42124295042114024</v>
      </c>
      <c r="BM16" s="54">
        <f t="shared" si="49"/>
        <v>2.5185622851341933</v>
      </c>
      <c r="BN16" s="54">
        <f t="shared" si="49"/>
        <v>2.5274577025268417</v>
      </c>
      <c r="BR16">
        <f>STDEV(AN14:AN20,AN29)</f>
        <v>3.8133035736009719</v>
      </c>
      <c r="BS16">
        <f t="shared" ref="BS16:BU16" si="50">STDEV(AO14:AO20,AO29)</f>
        <v>3.8430966065080896</v>
      </c>
      <c r="BT16">
        <f t="shared" si="50"/>
        <v>30.506428588807776</v>
      </c>
      <c r="BU16">
        <f t="shared" si="50"/>
        <v>30.744772852064717</v>
      </c>
    </row>
    <row r="17" spans="1:73" x14ac:dyDescent="0.25">
      <c r="A17" s="13">
        <v>11</v>
      </c>
      <c r="B17" s="10" t="s">
        <v>39</v>
      </c>
      <c r="C17" s="14">
        <v>1437116</v>
      </c>
      <c r="D17" s="10">
        <v>1434022</v>
      </c>
      <c r="E17" s="14">
        <v>214579</v>
      </c>
      <c r="F17" s="10">
        <v>215212</v>
      </c>
      <c r="G17" s="14">
        <v>211477</v>
      </c>
      <c r="H17" s="10">
        <v>213047</v>
      </c>
      <c r="I17">
        <f t="shared" si="10"/>
        <v>6.6632994442689073</v>
      </c>
      <c r="L17">
        <v>25</v>
      </c>
      <c r="M17" s="15" t="s">
        <v>34</v>
      </c>
      <c r="N17" s="18">
        <v>1828086</v>
      </c>
      <c r="O17">
        <f t="shared" si="13"/>
        <v>1828086</v>
      </c>
      <c r="P17">
        <f t="shared" si="14"/>
        <v>1744170.75</v>
      </c>
      <c r="Q17">
        <v>1</v>
      </c>
      <c r="R17">
        <f t="shared" si="15"/>
        <v>5</v>
      </c>
      <c r="S17">
        <f t="shared" si="16"/>
        <v>5</v>
      </c>
      <c r="AC17" s="13">
        <v>13</v>
      </c>
      <c r="AD17" s="10" t="s">
        <v>43</v>
      </c>
      <c r="AE17" s="10">
        <v>2461965</v>
      </c>
      <c r="AF17" s="4">
        <f t="shared" si="24"/>
        <v>2461965</v>
      </c>
      <c r="AG17" s="8">
        <f t="shared" si="25"/>
        <v>2378049.75</v>
      </c>
      <c r="AH17">
        <f t="shared" si="26"/>
        <v>6.4816863101953572</v>
      </c>
      <c r="AI17" s="8">
        <f t="shared" si="27"/>
        <v>6.7432305650806246</v>
      </c>
      <c r="AJ17">
        <f t="shared" si="43"/>
        <v>6.4816863101953572</v>
      </c>
      <c r="AK17" s="8">
        <f t="shared" si="44"/>
        <v>6.6444811434533246</v>
      </c>
      <c r="AL17" s="9">
        <f t="shared" si="19"/>
        <v>6.4816863101953572</v>
      </c>
      <c r="AM17" s="8">
        <f t="shared" si="20"/>
        <v>6.6444811434533246</v>
      </c>
      <c r="AN17">
        <f t="shared" si="30"/>
        <v>12.963372620390714</v>
      </c>
      <c r="AO17" s="8">
        <f t="shared" si="30"/>
        <v>13.288962286906649</v>
      </c>
      <c r="AP17">
        <f t="shared" si="31"/>
        <v>103.70698096312572</v>
      </c>
      <c r="AQ17" s="8">
        <f t="shared" si="31"/>
        <v>106.31169829525319</v>
      </c>
      <c r="AR17">
        <v>12.5</v>
      </c>
      <c r="AS17" s="8">
        <f t="shared" si="32"/>
        <v>100</v>
      </c>
      <c r="AT17">
        <f t="shared" si="33"/>
        <v>6.4712704754542072</v>
      </c>
      <c r="AU17">
        <f t="shared" si="34"/>
        <v>129.42540950908415</v>
      </c>
      <c r="AV17">
        <f t="shared" si="45"/>
        <v>3.6148020013033699</v>
      </c>
      <c r="AW17">
        <f t="shared" si="34"/>
        <v>72.296040026067402</v>
      </c>
      <c r="AX17">
        <f t="shared" si="46"/>
        <v>6.6338037033214201</v>
      </c>
      <c r="AY17">
        <f t="shared" si="35"/>
        <v>132.67607406642841</v>
      </c>
      <c r="AZ17">
        <f t="shared" si="36"/>
        <v>3.6707897022945257</v>
      </c>
      <c r="BA17">
        <f t="shared" si="37"/>
        <v>73.415794045890522</v>
      </c>
      <c r="BC17" s="97" t="str">
        <f t="shared" si="38"/>
        <v>&lt; 0</v>
      </c>
      <c r="BD17" s="107" t="str">
        <f t="shared" si="39"/>
        <v>&lt; 0</v>
      </c>
      <c r="BE17" s="97" t="str">
        <f t="shared" si="40"/>
        <v>&lt; 0</v>
      </c>
      <c r="BF17" s="97" t="str">
        <f t="shared" si="41"/>
        <v>&lt; 0</v>
      </c>
      <c r="BP17" t="s">
        <v>277</v>
      </c>
      <c r="BQ17" t="s">
        <v>296</v>
      </c>
      <c r="BR17" s="24">
        <f>AVERAGE(AN22,AN24:AN28)</f>
        <v>13.208291534718953</v>
      </c>
      <c r="BS17" s="24">
        <f t="shared" ref="BS17:BU17" si="51">AVERAGE(AO22,AO24:AO28)</f>
        <v>13.488761516196647</v>
      </c>
      <c r="BT17" s="24">
        <f t="shared" si="51"/>
        <v>105.66633227775162</v>
      </c>
      <c r="BU17" s="24">
        <f t="shared" si="51"/>
        <v>107.91009212957317</v>
      </c>
    </row>
    <row r="18" spans="1:73" x14ac:dyDescent="0.25">
      <c r="A18" s="13">
        <v>12</v>
      </c>
      <c r="B18" s="17" t="s">
        <v>41</v>
      </c>
      <c r="C18" s="16">
        <v>3379558</v>
      </c>
      <c r="D18" s="17">
        <v>3379558</v>
      </c>
      <c r="E18" s="16">
        <v>509819</v>
      </c>
      <c r="F18" s="17">
        <v>510359</v>
      </c>
      <c r="G18" s="16">
        <v>1130170</v>
      </c>
      <c r="H18" s="17">
        <v>1127167</v>
      </c>
      <c r="I18">
        <f t="shared" si="10"/>
        <v>6.6219229993004927</v>
      </c>
      <c r="AC18" s="13">
        <v>14</v>
      </c>
      <c r="AD18" s="10" t="s">
        <v>44</v>
      </c>
      <c r="AE18" s="10">
        <v>1674150</v>
      </c>
      <c r="AF18" s="4">
        <f t="shared" si="24"/>
        <v>1674150</v>
      </c>
      <c r="AG18" s="8">
        <f t="shared" si="25"/>
        <v>1590234.75</v>
      </c>
      <c r="AH18">
        <f t="shared" si="26"/>
        <v>4.2562306128201577</v>
      </c>
      <c r="AI18" s="8">
        <f t="shared" si="27"/>
        <v>4.5003875620410581</v>
      </c>
      <c r="AJ18">
        <f t="shared" si="43"/>
        <v>4.2562306128201577</v>
      </c>
      <c r="AK18" s="8">
        <f t="shared" si="44"/>
        <v>4.4016381404137581</v>
      </c>
      <c r="AL18" s="9">
        <f t="shared" si="19"/>
        <v>4.2562306128201577</v>
      </c>
      <c r="AM18" s="8">
        <f t="shared" si="20"/>
        <v>4.4016381404137581</v>
      </c>
      <c r="AN18">
        <f t="shared" si="30"/>
        <v>8.5124612256403154</v>
      </c>
      <c r="AO18" s="8">
        <f t="shared" si="30"/>
        <v>8.8032762808275162</v>
      </c>
      <c r="AP18">
        <f t="shared" si="31"/>
        <v>68.099689805122523</v>
      </c>
      <c r="AQ18" s="8">
        <f t="shared" si="31"/>
        <v>70.42621024662013</v>
      </c>
      <c r="AR18">
        <v>12.5</v>
      </c>
      <c r="AS18" s="8">
        <f t="shared" si="32"/>
        <v>100</v>
      </c>
      <c r="AT18">
        <f t="shared" si="33"/>
        <v>4.2493910046438677</v>
      </c>
      <c r="AU18">
        <f t="shared" si="34"/>
        <v>84.987820092877357</v>
      </c>
      <c r="AV18">
        <f t="shared" si="45"/>
        <v>2.7855220925980477</v>
      </c>
      <c r="AW18">
        <f t="shared" si="34"/>
        <v>55.710441851960951</v>
      </c>
      <c r="AX18">
        <f t="shared" si="46"/>
        <v>4.3945648676160944</v>
      </c>
      <c r="AY18">
        <f t="shared" si="35"/>
        <v>87.891297352321885</v>
      </c>
      <c r="AZ18">
        <f t="shared" si="36"/>
        <v>2.8441078854330946</v>
      </c>
      <c r="BA18">
        <f t="shared" si="37"/>
        <v>56.882157708661893</v>
      </c>
      <c r="BC18" s="97" t="str">
        <f t="shared" si="38"/>
        <v>&lt; 0</v>
      </c>
      <c r="BD18" s="107" t="str">
        <f t="shared" si="39"/>
        <v>&lt; 0</v>
      </c>
      <c r="BE18" s="97" t="str">
        <f t="shared" si="40"/>
        <v>&lt; 0</v>
      </c>
      <c r="BF18" s="97" t="str">
        <f t="shared" si="41"/>
        <v>&lt; 0</v>
      </c>
      <c r="BL18" t="s">
        <v>302</v>
      </c>
      <c r="BR18">
        <f>STDEV(AN22,AN24:AN28)</f>
        <v>3.3563467420511404</v>
      </c>
      <c r="BS18">
        <f t="shared" ref="BS18:BU18" si="52">STDEV(AO22,AO24:AO28)</f>
        <v>3.3825696081313001</v>
      </c>
      <c r="BT18">
        <f t="shared" si="52"/>
        <v>26.850773936409123</v>
      </c>
      <c r="BU18">
        <f t="shared" si="52"/>
        <v>27.060556865050401</v>
      </c>
    </row>
    <row r="19" spans="1:73" x14ac:dyDescent="0.25">
      <c r="A19" s="13">
        <v>13</v>
      </c>
      <c r="B19" s="10" t="s">
        <v>43</v>
      </c>
      <c r="C19" s="11">
        <v>2471602</v>
      </c>
      <c r="D19" s="10">
        <v>2461965</v>
      </c>
      <c r="E19" s="11">
        <v>375851</v>
      </c>
      <c r="F19" s="10">
        <v>375851</v>
      </c>
      <c r="G19" s="11">
        <v>173544</v>
      </c>
      <c r="H19" s="10">
        <v>173975</v>
      </c>
      <c r="I19">
        <f t="shared" si="10"/>
        <v>6.550375015631194</v>
      </c>
      <c r="AC19" s="13">
        <v>15</v>
      </c>
      <c r="AD19" s="10" t="s">
        <v>53</v>
      </c>
      <c r="AE19" s="10">
        <v>2485296</v>
      </c>
      <c r="AF19" s="4">
        <f t="shared" si="24"/>
        <v>2485296</v>
      </c>
      <c r="AG19" s="8">
        <f t="shared" si="25"/>
        <v>2401380.75</v>
      </c>
      <c r="AH19">
        <f t="shared" si="26"/>
        <v>6.5475927817343109</v>
      </c>
      <c r="AI19" s="8">
        <f t="shared" si="27"/>
        <v>6.809651958559952</v>
      </c>
      <c r="AJ19">
        <f t="shared" si="43"/>
        <v>6.5475927817343109</v>
      </c>
      <c r="AK19" s="8">
        <f t="shared" si="44"/>
        <v>6.710902536932652</v>
      </c>
      <c r="AL19" s="9">
        <f t="shared" si="19"/>
        <v>6.5475927817343109</v>
      </c>
      <c r="AM19" s="8">
        <f t="shared" si="20"/>
        <v>6.710902536932652</v>
      </c>
      <c r="AN19">
        <f t="shared" si="30"/>
        <v>13.095185563468622</v>
      </c>
      <c r="AO19" s="8">
        <f t="shared" si="30"/>
        <v>13.421805073865304</v>
      </c>
      <c r="AP19">
        <f t="shared" si="31"/>
        <v>104.76148450774897</v>
      </c>
      <c r="AQ19" s="8">
        <f t="shared" si="31"/>
        <v>107.37444059092243</v>
      </c>
      <c r="AR19">
        <v>12.5</v>
      </c>
      <c r="AS19" s="8">
        <f t="shared" si="32"/>
        <v>100</v>
      </c>
      <c r="AT19">
        <f t="shared" si="33"/>
        <v>6.5370710376845231</v>
      </c>
      <c r="AU19">
        <f t="shared" si="34"/>
        <v>130.74142075369048</v>
      </c>
      <c r="AV19">
        <f t="shared" si="45"/>
        <v>3.6375319869637495</v>
      </c>
      <c r="AW19">
        <f t="shared" si="34"/>
        <v>72.750639739274988</v>
      </c>
      <c r="AX19">
        <f t="shared" si="46"/>
        <v>6.7001183600312331</v>
      </c>
      <c r="AY19">
        <f t="shared" si="35"/>
        <v>134.00236720062466</v>
      </c>
      <c r="AZ19">
        <f t="shared" si="36"/>
        <v>3.6934828679300464</v>
      </c>
      <c r="BA19">
        <f t="shared" si="37"/>
        <v>73.869657358600932</v>
      </c>
      <c r="BC19" s="97" t="str">
        <f t="shared" si="38"/>
        <v>&lt; 0</v>
      </c>
      <c r="BD19" s="107" t="str">
        <f t="shared" si="39"/>
        <v>&lt; 0</v>
      </c>
      <c r="BE19" s="97" t="str">
        <f t="shared" si="40"/>
        <v>&lt; 0</v>
      </c>
      <c r="BF19" s="97" t="str">
        <f t="shared" si="41"/>
        <v>&lt; 0</v>
      </c>
      <c r="BI19" t="s">
        <v>299</v>
      </c>
      <c r="BJ19" t="s">
        <v>300</v>
      </c>
      <c r="BK19" t="s">
        <v>301</v>
      </c>
      <c r="BL19" t="s">
        <v>273</v>
      </c>
      <c r="BM19" t="s">
        <v>274</v>
      </c>
    </row>
    <row r="20" spans="1:73" x14ac:dyDescent="0.25">
      <c r="A20" s="13">
        <v>14</v>
      </c>
      <c r="B20" s="10" t="s">
        <v>44</v>
      </c>
      <c r="C20" s="11">
        <v>1677323</v>
      </c>
      <c r="D20" s="10">
        <v>1674150</v>
      </c>
      <c r="E20" s="11">
        <v>81921</v>
      </c>
      <c r="F20" s="10">
        <v>82280</v>
      </c>
      <c r="G20" s="11">
        <v>698378</v>
      </c>
      <c r="H20" s="10">
        <v>698378</v>
      </c>
      <c r="I20">
        <f t="shared" si="10"/>
        <v>20.346985901798735</v>
      </c>
      <c r="L20" s="25">
        <v>44390</v>
      </c>
      <c r="AC20" s="9">
        <v>16</v>
      </c>
      <c r="AD20" s="10" t="s">
        <v>52</v>
      </c>
      <c r="AE20" s="10">
        <v>1418864</v>
      </c>
      <c r="AF20" s="4">
        <f t="shared" si="24"/>
        <v>1418864</v>
      </c>
      <c r="AG20" s="8">
        <f t="shared" si="25"/>
        <v>1334948.75</v>
      </c>
      <c r="AH20">
        <f t="shared" si="26"/>
        <v>3.5350870916126085</v>
      </c>
      <c r="AI20" s="8">
        <f t="shared" si="27"/>
        <v>3.773609804732605</v>
      </c>
      <c r="AJ20">
        <f t="shared" si="43"/>
        <v>3.5350870916126085</v>
      </c>
      <c r="AK20" s="8">
        <f t="shared" si="44"/>
        <v>3.6748603831053051</v>
      </c>
      <c r="AL20" s="9">
        <f t="shared" si="19"/>
        <v>3.5350870916126085</v>
      </c>
      <c r="AM20" s="8">
        <f t="shared" si="20"/>
        <v>3.6748603831053051</v>
      </c>
      <c r="AN20">
        <f t="shared" si="30"/>
        <v>7.070174183225217</v>
      </c>
      <c r="AO20" s="8">
        <f t="shared" si="30"/>
        <v>7.3497207662106101</v>
      </c>
      <c r="AP20">
        <f t="shared" si="31"/>
        <v>56.561393465801736</v>
      </c>
      <c r="AQ20" s="8">
        <f t="shared" si="31"/>
        <v>58.797766129684881</v>
      </c>
      <c r="AR20">
        <v>12.5</v>
      </c>
      <c r="AS20" s="8">
        <f t="shared" si="32"/>
        <v>100</v>
      </c>
      <c r="AT20">
        <f t="shared" si="33"/>
        <v>3.5294063349113944</v>
      </c>
      <c r="AU20">
        <f t="shared" si="34"/>
        <v>70.588126698227882</v>
      </c>
      <c r="AV20">
        <f t="shared" si="45"/>
        <v>2.4828548819699949</v>
      </c>
      <c r="AW20">
        <f t="shared" si="34"/>
        <v>49.6570976393999</v>
      </c>
      <c r="AX20">
        <f t="shared" si="46"/>
        <v>3.6689550157957185</v>
      </c>
      <c r="AY20">
        <f t="shared" si="35"/>
        <v>73.379100315914371</v>
      </c>
      <c r="AZ20">
        <f t="shared" si="36"/>
        <v>2.5432312453368189</v>
      </c>
      <c r="BA20">
        <f t="shared" si="37"/>
        <v>50.864624906736381</v>
      </c>
      <c r="BC20" s="97" t="str">
        <f t="shared" si="38"/>
        <v>&lt; 0</v>
      </c>
      <c r="BD20" s="107" t="str">
        <f t="shared" si="39"/>
        <v>&lt; 0</v>
      </c>
      <c r="BE20" s="97" t="str">
        <f t="shared" si="40"/>
        <v>&lt; 0</v>
      </c>
      <c r="BF20" s="97" t="str">
        <f t="shared" si="41"/>
        <v>&lt; 0</v>
      </c>
      <c r="BI20" t="s">
        <v>169</v>
      </c>
      <c r="BJ20">
        <v>0.53100899999999995</v>
      </c>
      <c r="BK20">
        <v>0.52579799999999999</v>
      </c>
      <c r="BL20">
        <v>0.50407594852057924</v>
      </c>
      <c r="BM20">
        <v>0.49919651814028965</v>
      </c>
    </row>
    <row r="21" spans="1:73" x14ac:dyDescent="0.25">
      <c r="A21" s="13">
        <v>15</v>
      </c>
      <c r="B21" s="10" t="s">
        <v>53</v>
      </c>
      <c r="C21" s="11">
        <v>2490772</v>
      </c>
      <c r="D21" s="10">
        <v>2485296</v>
      </c>
      <c r="E21" s="11">
        <v>370178</v>
      </c>
      <c r="F21" s="10">
        <v>371397</v>
      </c>
      <c r="G21" s="11">
        <v>704231</v>
      </c>
      <c r="H21" s="10">
        <v>702516</v>
      </c>
      <c r="I21">
        <f t="shared" si="10"/>
        <v>6.6917503372402036</v>
      </c>
      <c r="L21" t="s">
        <v>11</v>
      </c>
      <c r="AC21" s="9">
        <v>17</v>
      </c>
      <c r="AD21" s="88" t="s">
        <v>45</v>
      </c>
      <c r="AE21" s="88">
        <v>55058</v>
      </c>
      <c r="AF21" s="4">
        <f t="shared" si="24"/>
        <v>55058</v>
      </c>
      <c r="AG21" s="88">
        <f t="shared" si="25"/>
        <v>0</v>
      </c>
      <c r="AH21">
        <f t="shared" si="26"/>
        <v>0</v>
      </c>
      <c r="AI21" s="8">
        <f t="shared" si="27"/>
        <v>0</v>
      </c>
      <c r="AJ21" s="89">
        <f>IF(AVERAGE($AH$21,$AH$37,$AH$45)&gt;0,IF(AH21-MAX($AH$21,$AH$37,$AH$45)&lt;=0,0,AH21-MAX($AH$21,$AH$37,$AH$45)),AH21)</f>
        <v>0</v>
      </c>
      <c r="AK21" s="88">
        <f>IF(AVERAGE($AI$21,$AI$37,$AI$45)&gt;0,IF(AI21-MAX($AI$21,$AI$37,$AI$45)&lt;=0,0,AI21-MAX($AI$21,$AI$37,$AI$45)),AI21)</f>
        <v>0</v>
      </c>
      <c r="AL21" s="92">
        <f t="shared" si="19"/>
        <v>0</v>
      </c>
      <c r="AM21" s="88">
        <f t="shared" si="20"/>
        <v>0</v>
      </c>
      <c r="AN21" s="89">
        <f t="shared" si="30"/>
        <v>0</v>
      </c>
      <c r="AO21" s="88">
        <f t="shared" si="30"/>
        <v>0</v>
      </c>
      <c r="AP21" s="89">
        <f>AN21*$AN$2</f>
        <v>0</v>
      </c>
      <c r="AQ21" s="88">
        <f>AO21*$AN$2</f>
        <v>0</v>
      </c>
      <c r="AR21" s="89">
        <v>0</v>
      </c>
      <c r="AS21" s="88">
        <f t="shared" si="32"/>
        <v>0</v>
      </c>
      <c r="AT21" s="89">
        <f t="shared" si="33"/>
        <v>0</v>
      </c>
      <c r="AU21">
        <f t="shared" si="34"/>
        <v>0</v>
      </c>
      <c r="AV21">
        <f t="shared" si="45"/>
        <v>0</v>
      </c>
      <c r="AW21">
        <f t="shared" si="34"/>
        <v>0</v>
      </c>
      <c r="AX21" s="89">
        <f t="shared" si="46"/>
        <v>0</v>
      </c>
      <c r="AY21">
        <f t="shared" si="35"/>
        <v>0</v>
      </c>
      <c r="AZ21">
        <f t="shared" si="36"/>
        <v>0</v>
      </c>
      <c r="BA21">
        <f t="shared" si="37"/>
        <v>0</v>
      </c>
      <c r="BC21" s="102">
        <f t="shared" si="38"/>
        <v>0</v>
      </c>
      <c r="BD21" s="106">
        <f t="shared" si="39"/>
        <v>0</v>
      </c>
      <c r="BE21" s="102">
        <f t="shared" si="40"/>
        <v>0</v>
      </c>
      <c r="BF21" s="102">
        <f t="shared" si="41"/>
        <v>0</v>
      </c>
      <c r="BI21" t="s">
        <v>170</v>
      </c>
      <c r="BJ21">
        <v>16.356290000000001</v>
      </c>
      <c r="BK21">
        <v>10.84248</v>
      </c>
      <c r="BL21">
        <v>10.838040615204671</v>
      </c>
      <c r="BM21">
        <v>7.0109859810614132</v>
      </c>
    </row>
    <row r="22" spans="1:73" x14ac:dyDescent="0.25">
      <c r="A22" s="9">
        <v>16</v>
      </c>
      <c r="B22" s="10" t="s">
        <v>52</v>
      </c>
      <c r="C22" s="11">
        <v>1428728</v>
      </c>
      <c r="D22" s="10">
        <v>1418864</v>
      </c>
      <c r="E22" s="11">
        <v>211316</v>
      </c>
      <c r="F22" s="10">
        <v>212327</v>
      </c>
      <c r="G22" s="11">
        <v>154556</v>
      </c>
      <c r="H22" s="10">
        <v>161933</v>
      </c>
      <c r="I22">
        <f t="shared" si="10"/>
        <v>6.6824473571425207</v>
      </c>
      <c r="L22" s="13">
        <v>1</v>
      </c>
      <c r="M22" s="13" t="s">
        <v>66</v>
      </c>
      <c r="N22" s="8">
        <v>74437</v>
      </c>
      <c r="O22">
        <f>IF(N22&lt;=0,0,N22*((10640.021*L22+45198.58)/(10640.021*L22+45198.58)))</f>
        <v>74437</v>
      </c>
      <c r="P22">
        <f>IF(AVERAGE($O$22:$O$23,$O$30,$O$32)&gt;0,IF(O22-AVERAGE($O$22:$O$23,$O$30,$O$32)&lt;=0,0,O22-AVERAGE($O$22:$O$23,$O$30,$O$32)),O22)</f>
        <v>0</v>
      </c>
      <c r="Q22">
        <v>0</v>
      </c>
      <c r="R22">
        <f t="shared" si="15"/>
        <v>0</v>
      </c>
      <c r="S22">
        <f t="shared" si="16"/>
        <v>0</v>
      </c>
      <c r="AC22" s="13">
        <v>18</v>
      </c>
      <c r="AD22" s="10" t="s">
        <v>46</v>
      </c>
      <c r="AE22" s="10">
        <v>2587406</v>
      </c>
      <c r="AF22" s="4">
        <f t="shared" si="24"/>
        <v>2587406</v>
      </c>
      <c r="AG22" s="8">
        <f>IF(AVERAGE($AF$10:$AF$12,$AF$23)&gt;0,IF(AF22-AVERAGE($AF$10:$AF$12,$AF$23)&lt;=0,0,AF22-AVERAGE($AF$10:$AF$12,$AF$23)),AF22)</f>
        <v>2503490.75</v>
      </c>
      <c r="AH22">
        <f t="shared" si="26"/>
        <v>6.8360377608969083</v>
      </c>
      <c r="AI22" s="8">
        <f t="shared" si="27"/>
        <v>7.100350535053634</v>
      </c>
      <c r="AJ22">
        <f t="shared" ref="AJ22:AJ28" si="53">IF(AVERAGE($AH$21,$AH$37,$AH$45)&gt;0,IF(AH22-MAX($AH$21,$AH$37,$AH$45)&lt;=0,0,AH22-MAX($AH$21,$AH$37,$AH$45)),AH22)</f>
        <v>6.5770517320693509</v>
      </c>
      <c r="AK22" s="8">
        <f t="shared" ref="AK22:AK28" si="54">IF(AVERAGE($AI$21,$AI$37,$AI$45)&gt;0,IF(AI22-MAX($AI$21,$AI$37,$AI$45)&lt;=0,0,AI22-MAX($AI$21,$AI$37,$AI$45)),AI22)</f>
        <v>6.7170750392982415</v>
      </c>
      <c r="AL22" s="9">
        <f t="shared" si="19"/>
        <v>6.5770517320693509</v>
      </c>
      <c r="AM22" s="8">
        <f t="shared" si="20"/>
        <v>6.7170750392982415</v>
      </c>
      <c r="AN22">
        <f t="shared" si="30"/>
        <v>13.154103464138702</v>
      </c>
      <c r="AO22" s="8">
        <f t="shared" si="30"/>
        <v>13.434150078596483</v>
      </c>
      <c r="AP22">
        <f t="shared" ref="AP22:AQ29" si="55">AN22*$AN$2</f>
        <v>105.23282771310961</v>
      </c>
      <c r="AQ22" s="8">
        <f t="shared" si="55"/>
        <v>107.47320062877186</v>
      </c>
      <c r="AR22">
        <v>12.5</v>
      </c>
      <c r="AS22" s="8">
        <f t="shared" si="32"/>
        <v>100</v>
      </c>
      <c r="AT22">
        <f t="shared" si="33"/>
        <v>6.5664826485551622</v>
      </c>
      <c r="AU22">
        <f t="shared" si="34"/>
        <v>131.32965297110326</v>
      </c>
      <c r="AV22">
        <f t="shared" si="45"/>
        <v>3.6476636980993451</v>
      </c>
      <c r="AW22">
        <f t="shared" si="34"/>
        <v>72.953273961986895</v>
      </c>
      <c r="AX22">
        <f t="shared" si="46"/>
        <v>6.706280943409463</v>
      </c>
      <c r="AY22">
        <f t="shared" si="35"/>
        <v>134.12561886818926</v>
      </c>
      <c r="AZ22">
        <f t="shared" si="36"/>
        <v>3.6955873822305474</v>
      </c>
      <c r="BA22">
        <f t="shared" si="37"/>
        <v>73.911747644610955</v>
      </c>
      <c r="BC22" s="97" t="str">
        <f t="shared" si="38"/>
        <v>&lt; 0</v>
      </c>
      <c r="BD22" s="107" t="str">
        <f t="shared" si="39"/>
        <v>&lt; 0</v>
      </c>
      <c r="BE22" s="97" t="str">
        <f t="shared" si="40"/>
        <v>&lt; 0</v>
      </c>
      <c r="BF22" s="97" t="str">
        <f t="shared" si="41"/>
        <v>&lt; 0</v>
      </c>
      <c r="BI22" t="s">
        <v>171</v>
      </c>
      <c r="BJ22">
        <v>0.92901999999999996</v>
      </c>
      <c r="BK22">
        <v>0.82628000000000001</v>
      </c>
      <c r="BL22">
        <v>0.8754123454106616</v>
      </c>
      <c r="BM22">
        <v>0.7834690532107339</v>
      </c>
    </row>
    <row r="23" spans="1:73" x14ac:dyDescent="0.25">
      <c r="A23" s="9">
        <v>17</v>
      </c>
      <c r="B23" s="10" t="s">
        <v>45</v>
      </c>
      <c r="C23" s="14">
        <v>0</v>
      </c>
      <c r="D23" s="10">
        <v>55058</v>
      </c>
      <c r="E23" s="14">
        <v>0</v>
      </c>
      <c r="F23" s="10">
        <v>0</v>
      </c>
      <c r="G23" s="11">
        <v>484784</v>
      </c>
      <c r="H23" s="10">
        <v>484784</v>
      </c>
      <c r="I23" t="e">
        <f t="shared" si="10"/>
        <v>#DIV/0!</v>
      </c>
      <c r="L23" s="13">
        <v>2</v>
      </c>
      <c r="M23" s="13" t="s">
        <v>67</v>
      </c>
      <c r="N23" s="8">
        <v>106760</v>
      </c>
      <c r="O23">
        <f t="shared" ref="O23:O32" si="56">IF(N23&lt;=0,0,N23*((10640.021*L23+45198.58)/(10640.021*L23+45198.58)))</f>
        <v>106760</v>
      </c>
      <c r="P23">
        <f t="shared" ref="P23:P32" si="57">IF(AVERAGE($O$22:$O$23,$O$30,$O$32)&gt;0,IF(O23-AVERAGE($O$22:$O$23,$O$30,$O$32)&lt;=0,0,O23-AVERAGE($O$22:$O$23,$O$30,$O$32)),O23)</f>
        <v>7301.5</v>
      </c>
      <c r="Q23">
        <v>0</v>
      </c>
      <c r="R23">
        <f t="shared" si="15"/>
        <v>0</v>
      </c>
      <c r="S23">
        <f t="shared" si="16"/>
        <v>0</v>
      </c>
      <c r="AC23">
        <v>19</v>
      </c>
      <c r="AD23" s="8" t="s">
        <v>37</v>
      </c>
      <c r="AE23" s="11">
        <v>119458</v>
      </c>
      <c r="AF23" s="4">
        <f t="shared" si="24"/>
        <v>119458</v>
      </c>
      <c r="AG23" s="8">
        <f>IF(AVERAGE($AF$10:$AF$12,$AF$23)&gt;0,IF(AF23-AVERAGE($AF$10:$AF$12,$AF$23)&lt;=0,0,AF23-AVERAGE($AF$10:$AF$12,$AF$23)),AF23)</f>
        <v>35542.75</v>
      </c>
      <c r="AH23">
        <f t="shared" si="26"/>
        <v>-0.13553416579365993</v>
      </c>
      <c r="AI23" s="8">
        <f t="shared" si="27"/>
        <v>7.4310279834460966E-2</v>
      </c>
      <c r="AK23" s="8"/>
      <c r="AL23" s="9">
        <f t="shared" si="19"/>
        <v>0</v>
      </c>
      <c r="AM23" s="8">
        <f t="shared" si="20"/>
        <v>0</v>
      </c>
      <c r="AO23" s="8"/>
      <c r="AQ23" s="8"/>
      <c r="AR23">
        <v>0</v>
      </c>
      <c r="AS23" s="8">
        <f t="shared" si="32"/>
        <v>0</v>
      </c>
      <c r="AT23">
        <f t="shared" si="33"/>
        <v>0</v>
      </c>
      <c r="AU23">
        <f t="shared" si="34"/>
        <v>0</v>
      </c>
      <c r="AW23">
        <f t="shared" si="34"/>
        <v>0</v>
      </c>
      <c r="AX23">
        <f t="shared" si="46"/>
        <v>0</v>
      </c>
      <c r="AY23">
        <f t="shared" si="35"/>
        <v>0</v>
      </c>
      <c r="BA23">
        <f t="shared" si="37"/>
        <v>0</v>
      </c>
      <c r="BC23" s="97">
        <f t="shared" si="38"/>
        <v>0</v>
      </c>
      <c r="BD23" s="107">
        <f t="shared" si="39"/>
        <v>0</v>
      </c>
      <c r="BE23" s="97">
        <f t="shared" si="40"/>
        <v>0</v>
      </c>
      <c r="BF23" s="97">
        <f t="shared" si="41"/>
        <v>0</v>
      </c>
    </row>
    <row r="24" spans="1:73" x14ac:dyDescent="0.25">
      <c r="A24" s="13">
        <v>18</v>
      </c>
      <c r="B24" s="10" t="s">
        <v>46</v>
      </c>
      <c r="C24" s="14">
        <v>2595147</v>
      </c>
      <c r="D24" s="10">
        <v>2587406</v>
      </c>
      <c r="E24" s="14">
        <v>388001</v>
      </c>
      <c r="F24" s="10">
        <v>388001</v>
      </c>
      <c r="G24" s="14">
        <v>621346</v>
      </c>
      <c r="H24" s="10">
        <v>621346</v>
      </c>
      <c r="I24">
        <f t="shared" si="10"/>
        <v>6.6685549779510875</v>
      </c>
      <c r="L24" s="13">
        <v>3</v>
      </c>
      <c r="M24" s="13" t="s">
        <v>62</v>
      </c>
      <c r="N24" s="8">
        <v>350796</v>
      </c>
      <c r="O24">
        <f t="shared" si="56"/>
        <v>350796</v>
      </c>
      <c r="P24">
        <f t="shared" si="57"/>
        <v>251337.5</v>
      </c>
      <c r="Q24">
        <v>0.1</v>
      </c>
      <c r="R24">
        <f t="shared" si="15"/>
        <v>0.5</v>
      </c>
      <c r="S24">
        <f t="shared" si="16"/>
        <v>0.5</v>
      </c>
      <c r="AC24">
        <v>20</v>
      </c>
      <c r="AD24" s="10" t="s">
        <v>47</v>
      </c>
      <c r="AE24" s="10">
        <v>3032982</v>
      </c>
      <c r="AF24" s="4">
        <f t="shared" si="24"/>
        <v>3032982</v>
      </c>
      <c r="AG24" s="8">
        <f t="shared" si="25"/>
        <v>2949066.75</v>
      </c>
      <c r="AH24">
        <f t="shared" si="26"/>
        <v>8.0947211419110445</v>
      </c>
      <c r="AI24" s="8">
        <f t="shared" si="27"/>
        <v>8.3688679076885268</v>
      </c>
      <c r="AJ24">
        <f>IF(AVERAGE($AH$21,$AH$37,$AH$45)&gt;0,IF(AH24-MAX($AH$21,$AH$37,$AH$45)&lt;=0,0,AH24-MAX($AH$21,$AH$37,$AH$45)),AH24)</f>
        <v>7.8357351130834871</v>
      </c>
      <c r="AK24" s="8">
        <f t="shared" si="54"/>
        <v>7.9855924119331343</v>
      </c>
      <c r="AL24" s="9">
        <f t="shared" si="19"/>
        <v>7.8357351130834871</v>
      </c>
      <c r="AM24" s="8">
        <f t="shared" si="20"/>
        <v>7.9855924119331343</v>
      </c>
      <c r="AN24">
        <f>AL24*$AN$5</f>
        <v>15.671470226166974</v>
      </c>
      <c r="AO24" s="8">
        <f t="shared" si="30"/>
        <v>15.971184823866269</v>
      </c>
      <c r="AP24">
        <f t="shared" si="55"/>
        <v>125.37176180933579</v>
      </c>
      <c r="AQ24" s="8">
        <f t="shared" si="55"/>
        <v>127.76947859093015</v>
      </c>
      <c r="AR24">
        <v>12.5</v>
      </c>
      <c r="AS24" s="8">
        <f t="shared" si="32"/>
        <v>100</v>
      </c>
      <c r="AT24">
        <f t="shared" si="33"/>
        <v>7.8231433710417715</v>
      </c>
      <c r="AU24">
        <f t="shared" si="34"/>
        <v>156.46286742083544</v>
      </c>
      <c r="AV24">
        <f t="shared" si="45"/>
        <v>4.0656916188927843</v>
      </c>
      <c r="AW24">
        <f t="shared" si="34"/>
        <v>81.31383237785569</v>
      </c>
      <c r="AX24">
        <f t="shared" si="46"/>
        <v>7.9727598546490768</v>
      </c>
      <c r="AY24">
        <f t="shared" si="35"/>
        <v>159.45519709298154</v>
      </c>
      <c r="AZ24">
        <f t="shared" si="36"/>
        <v>4.1136953667863683</v>
      </c>
      <c r="BA24">
        <f t="shared" si="37"/>
        <v>82.273907335727358</v>
      </c>
      <c r="BC24" s="97" t="str">
        <f t="shared" si="38"/>
        <v>&lt; 0</v>
      </c>
      <c r="BD24" s="107" t="str">
        <f t="shared" si="39"/>
        <v>&lt; 0</v>
      </c>
      <c r="BE24" s="97" t="str">
        <f t="shared" si="40"/>
        <v>&lt; 0</v>
      </c>
      <c r="BF24" s="97" t="str">
        <f t="shared" si="41"/>
        <v>&lt; 0</v>
      </c>
    </row>
    <row r="25" spans="1:73" x14ac:dyDescent="0.25">
      <c r="A25">
        <v>19</v>
      </c>
      <c r="B25" s="8" t="s">
        <v>37</v>
      </c>
      <c r="C25" s="14">
        <v>0</v>
      </c>
      <c r="D25" s="11">
        <v>119458</v>
      </c>
      <c r="E25" s="14">
        <v>0</v>
      </c>
      <c r="F25" s="10">
        <v>17404</v>
      </c>
      <c r="G25" s="11">
        <v>255550</v>
      </c>
      <c r="H25" s="65">
        <v>260587</v>
      </c>
      <c r="I25">
        <f t="shared" si="10"/>
        <v>6.863824408182027</v>
      </c>
      <c r="L25" s="13">
        <v>4</v>
      </c>
      <c r="M25" s="13" t="s">
        <v>63</v>
      </c>
      <c r="N25" s="8">
        <v>286253</v>
      </c>
      <c r="O25">
        <f t="shared" si="56"/>
        <v>286253</v>
      </c>
      <c r="P25">
        <f t="shared" si="57"/>
        <v>186794.5</v>
      </c>
      <c r="Q25">
        <v>0.1</v>
      </c>
      <c r="R25">
        <f t="shared" si="15"/>
        <v>0.5</v>
      </c>
      <c r="S25">
        <f t="shared" si="16"/>
        <v>0.5</v>
      </c>
      <c r="AC25">
        <v>21</v>
      </c>
      <c r="AD25" s="10" t="s">
        <v>48</v>
      </c>
      <c r="AE25" s="10">
        <v>3047949</v>
      </c>
      <c r="AF25" s="4">
        <f t="shared" si="24"/>
        <v>3047949</v>
      </c>
      <c r="AG25" s="8">
        <f t="shared" si="25"/>
        <v>2964033.75</v>
      </c>
      <c r="AH25">
        <f t="shared" si="26"/>
        <v>8.1370006052655306</v>
      </c>
      <c r="AI25" s="8">
        <f t="shared" si="27"/>
        <v>8.4114776970762541</v>
      </c>
      <c r="AJ25">
        <f t="shared" si="53"/>
        <v>7.8780145764379732</v>
      </c>
      <c r="AK25" s="8">
        <f t="shared" si="54"/>
        <v>8.0282022013208607</v>
      </c>
      <c r="AL25" s="9">
        <f t="shared" si="19"/>
        <v>7.8780145764379732</v>
      </c>
      <c r="AM25" s="8">
        <f t="shared" si="20"/>
        <v>8.0282022013208607</v>
      </c>
      <c r="AN25">
        <f t="shared" si="30"/>
        <v>15.756029152875946</v>
      </c>
      <c r="AO25" s="8">
        <f t="shared" si="30"/>
        <v>16.056404402641721</v>
      </c>
      <c r="AP25">
        <f t="shared" si="55"/>
        <v>126.04823322300757</v>
      </c>
      <c r="AQ25" s="8">
        <f t="shared" si="55"/>
        <v>128.45123522113377</v>
      </c>
      <c r="AR25">
        <v>12.5</v>
      </c>
      <c r="AS25" s="8">
        <f t="shared" si="32"/>
        <v>100</v>
      </c>
      <c r="AT25">
        <f t="shared" si="33"/>
        <v>7.8653548928325696</v>
      </c>
      <c r="AU25">
        <f t="shared" si="34"/>
        <v>157.30709785665138</v>
      </c>
      <c r="AV25">
        <f t="shared" si="45"/>
        <v>4.0792700857601689</v>
      </c>
      <c r="AW25">
        <f t="shared" si="34"/>
        <v>81.585401715203375</v>
      </c>
      <c r="AX25">
        <f t="shared" si="46"/>
        <v>8.0153011716511653</v>
      </c>
      <c r="AY25">
        <f t="shared" si="35"/>
        <v>160.30602343302331</v>
      </c>
      <c r="AZ25">
        <f t="shared" si="36"/>
        <v>4.1272818133665705</v>
      </c>
      <c r="BA25">
        <f t="shared" si="37"/>
        <v>82.545636267331417</v>
      </c>
      <c r="BC25" s="97" t="str">
        <f t="shared" si="38"/>
        <v>&lt; 0</v>
      </c>
      <c r="BD25" s="107" t="str">
        <f t="shared" si="39"/>
        <v>&lt; 0</v>
      </c>
      <c r="BE25" s="97" t="str">
        <f t="shared" si="40"/>
        <v>&lt; 0</v>
      </c>
      <c r="BF25" s="97" t="str">
        <f t="shared" si="41"/>
        <v>&lt; 0</v>
      </c>
    </row>
    <row r="26" spans="1:73" x14ac:dyDescent="0.25">
      <c r="A26">
        <v>20</v>
      </c>
      <c r="B26" s="10" t="s">
        <v>47</v>
      </c>
      <c r="C26" s="11">
        <v>3048676</v>
      </c>
      <c r="D26" s="10">
        <v>3032982</v>
      </c>
      <c r="E26" s="11">
        <v>456296</v>
      </c>
      <c r="F26" s="10">
        <v>456296</v>
      </c>
      <c r="G26" s="11">
        <v>177280</v>
      </c>
      <c r="H26" s="10">
        <v>177564</v>
      </c>
      <c r="I26">
        <f t="shared" si="10"/>
        <v>6.6469616214036504</v>
      </c>
      <c r="L26" s="13">
        <v>5</v>
      </c>
      <c r="M26" s="13" t="s">
        <v>64</v>
      </c>
      <c r="N26" s="8">
        <v>2047550</v>
      </c>
      <c r="O26">
        <f t="shared" si="56"/>
        <v>2047550</v>
      </c>
      <c r="P26">
        <f t="shared" si="57"/>
        <v>1948091.5</v>
      </c>
      <c r="Q26">
        <v>0.5</v>
      </c>
      <c r="R26">
        <f t="shared" si="15"/>
        <v>2.5</v>
      </c>
      <c r="S26">
        <f t="shared" si="16"/>
        <v>2.5</v>
      </c>
      <c r="AC26">
        <v>22</v>
      </c>
      <c r="AD26" s="10" t="s">
        <v>49</v>
      </c>
      <c r="AE26" s="10">
        <v>3165964</v>
      </c>
      <c r="AF26" s="4">
        <f t="shared" si="24"/>
        <v>3165964</v>
      </c>
      <c r="AG26" s="8">
        <f t="shared" si="25"/>
        <v>3082048.75</v>
      </c>
      <c r="AH26">
        <f t="shared" si="26"/>
        <v>8.4703747529089934</v>
      </c>
      <c r="AI26" s="8">
        <f t="shared" si="27"/>
        <v>8.7474564700162407</v>
      </c>
      <c r="AJ26">
        <f t="shared" si="53"/>
        <v>8.2113887240814361</v>
      </c>
      <c r="AK26" s="8">
        <f t="shared" si="54"/>
        <v>8.3641809742608473</v>
      </c>
      <c r="AL26" s="9">
        <f t="shared" si="19"/>
        <v>8.2113887240814361</v>
      </c>
      <c r="AM26" s="8">
        <f t="shared" si="20"/>
        <v>8.3641809742608473</v>
      </c>
      <c r="AN26">
        <f t="shared" si="30"/>
        <v>16.422777448162872</v>
      </c>
      <c r="AO26" s="8">
        <f t="shared" si="30"/>
        <v>16.728361948521695</v>
      </c>
      <c r="AP26">
        <f t="shared" si="55"/>
        <v>131.38221958530298</v>
      </c>
      <c r="AQ26" s="8">
        <f t="shared" si="55"/>
        <v>133.82689558817356</v>
      </c>
      <c r="AR26">
        <v>12.5</v>
      </c>
      <c r="AS26" s="8">
        <f t="shared" si="32"/>
        <v>100</v>
      </c>
      <c r="AT26">
        <f t="shared" si="33"/>
        <v>8.1981933203157773</v>
      </c>
      <c r="AU26">
        <f t="shared" si="34"/>
        <v>163.96386640631556</v>
      </c>
      <c r="AV26">
        <f t="shared" si="45"/>
        <v>4.1853825229233861</v>
      </c>
      <c r="AW26">
        <f t="shared" si="34"/>
        <v>83.707650458467725</v>
      </c>
      <c r="AX26">
        <f t="shared" si="46"/>
        <v>8.3507400388925408</v>
      </c>
      <c r="AY26">
        <f t="shared" si="35"/>
        <v>167.01480077785081</v>
      </c>
      <c r="AZ26">
        <f t="shared" si="36"/>
        <v>4.2334669666227178</v>
      </c>
      <c r="BA26">
        <f t="shared" si="37"/>
        <v>84.669339332454356</v>
      </c>
      <c r="BC26" s="97" t="str">
        <f t="shared" si="38"/>
        <v>&lt; 0</v>
      </c>
      <c r="BD26" s="107" t="str">
        <f t="shared" si="39"/>
        <v>&lt; 0</v>
      </c>
      <c r="BE26" s="97" t="str">
        <f t="shared" si="40"/>
        <v>&lt; 0</v>
      </c>
      <c r="BF26" s="97" t="str">
        <f t="shared" si="41"/>
        <v>&lt; 0</v>
      </c>
      <c r="BI26" t="s">
        <v>175</v>
      </c>
      <c r="BJ26" t="s">
        <v>182</v>
      </c>
      <c r="BK26" t="s">
        <v>273</v>
      </c>
      <c r="BM26" t="s">
        <v>274</v>
      </c>
    </row>
    <row r="27" spans="1:73" x14ac:dyDescent="0.25">
      <c r="A27">
        <v>21</v>
      </c>
      <c r="B27" s="10" t="s">
        <v>48</v>
      </c>
      <c r="C27" s="11">
        <v>3056463</v>
      </c>
      <c r="D27" s="10">
        <v>3047949</v>
      </c>
      <c r="E27" s="11">
        <v>458122</v>
      </c>
      <c r="F27" s="10">
        <v>459190</v>
      </c>
      <c r="G27" s="11">
        <v>826638</v>
      </c>
      <c r="H27" s="10">
        <v>823100</v>
      </c>
      <c r="I27">
        <f t="shared" si="10"/>
        <v>6.6376641477384091</v>
      </c>
      <c r="L27" s="13">
        <v>6</v>
      </c>
      <c r="M27" s="13" t="s">
        <v>65</v>
      </c>
      <c r="N27" s="8">
        <v>1640308</v>
      </c>
      <c r="O27">
        <f t="shared" si="56"/>
        <v>1640308</v>
      </c>
      <c r="P27">
        <f t="shared" si="57"/>
        <v>1540849.5</v>
      </c>
      <c r="Q27">
        <v>0.5</v>
      </c>
      <c r="R27">
        <f t="shared" si="15"/>
        <v>2.5</v>
      </c>
      <c r="S27">
        <f t="shared" si="16"/>
        <v>2.5</v>
      </c>
      <c r="AC27">
        <v>23</v>
      </c>
      <c r="AD27" s="10" t="s">
        <v>50</v>
      </c>
      <c r="AE27" s="10">
        <v>1900939</v>
      </c>
      <c r="AF27" s="4">
        <f t="shared" si="24"/>
        <v>1900939</v>
      </c>
      <c r="AG27" s="8">
        <f>IF(AVERAGE($AF$10:$AF$12,$AF$23)&gt;0,IF(AF27-AVERAGE($AF$10:$AF$12,$AF$23)&lt;=0,0,AF27-AVERAGE($AF$10:$AF$12,$AF$23)),AF27)</f>
        <v>1817023.75</v>
      </c>
      <c r="AH27">
        <f t="shared" si="26"/>
        <v>4.8968745103748175</v>
      </c>
      <c r="AI27" s="8">
        <f t="shared" si="27"/>
        <v>5.1460367586371376</v>
      </c>
      <c r="AJ27">
        <f t="shared" si="53"/>
        <v>4.6378884815472601</v>
      </c>
      <c r="AK27" s="8">
        <f t="shared" si="54"/>
        <v>4.7627612628817451</v>
      </c>
      <c r="AL27" s="9">
        <f t="shared" si="19"/>
        <v>4.6378884815472601</v>
      </c>
      <c r="AM27" s="8">
        <f t="shared" si="20"/>
        <v>4.7627612628817451</v>
      </c>
      <c r="AN27">
        <f t="shared" si="30"/>
        <v>9.2757769630945202</v>
      </c>
      <c r="AO27" s="8">
        <f t="shared" si="30"/>
        <v>9.5255225257634901</v>
      </c>
      <c r="AP27">
        <f t="shared" si="55"/>
        <v>74.206215704756161</v>
      </c>
      <c r="AQ27" s="8">
        <f t="shared" si="55"/>
        <v>76.204180206107921</v>
      </c>
      <c r="AR27">
        <v>12.5</v>
      </c>
      <c r="AS27" s="8">
        <f t="shared" si="32"/>
        <v>100</v>
      </c>
      <c r="AT27">
        <f t="shared" si="33"/>
        <v>4.6304355630226945</v>
      </c>
      <c r="AU27">
        <f t="shared" si="34"/>
        <v>92.608711260453887</v>
      </c>
      <c r="AV27">
        <f t="shared" si="45"/>
        <v>2.9377489701151394</v>
      </c>
      <c r="AW27">
        <f t="shared" si="34"/>
        <v>58.754979402302787</v>
      </c>
      <c r="AX27">
        <f t="shared" si="46"/>
        <v>4.7551076783280317</v>
      </c>
      <c r="AY27">
        <f t="shared" si="35"/>
        <v>95.102153566560631</v>
      </c>
      <c r="AZ27">
        <f t="shared" si="36"/>
        <v>2.9865097991269547</v>
      </c>
      <c r="BA27">
        <f t="shared" si="37"/>
        <v>59.730195982539094</v>
      </c>
      <c r="BC27" s="97" t="str">
        <f t="shared" si="38"/>
        <v>&lt; 0</v>
      </c>
      <c r="BD27" s="107" t="str">
        <f t="shared" si="39"/>
        <v>&lt; 0</v>
      </c>
      <c r="BE27" s="97" t="str">
        <f t="shared" si="40"/>
        <v>&lt; 0</v>
      </c>
      <c r="BF27" s="97" t="str">
        <f t="shared" si="41"/>
        <v>&lt; 0</v>
      </c>
      <c r="BI27" t="s">
        <v>200</v>
      </c>
      <c r="BJ27" t="s">
        <v>240</v>
      </c>
      <c r="BK27" t="s">
        <v>266</v>
      </c>
      <c r="BL27" t="s">
        <v>275</v>
      </c>
      <c r="BM27" t="s">
        <v>266</v>
      </c>
      <c r="BN27" t="s">
        <v>275</v>
      </c>
    </row>
    <row r="28" spans="1:73" x14ac:dyDescent="0.25">
      <c r="A28">
        <v>22</v>
      </c>
      <c r="B28" s="10" t="s">
        <v>49</v>
      </c>
      <c r="C28" s="11">
        <v>3185164</v>
      </c>
      <c r="D28" s="10">
        <v>3165964</v>
      </c>
      <c r="E28" s="11">
        <v>478867</v>
      </c>
      <c r="F28" s="10">
        <v>479487</v>
      </c>
      <c r="G28" s="11">
        <v>726713</v>
      </c>
      <c r="H28" s="10">
        <v>722556</v>
      </c>
      <c r="I28">
        <f t="shared" si="10"/>
        <v>6.602815091962869</v>
      </c>
      <c r="L28" s="78">
        <v>7</v>
      </c>
      <c r="M28" s="78" t="s">
        <v>68</v>
      </c>
      <c r="N28" s="77">
        <v>8429272</v>
      </c>
      <c r="O28">
        <f t="shared" si="56"/>
        <v>8429272</v>
      </c>
      <c r="P28">
        <f t="shared" si="57"/>
        <v>8329813.5</v>
      </c>
      <c r="Q28" s="16">
        <v>1.5</v>
      </c>
      <c r="R28">
        <f t="shared" si="15"/>
        <v>7.5</v>
      </c>
      <c r="S28">
        <f t="shared" si="16"/>
        <v>7.5</v>
      </c>
      <c r="AC28">
        <v>24</v>
      </c>
      <c r="AD28" s="10" t="s">
        <v>51</v>
      </c>
      <c r="AE28" s="10">
        <v>1846744</v>
      </c>
      <c r="AF28" s="4">
        <f t="shared" si="24"/>
        <v>1846744</v>
      </c>
      <c r="AG28" s="8">
        <f t="shared" si="25"/>
        <v>1762828.75</v>
      </c>
      <c r="AH28">
        <f t="shared" si="26"/>
        <v>4.743782005764916</v>
      </c>
      <c r="AI28" s="8">
        <f t="shared" si="27"/>
        <v>4.9917481546505043</v>
      </c>
      <c r="AJ28">
        <f t="shared" si="53"/>
        <v>4.4847959769373587</v>
      </c>
      <c r="AK28" s="8">
        <f t="shared" si="54"/>
        <v>4.6084726588951117</v>
      </c>
      <c r="AL28" s="9">
        <f t="shared" si="19"/>
        <v>4.4847959769373587</v>
      </c>
      <c r="AM28" s="8">
        <f t="shared" si="20"/>
        <v>4.6084726588951117</v>
      </c>
      <c r="AN28">
        <f t="shared" si="30"/>
        <v>8.9695919538747173</v>
      </c>
      <c r="AO28" s="8">
        <f t="shared" si="30"/>
        <v>9.2169453177902234</v>
      </c>
      <c r="AP28">
        <f t="shared" si="55"/>
        <v>71.756735630997738</v>
      </c>
      <c r="AQ28" s="8">
        <f t="shared" si="55"/>
        <v>73.735562542321787</v>
      </c>
      <c r="AR28">
        <v>12.5</v>
      </c>
      <c r="AS28" s="8">
        <f t="shared" si="32"/>
        <v>100</v>
      </c>
      <c r="AT28">
        <f t="shared" si="33"/>
        <v>4.4775890725134166</v>
      </c>
      <c r="AU28">
        <f t="shared" si="34"/>
        <v>89.551781450268336</v>
      </c>
      <c r="AV28">
        <f t="shared" si="45"/>
        <v>2.8772817756351032</v>
      </c>
      <c r="AW28">
        <f t="shared" si="34"/>
        <v>57.545635512702063</v>
      </c>
      <c r="AX28">
        <f t="shared" si="46"/>
        <v>4.6010670105303246</v>
      </c>
      <c r="AY28">
        <f t="shared" si="35"/>
        <v>92.021340210606496</v>
      </c>
      <c r="AZ28">
        <f t="shared" si="36"/>
        <v>2.9261901923389448</v>
      </c>
      <c r="BA28">
        <f t="shared" si="37"/>
        <v>58.523803846778897</v>
      </c>
      <c r="BC28" s="97" t="str">
        <f t="shared" si="38"/>
        <v>&lt; 0</v>
      </c>
      <c r="BD28" s="107" t="str">
        <f t="shared" si="39"/>
        <v>&lt; 0</v>
      </c>
      <c r="BE28" s="97" t="str">
        <f t="shared" si="40"/>
        <v>&lt; 0</v>
      </c>
      <c r="BF28" s="97" t="str">
        <f t="shared" si="41"/>
        <v>&lt; 0</v>
      </c>
      <c r="BH28" t="s">
        <v>169</v>
      </c>
      <c r="BI28" t="s">
        <v>281</v>
      </c>
      <c r="BJ28" t="s">
        <v>276</v>
      </c>
      <c r="BK28" s="24"/>
      <c r="BL28" s="94">
        <f>AVERAGE(BD59:BD62)</f>
        <v>12.262578600468876</v>
      </c>
      <c r="BM28" s="94"/>
      <c r="BN28" s="94">
        <f>AVERAGE(BF59:BF62)</f>
        <v>13.467394402779041</v>
      </c>
      <c r="BO28" s="24" t="s">
        <v>200</v>
      </c>
    </row>
    <row r="29" spans="1:73" x14ac:dyDescent="0.25">
      <c r="A29">
        <v>23</v>
      </c>
      <c r="B29" s="10" t="s">
        <v>50</v>
      </c>
      <c r="C29" s="11">
        <v>1905445</v>
      </c>
      <c r="D29" s="10">
        <v>1900939</v>
      </c>
      <c r="E29" s="11">
        <v>286366</v>
      </c>
      <c r="F29" s="10">
        <v>286366</v>
      </c>
      <c r="G29" s="11">
        <v>633269</v>
      </c>
      <c r="H29" s="10">
        <v>632607</v>
      </c>
      <c r="I29">
        <f t="shared" si="10"/>
        <v>6.638144891502483</v>
      </c>
      <c r="L29" s="13">
        <v>8</v>
      </c>
      <c r="M29" s="13" t="s">
        <v>69</v>
      </c>
      <c r="N29" s="8">
        <v>4934748</v>
      </c>
      <c r="O29">
        <f t="shared" si="56"/>
        <v>4934748</v>
      </c>
      <c r="P29">
        <f t="shared" si="57"/>
        <v>4835289.5</v>
      </c>
      <c r="Q29">
        <v>1.5</v>
      </c>
      <c r="R29">
        <f t="shared" si="15"/>
        <v>7.5</v>
      </c>
      <c r="S29">
        <f t="shared" si="16"/>
        <v>7.5</v>
      </c>
      <c r="AC29">
        <v>26</v>
      </c>
      <c r="AD29" s="15" t="s">
        <v>42</v>
      </c>
      <c r="AE29" s="18">
        <v>1689371</v>
      </c>
      <c r="AF29" s="4">
        <f t="shared" si="24"/>
        <v>1689371</v>
      </c>
      <c r="AG29" s="8">
        <f t="shared" si="25"/>
        <v>1605455.75</v>
      </c>
      <c r="AH29">
        <f t="shared" si="26"/>
        <v>4.2992275869444736</v>
      </c>
      <c r="AI29" s="8">
        <f t="shared" si="27"/>
        <v>4.5437204680523235</v>
      </c>
      <c r="AJ29">
        <f t="shared" ref="AJ29" si="58">IF(AVERAGE($AH$13,$AH$36,$AH$38)&gt;0,IF(AH29-MAX($AH$13,$AH$36,$AH$38)&lt;=0,0,AH29-MAX($AH$13,$AH$36,$AH$38)),AH29)</f>
        <v>4.2992275869444736</v>
      </c>
      <c r="AK29" s="8">
        <f t="shared" ref="AK29" si="59">IF(AVERAGE($AI$13,$AI$36,$AI$38)&gt;0,IF(AI29-MAX($AI$13,$AI$36,$AI$38)&lt;=0,0,AI29-MAX($AI$13,$AI$36,$AI$38)),AI29)</f>
        <v>4.4449710464250236</v>
      </c>
      <c r="AL29" s="9">
        <f t="shared" si="19"/>
        <v>4.2992275869444736</v>
      </c>
      <c r="AM29" s="8">
        <f t="shared" si="20"/>
        <v>4.4449710464250236</v>
      </c>
      <c r="AN29">
        <f>AL29*$AN$5</f>
        <v>8.5984551738889472</v>
      </c>
      <c r="AO29" s="8">
        <f>AM29*$AN$5</f>
        <v>8.8899420928500472</v>
      </c>
      <c r="AP29">
        <f t="shared" si="55"/>
        <v>68.787641391111578</v>
      </c>
      <c r="AQ29" s="8">
        <f t="shared" si="55"/>
        <v>71.119536742800378</v>
      </c>
      <c r="AR29">
        <v>12.5</v>
      </c>
      <c r="AS29" s="8">
        <f t="shared" si="32"/>
        <v>100</v>
      </c>
      <c r="AT29">
        <f t="shared" si="33"/>
        <v>4.2923188841907214</v>
      </c>
      <c r="AU29">
        <f t="shared" si="34"/>
        <v>85.846377683814424</v>
      </c>
      <c r="AV29">
        <f t="shared" si="45"/>
        <v>2.8029241002528171</v>
      </c>
      <c r="AW29">
        <f t="shared" si="34"/>
        <v>56.058482005056341</v>
      </c>
      <c r="AX29">
        <f t="shared" si="46"/>
        <v>4.4378281392195431</v>
      </c>
      <c r="AY29">
        <f t="shared" si="35"/>
        <v>88.756562784390866</v>
      </c>
      <c r="AZ29">
        <f t="shared" si="36"/>
        <v>2.8614240083215163</v>
      </c>
      <c r="BA29">
        <f t="shared" si="37"/>
        <v>57.22848016643033</v>
      </c>
      <c r="BC29" s="97" t="str">
        <f t="shared" si="38"/>
        <v>&lt; 0</v>
      </c>
      <c r="BD29" s="107" t="str">
        <f t="shared" si="39"/>
        <v>&lt; 0</v>
      </c>
      <c r="BE29" s="97" t="str">
        <f t="shared" si="40"/>
        <v>&lt; 0</v>
      </c>
      <c r="BF29" s="97" t="str">
        <f t="shared" si="41"/>
        <v>&lt; 0</v>
      </c>
      <c r="BL29" s="54">
        <f>STDEV(BD59:BD62)</f>
        <v>10.727072789810162</v>
      </c>
      <c r="BM29" s="54"/>
      <c r="BN29" s="54">
        <f>STDEV(BF59:BF62)</f>
        <v>10.773370333880646</v>
      </c>
      <c r="BO29" t="s">
        <v>280</v>
      </c>
    </row>
    <row r="30" spans="1:73" x14ac:dyDescent="0.25">
      <c r="A30">
        <v>24</v>
      </c>
      <c r="B30" s="10" t="s">
        <v>51</v>
      </c>
      <c r="C30" s="11">
        <v>1851368</v>
      </c>
      <c r="D30" s="10">
        <v>1846744</v>
      </c>
      <c r="E30" s="11">
        <v>272036</v>
      </c>
      <c r="F30" s="10">
        <v>273091</v>
      </c>
      <c r="G30" s="11">
        <v>396160</v>
      </c>
      <c r="H30" s="10">
        <v>391983</v>
      </c>
      <c r="I30">
        <f t="shared" si="10"/>
        <v>6.7623759113262611</v>
      </c>
      <c r="L30" s="13">
        <v>9</v>
      </c>
      <c r="M30" s="13" t="s">
        <v>70</v>
      </c>
      <c r="N30" s="6">
        <v>196373</v>
      </c>
      <c r="O30">
        <f t="shared" si="56"/>
        <v>196373</v>
      </c>
      <c r="P30">
        <f t="shared" si="57"/>
        <v>96914.5</v>
      </c>
      <c r="Q30">
        <v>0</v>
      </c>
      <c r="R30">
        <f t="shared" si="15"/>
        <v>0</v>
      </c>
      <c r="S30">
        <f t="shared" si="16"/>
        <v>0</v>
      </c>
      <c r="AS30" s="13"/>
      <c r="AT30" s="13"/>
      <c r="AX30" s="13"/>
      <c r="BC30" s="108"/>
      <c r="BD30" s="108"/>
      <c r="BE30" s="108"/>
      <c r="BF30" s="108"/>
      <c r="BI30" t="s">
        <v>282</v>
      </c>
      <c r="BJ30" t="s">
        <v>277</v>
      </c>
      <c r="BK30" s="24"/>
      <c r="BL30" s="94">
        <f>AVERAGE(BD82:BD85)</f>
        <v>2.5882493459142211</v>
      </c>
      <c r="BM30" s="94"/>
      <c r="BN30" s="94">
        <f>AVERAGE(BF82:BF85)</f>
        <v>3.3367530632171167</v>
      </c>
      <c r="BO30" s="24" t="s">
        <v>200</v>
      </c>
    </row>
    <row r="31" spans="1:73" x14ac:dyDescent="0.25">
      <c r="A31">
        <v>25</v>
      </c>
      <c r="B31" s="15" t="s">
        <v>34</v>
      </c>
      <c r="C31" s="18">
        <v>1834858</v>
      </c>
      <c r="D31" s="18">
        <v>1828086</v>
      </c>
      <c r="E31" s="18">
        <v>276540</v>
      </c>
      <c r="F31" s="18">
        <v>277591</v>
      </c>
      <c r="G31" s="18">
        <v>546547</v>
      </c>
      <c r="H31" s="18">
        <v>546547</v>
      </c>
      <c r="I31">
        <f t="shared" si="10"/>
        <v>6.5855377155599424</v>
      </c>
      <c r="L31" s="13">
        <v>11</v>
      </c>
      <c r="M31" s="13" t="s">
        <v>87</v>
      </c>
      <c r="N31" s="8">
        <v>5374327</v>
      </c>
      <c r="O31">
        <f t="shared" si="56"/>
        <v>5374327</v>
      </c>
      <c r="P31">
        <f t="shared" si="57"/>
        <v>5274868.5</v>
      </c>
      <c r="Q31">
        <v>1.5</v>
      </c>
      <c r="R31">
        <f t="shared" si="15"/>
        <v>7.5</v>
      </c>
      <c r="S31">
        <f t="shared" si="16"/>
        <v>7.5</v>
      </c>
      <c r="AC31" s="25">
        <v>44390</v>
      </c>
      <c r="AS31" s="13"/>
      <c r="AT31" s="13"/>
      <c r="AX31" s="13"/>
      <c r="BC31" s="108"/>
      <c r="BD31" s="108"/>
      <c r="BE31" s="108"/>
      <c r="BF31" s="108"/>
      <c r="BL31" s="54">
        <f>STDEV(BD82:BD85)</f>
        <v>3.5986418650811935</v>
      </c>
      <c r="BM31" s="54"/>
      <c r="BN31" s="54">
        <f>STDEV(BF82:BF85)</f>
        <v>3.6160450199061658</v>
      </c>
      <c r="BO31" t="s">
        <v>280</v>
      </c>
    </row>
    <row r="32" spans="1:73" x14ac:dyDescent="0.25">
      <c r="A32">
        <v>26</v>
      </c>
      <c r="B32" s="15" t="s">
        <v>42</v>
      </c>
      <c r="C32" s="18">
        <v>1690647</v>
      </c>
      <c r="D32" s="18">
        <v>1689371</v>
      </c>
      <c r="E32" s="18">
        <v>252040</v>
      </c>
      <c r="F32" s="18">
        <v>253647</v>
      </c>
      <c r="G32" s="18">
        <v>727384</v>
      </c>
      <c r="H32" s="18">
        <v>726819</v>
      </c>
      <c r="I32">
        <f t="shared" si="10"/>
        <v>6.6603232050842314</v>
      </c>
      <c r="L32" s="13">
        <v>21</v>
      </c>
      <c r="M32" s="13" t="s">
        <v>88</v>
      </c>
      <c r="N32" s="8">
        <v>20264</v>
      </c>
      <c r="O32">
        <f t="shared" si="56"/>
        <v>20264</v>
      </c>
      <c r="P32">
        <f t="shared" si="57"/>
        <v>0</v>
      </c>
      <c r="Q32">
        <v>0</v>
      </c>
      <c r="R32">
        <f t="shared" si="15"/>
        <v>0</v>
      </c>
      <c r="S32">
        <f t="shared" si="16"/>
        <v>0</v>
      </c>
      <c r="AC32" t="s">
        <v>11</v>
      </c>
      <c r="AS32" s="13"/>
      <c r="AT32" s="13"/>
      <c r="AX32" s="13"/>
      <c r="BC32" s="108"/>
      <c r="BD32" s="108"/>
      <c r="BE32" s="108"/>
      <c r="BF32" s="108"/>
      <c r="BH32" t="s">
        <v>169</v>
      </c>
      <c r="BI32" t="s">
        <v>278</v>
      </c>
      <c r="BJ32" t="s">
        <v>276</v>
      </c>
      <c r="BK32" s="24"/>
      <c r="BL32" s="94">
        <f>AVERAGE(BD39:BD44)</f>
        <v>26.27622434793625</v>
      </c>
      <c r="BM32" s="24"/>
      <c r="BN32" s="94">
        <f>AVERAGE(BF39:BF44)</f>
        <v>25.395867368593088</v>
      </c>
      <c r="BO32" s="24" t="s">
        <v>200</v>
      </c>
    </row>
    <row r="33" spans="1:67" x14ac:dyDescent="0.25">
      <c r="L33" s="13"/>
      <c r="M33" s="13"/>
      <c r="N33" s="13"/>
      <c r="AC33">
        <v>1</v>
      </c>
      <c r="AD33" s="4" t="s">
        <v>66</v>
      </c>
      <c r="AE33" s="8">
        <v>74437</v>
      </c>
      <c r="AF33" s="63">
        <f>IF(AE33&lt;=0,0,AE33*((10640.021*AC33+45198.58)/(10640.021*AC33+45198.58)))</f>
        <v>74437</v>
      </c>
      <c r="AG33" s="8">
        <f>IF(AVERAGE($AF$33:$AF$35,$AF$46)&gt;0,IF(AF33-AVERAGE($AF$33:$AF$35,$AF$46)&lt;=0,0,AF33-AVERAGE($AF$33:$AF$35,$AF$46)),AF33)</f>
        <v>0</v>
      </c>
      <c r="AH33">
        <f>IF(AG33&lt;=0,0,(AG33-76796.113)/679231.184)</f>
        <v>0</v>
      </c>
      <c r="AI33" s="8">
        <f>IF(AG33&lt;=0,0,(AG33+6594.687)/676542.565)</f>
        <v>0</v>
      </c>
      <c r="AK33" s="8"/>
      <c r="AL33" s="9">
        <f t="shared" ref="AL33:AL52" si="60">IF(AJ33&lt;=0,0,AJ33)</f>
        <v>0</v>
      </c>
      <c r="AM33" s="8">
        <f t="shared" ref="AM33:AM52" si="61">IF(AK33&lt;=0,0,AK33)</f>
        <v>0</v>
      </c>
      <c r="AO33" s="8"/>
      <c r="AQ33" s="8"/>
      <c r="AR33">
        <v>0</v>
      </c>
      <c r="AS33" s="8">
        <f t="shared" si="32"/>
        <v>0</v>
      </c>
      <c r="AT33">
        <f t="shared" si="33"/>
        <v>0</v>
      </c>
      <c r="AU33">
        <f t="shared" ref="AU33:AW48" si="62">AT33*$AS$1</f>
        <v>0</v>
      </c>
      <c r="AW33">
        <f t="shared" si="62"/>
        <v>0</v>
      </c>
      <c r="AY33">
        <f t="shared" ref="AY33:AY52" si="63">AX33*$AS$1</f>
        <v>0</v>
      </c>
      <c r="BA33">
        <f t="shared" ref="BA33:BA52" si="64">AZ33*$AS$1</f>
        <v>0</v>
      </c>
      <c r="BC33" s="97"/>
      <c r="BD33" s="107"/>
      <c r="BE33" s="97"/>
      <c r="BF33" s="97"/>
      <c r="BL33" s="54" t="e">
        <f>STDEV(BD39:BD44)</f>
        <v>#DIV/0!</v>
      </c>
      <c r="BM33" s="54"/>
      <c r="BN33" s="54" t="e">
        <f>STDEV(BF39:BF44)</f>
        <v>#DIV/0!</v>
      </c>
      <c r="BO33" t="s">
        <v>280</v>
      </c>
    </row>
    <row r="34" spans="1:67" x14ac:dyDescent="0.25">
      <c r="B34" s="10"/>
      <c r="L34" s="13"/>
      <c r="M34" s="13"/>
      <c r="N34" s="13"/>
      <c r="AC34">
        <v>2</v>
      </c>
      <c r="AD34" s="8" t="s">
        <v>67</v>
      </c>
      <c r="AE34" s="8">
        <v>106760</v>
      </c>
      <c r="AF34" s="63">
        <f t="shared" ref="AF34:AF52" si="65">IF(AE34&lt;=0,0,AE34*((10640.021*AC34+45198.58)/(10640.021*AC34+45198.58)))</f>
        <v>106760</v>
      </c>
      <c r="AG34" s="8">
        <f t="shared" ref="AG34:AG52" si="66">IF(AVERAGE($AF$33:$AF$35,$AF$46)&gt;0,IF(AF34-AVERAGE($AF$33:$AF$35,$AF$46)&lt;=0,0,AF34-AVERAGE($AF$33:$AF$35,$AF$46)),AF34)</f>
        <v>7301.5</v>
      </c>
      <c r="AH34">
        <f t="shared" ref="AH34:AH52" si="67">IF(AG34&lt;=0,0,(AG34-76796.113)/679231.184)</f>
        <v>-0.1023136372961345</v>
      </c>
      <c r="AI34" s="8">
        <f t="shared" ref="AI34:AI52" si="68">IF(AG34&lt;=0,0,(AG34+6594.687)/676542.565)</f>
        <v>2.054000401290346E-2</v>
      </c>
      <c r="AK34" s="8"/>
      <c r="AL34" s="9">
        <f t="shared" si="60"/>
        <v>0</v>
      </c>
      <c r="AM34" s="8">
        <f t="shared" si="61"/>
        <v>0</v>
      </c>
      <c r="AO34" s="8"/>
      <c r="AQ34" s="8"/>
      <c r="AR34">
        <v>0</v>
      </c>
      <c r="AS34" s="8">
        <f t="shared" si="32"/>
        <v>0</v>
      </c>
      <c r="AT34">
        <f t="shared" si="33"/>
        <v>0</v>
      </c>
      <c r="AU34">
        <f t="shared" si="62"/>
        <v>0</v>
      </c>
      <c r="AW34">
        <f t="shared" si="62"/>
        <v>0</v>
      </c>
      <c r="AY34">
        <f t="shared" si="63"/>
        <v>0</v>
      </c>
      <c r="BA34">
        <f t="shared" si="64"/>
        <v>0</v>
      </c>
      <c r="BC34" s="97"/>
      <c r="BD34" s="107"/>
      <c r="BE34" s="97"/>
      <c r="BF34" s="97"/>
      <c r="BI34" t="s">
        <v>279</v>
      </c>
      <c r="BJ34" t="s">
        <v>277</v>
      </c>
      <c r="BK34" s="24"/>
      <c r="BL34" s="94">
        <f>AVERAGE(BD47:BD52)</f>
        <v>20.611509901278289</v>
      </c>
      <c r="BM34" s="24"/>
      <c r="BN34" s="94">
        <f>AVERAGE(BF47:BF52)</f>
        <v>20.356234035277033</v>
      </c>
      <c r="BO34" s="24" t="s">
        <v>200</v>
      </c>
    </row>
    <row r="35" spans="1:67" x14ac:dyDescent="0.25">
      <c r="L35" s="75">
        <v>44393</v>
      </c>
      <c r="M35" s="13"/>
      <c r="N35" s="13"/>
      <c r="AC35" s="7">
        <v>9</v>
      </c>
      <c r="AD35" s="6" t="s">
        <v>70</v>
      </c>
      <c r="AE35" s="6">
        <v>196373</v>
      </c>
      <c r="AF35" s="63">
        <f t="shared" si="65"/>
        <v>196373</v>
      </c>
      <c r="AG35" s="8">
        <f t="shared" si="66"/>
        <v>96914.5</v>
      </c>
      <c r="AH35">
        <f t="shared" si="67"/>
        <v>2.9619351222248951E-2</v>
      </c>
      <c r="AI35" s="8">
        <f t="shared" si="68"/>
        <v>0.15299730180317631</v>
      </c>
      <c r="AK35" s="8"/>
      <c r="AL35" s="9">
        <f t="shared" si="60"/>
        <v>0</v>
      </c>
      <c r="AM35" s="8">
        <f t="shared" si="61"/>
        <v>0</v>
      </c>
      <c r="AO35" s="8"/>
      <c r="AQ35" s="8"/>
      <c r="AR35">
        <v>0</v>
      </c>
      <c r="AS35" s="8">
        <f t="shared" si="32"/>
        <v>0</v>
      </c>
      <c r="AT35">
        <f t="shared" si="33"/>
        <v>0</v>
      </c>
      <c r="AU35">
        <f t="shared" si="62"/>
        <v>0</v>
      </c>
      <c r="AW35">
        <f t="shared" si="62"/>
        <v>0</v>
      </c>
      <c r="AY35">
        <f t="shared" si="63"/>
        <v>0</v>
      </c>
      <c r="BA35">
        <f t="shared" si="64"/>
        <v>0</v>
      </c>
      <c r="BC35" s="97"/>
      <c r="BD35" s="107"/>
      <c r="BE35" s="97"/>
      <c r="BF35" s="97"/>
      <c r="BL35" s="54">
        <f>STDEV(BD47:BD52)</f>
        <v>7.5253238199645756</v>
      </c>
      <c r="BM35" s="54"/>
      <c r="BN35" s="54">
        <f>STDEV(BF47:BF52)</f>
        <v>7.5508562496852223</v>
      </c>
      <c r="BO35" t="s">
        <v>280</v>
      </c>
    </row>
    <row r="36" spans="1:67" x14ac:dyDescent="0.25">
      <c r="L36" s="13" t="s">
        <v>11</v>
      </c>
      <c r="M36" s="13"/>
      <c r="N36" s="13"/>
      <c r="AC36">
        <v>10</v>
      </c>
      <c r="AD36" s="88" t="s">
        <v>71</v>
      </c>
      <c r="AE36" s="88">
        <v>74542</v>
      </c>
      <c r="AF36" s="63">
        <f t="shared" si="65"/>
        <v>74542</v>
      </c>
      <c r="AG36" s="88">
        <f t="shared" si="66"/>
        <v>0</v>
      </c>
      <c r="AH36">
        <f t="shared" si="67"/>
        <v>0</v>
      </c>
      <c r="AI36" s="8">
        <f t="shared" si="68"/>
        <v>0</v>
      </c>
      <c r="AJ36" s="89">
        <f>IF(AVERAGE($AH$13,$AH$36,$AH$38)&gt;0,IF(AH36-MAX($AH$13,$AH$36,$AH$38)&lt;=0,0,AH36-MAX($AH$13,$AH$36,$AH$38)),AH36)</f>
        <v>0</v>
      </c>
      <c r="AK36" s="88">
        <f>IF(AVERAGE($AI$13,$AI$36,$AI$38)&gt;0,IF(AI36-MAX($AI$13,$AI$36,$AI$38)&lt;=0,0,AI36-MAX($AI$13,$AI$36,$AI$38)),AI36)</f>
        <v>0</v>
      </c>
      <c r="AL36" s="92">
        <f t="shared" si="60"/>
        <v>0</v>
      </c>
      <c r="AM36" s="88">
        <f t="shared" si="61"/>
        <v>0</v>
      </c>
      <c r="AN36" s="89">
        <f t="shared" ref="AN36:AO44" si="69">AL36*$AN$5</f>
        <v>0</v>
      </c>
      <c r="AO36" s="88">
        <f t="shared" si="69"/>
        <v>0</v>
      </c>
      <c r="AP36" s="89">
        <f>AN36*$AN$2</f>
        <v>0</v>
      </c>
      <c r="AQ36" s="88">
        <f>AO36*$AN$2</f>
        <v>0</v>
      </c>
      <c r="AR36" s="89">
        <v>0</v>
      </c>
      <c r="AS36" s="88">
        <f t="shared" si="32"/>
        <v>0</v>
      </c>
      <c r="AT36" s="89">
        <f t="shared" si="33"/>
        <v>0</v>
      </c>
      <c r="AU36" s="89">
        <f t="shared" si="62"/>
        <v>0</v>
      </c>
      <c r="AV36" s="89">
        <f t="shared" si="45"/>
        <v>0</v>
      </c>
      <c r="AW36" s="89">
        <f t="shared" si="62"/>
        <v>0</v>
      </c>
      <c r="AX36" s="89">
        <f t="shared" ref="AX36:AX52" si="70">$AV$2*AO36</f>
        <v>0</v>
      </c>
      <c r="AY36" s="89">
        <f t="shared" si="63"/>
        <v>0</v>
      </c>
      <c r="AZ36" s="89">
        <f t="shared" si="36"/>
        <v>0</v>
      </c>
      <c r="BA36" s="89">
        <f t="shared" si="64"/>
        <v>0</v>
      </c>
      <c r="BB36" s="89"/>
      <c r="BC36" s="102"/>
      <c r="BD36" s="106"/>
      <c r="BE36" s="102"/>
      <c r="BF36" s="102"/>
      <c r="BH36" t="s">
        <v>170</v>
      </c>
      <c r="BJ36" t="s">
        <v>276</v>
      </c>
    </row>
    <row r="37" spans="1:67" x14ac:dyDescent="0.25">
      <c r="A37" t="s">
        <v>60</v>
      </c>
      <c r="L37" s="13">
        <v>1</v>
      </c>
      <c r="M37" s="13" t="s">
        <v>93</v>
      </c>
      <c r="N37" s="4">
        <v>17881</v>
      </c>
      <c r="O37">
        <f>IF(N37&lt;=0,0,N37*((6989.33*L37+66642.357)/(6989.33*L37+66642.357)))</f>
        <v>17881</v>
      </c>
      <c r="P37">
        <f>IF(AVERAGE($O$37:$O$38,$O$45:$O$46)&gt;0,IF(O37-AVERAGE($O$37:$O$38,$O$45:$O$46)&lt;=0,0,O37-AVERAGE($O$37:$O$38,$O$45:$O$46)),O37)</f>
        <v>0</v>
      </c>
      <c r="Q37">
        <v>0</v>
      </c>
      <c r="R37">
        <f t="shared" si="15"/>
        <v>0</v>
      </c>
      <c r="S37">
        <f t="shared" si="16"/>
        <v>0</v>
      </c>
      <c r="AC37" s="7">
        <v>12</v>
      </c>
      <c r="AD37" s="91" t="s">
        <v>72</v>
      </c>
      <c r="AE37" s="91">
        <v>161777</v>
      </c>
      <c r="AF37" s="63">
        <f t="shared" si="65"/>
        <v>161777</v>
      </c>
      <c r="AG37" s="88">
        <f t="shared" si="66"/>
        <v>62318.5</v>
      </c>
      <c r="AH37">
        <f t="shared" si="67"/>
        <v>-2.1314706010317683E-2</v>
      </c>
      <c r="AI37" s="8">
        <f t="shared" si="68"/>
        <v>0.10186082970256279</v>
      </c>
      <c r="AJ37" s="89">
        <f t="shared" ref="AJ37:AJ43" si="71">IF(AVERAGE($AH$13,$AH$36,$AH$38)&gt;0,IF(AH37-MAX($AH$13,$AH$36,$AH$38)&lt;=0,0,AH37-MAX($AH$13,$AH$36,$AH$38)),AH37)</f>
        <v>-2.1314706010317683E-2</v>
      </c>
      <c r="AK37" s="88">
        <f>IF(AVERAGE($AI$21,$AI$37,$AI$45)&gt;0,IF(AI37-MAX($AI$21,$AI$37,$AI$45)&lt;=0,0,AI37-MAX($AI$21,$AI$37,$AI$45)),AI37)</f>
        <v>0</v>
      </c>
      <c r="AL37" s="92">
        <f t="shared" si="60"/>
        <v>0</v>
      </c>
      <c r="AM37" s="88">
        <f t="shared" si="61"/>
        <v>0</v>
      </c>
      <c r="AN37" s="89">
        <f t="shared" si="69"/>
        <v>0</v>
      </c>
      <c r="AO37" s="88">
        <f t="shared" si="69"/>
        <v>0</v>
      </c>
      <c r="AP37" s="89">
        <f t="shared" ref="AP37:AQ52" si="72">AN37*$AN$2</f>
        <v>0</v>
      </c>
      <c r="AQ37" s="88">
        <f t="shared" si="72"/>
        <v>0</v>
      </c>
      <c r="AR37" s="89">
        <v>0</v>
      </c>
      <c r="AS37" s="88">
        <f t="shared" si="32"/>
        <v>0</v>
      </c>
      <c r="AT37" s="89">
        <f t="shared" si="33"/>
        <v>0</v>
      </c>
      <c r="AU37" s="89">
        <f t="shared" si="62"/>
        <v>0</v>
      </c>
      <c r="AV37" s="89">
        <f t="shared" si="45"/>
        <v>0</v>
      </c>
      <c r="AW37" s="89">
        <f t="shared" si="62"/>
        <v>0</v>
      </c>
      <c r="AX37" s="89">
        <f t="shared" si="70"/>
        <v>0</v>
      </c>
      <c r="AY37" s="89">
        <f t="shared" si="63"/>
        <v>0</v>
      </c>
      <c r="AZ37" s="89">
        <f t="shared" si="36"/>
        <v>0</v>
      </c>
      <c r="BA37" s="89">
        <f t="shared" si="64"/>
        <v>0</v>
      </c>
      <c r="BB37" s="89"/>
      <c r="BC37" s="102"/>
      <c r="BD37" s="106"/>
      <c r="BE37" s="102"/>
      <c r="BF37" s="102"/>
      <c r="BJ37" t="s">
        <v>277</v>
      </c>
    </row>
    <row r="38" spans="1:67" x14ac:dyDescent="0.25">
      <c r="A38" t="s">
        <v>61</v>
      </c>
      <c r="L38" s="13">
        <v>2</v>
      </c>
      <c r="M38" s="13" t="s">
        <v>94</v>
      </c>
      <c r="N38" s="8">
        <v>29907</v>
      </c>
      <c r="O38">
        <f t="shared" ref="O38:O46" si="73">IF(N38&lt;=0,0,N38*((6989.33*L38+66642.357)/(6989.33*L38+66642.357)))</f>
        <v>29907</v>
      </c>
      <c r="P38">
        <f t="shared" ref="P38:P46" si="74">IF(AVERAGE($O$37:$O$38,$O$45:$O$46)&gt;0,IF(O38-AVERAGE($O$37:$O$38,$O$45:$O$46)&lt;=0,0,O38-AVERAGE($O$37:$O$38,$O$45:$O$46)),O38)</f>
        <v>0</v>
      </c>
      <c r="Q38">
        <v>0</v>
      </c>
      <c r="R38">
        <f t="shared" si="15"/>
        <v>0</v>
      </c>
      <c r="S38">
        <f t="shared" si="16"/>
        <v>0</v>
      </c>
      <c r="AC38">
        <v>13</v>
      </c>
      <c r="AD38" s="88" t="s">
        <v>73</v>
      </c>
      <c r="AE38" s="88">
        <v>159672</v>
      </c>
      <c r="AF38" s="63">
        <f t="shared" si="65"/>
        <v>159672</v>
      </c>
      <c r="AG38" s="88">
        <f t="shared" si="66"/>
        <v>60213.5</v>
      </c>
      <c r="AH38">
        <f t="shared" si="67"/>
        <v>-2.4413798115605949E-2</v>
      </c>
      <c r="AI38" s="8">
        <f t="shared" si="68"/>
        <v>9.8749421627299994E-2</v>
      </c>
      <c r="AJ38" s="89">
        <f t="shared" si="71"/>
        <v>-2.4413798115605949E-2</v>
      </c>
      <c r="AK38" s="88">
        <f>IF(AVERAGE($AI$13,$AI$36,$AI$38)&gt;0,IF(AI38-MAX($AI$13,$AI$36,$AI$38)&lt;=0,0,AI38-MAX($AI$13,$AI$36,$AI$38)),AI38)</f>
        <v>0</v>
      </c>
      <c r="AL38" s="92">
        <f t="shared" si="60"/>
        <v>0</v>
      </c>
      <c r="AM38" s="88">
        <f t="shared" si="61"/>
        <v>0</v>
      </c>
      <c r="AN38" s="89">
        <f t="shared" si="69"/>
        <v>0</v>
      </c>
      <c r="AO38" s="88">
        <f t="shared" si="69"/>
        <v>0</v>
      </c>
      <c r="AP38" s="89">
        <f t="shared" si="72"/>
        <v>0</v>
      </c>
      <c r="AQ38" s="88">
        <f t="shared" si="72"/>
        <v>0</v>
      </c>
      <c r="AR38" s="89">
        <v>0</v>
      </c>
      <c r="AS38" s="88">
        <f t="shared" si="32"/>
        <v>0</v>
      </c>
      <c r="AT38" s="89">
        <f t="shared" si="33"/>
        <v>0</v>
      </c>
      <c r="AU38" s="89">
        <f t="shared" si="62"/>
        <v>0</v>
      </c>
      <c r="AV38" s="89">
        <f t="shared" si="45"/>
        <v>0</v>
      </c>
      <c r="AW38" s="89">
        <f t="shared" si="62"/>
        <v>0</v>
      </c>
      <c r="AX38" s="89">
        <f t="shared" si="70"/>
        <v>0</v>
      </c>
      <c r="AY38" s="89">
        <f t="shared" si="63"/>
        <v>0</v>
      </c>
      <c r="AZ38" s="89">
        <f t="shared" si="36"/>
        <v>0</v>
      </c>
      <c r="BA38" s="89">
        <f t="shared" si="64"/>
        <v>0</v>
      </c>
      <c r="BB38" s="89"/>
      <c r="BC38" s="102"/>
      <c r="BD38" s="106"/>
      <c r="BE38" s="102"/>
      <c r="BF38" s="102"/>
      <c r="BH38" t="s">
        <v>171</v>
      </c>
      <c r="BJ38" t="s">
        <v>276</v>
      </c>
    </row>
    <row r="39" spans="1:67" x14ac:dyDescent="0.25">
      <c r="A39" t="s">
        <v>2</v>
      </c>
      <c r="L39" s="13">
        <v>3</v>
      </c>
      <c r="M39" s="13" t="s">
        <v>95</v>
      </c>
      <c r="N39" s="8">
        <v>165906</v>
      </c>
      <c r="O39">
        <f t="shared" si="73"/>
        <v>165906</v>
      </c>
      <c r="P39">
        <f t="shared" si="74"/>
        <v>123998.75</v>
      </c>
      <c r="Q39">
        <v>0.05</v>
      </c>
      <c r="R39">
        <f t="shared" si="15"/>
        <v>0.25</v>
      </c>
      <c r="S39">
        <f t="shared" si="16"/>
        <v>0.25</v>
      </c>
      <c r="AC39">
        <v>14</v>
      </c>
      <c r="AD39" s="8" t="s">
        <v>74</v>
      </c>
      <c r="AE39" s="8">
        <v>3716147</v>
      </c>
      <c r="AF39" s="63">
        <f t="shared" si="65"/>
        <v>3716147</v>
      </c>
      <c r="AG39" s="8">
        <f t="shared" si="66"/>
        <v>3616688.5</v>
      </c>
      <c r="AH39">
        <f t="shared" si="67"/>
        <v>5.21161641335949</v>
      </c>
      <c r="AI39" s="8">
        <f t="shared" si="68"/>
        <v>5.3555879178126808</v>
      </c>
      <c r="AJ39">
        <f>IF(AVERAGE($AH$13,$AH$36,$AH$38)&gt;0,IF(AH39-MAX($AH$13,$AH$36,$AH$38)&lt;=0,0,AH39-MAX($AH$13,$AH$36,$AH$38)),AH39)</f>
        <v>5.21161641335949</v>
      </c>
      <c r="AK39" s="8">
        <f t="shared" ref="AK39:AK44" si="75">IF(AVERAGE($AI$13,$AI$36,$AI$38)&gt;0,IF(AI39-MAX($AI$13,$AI$36,$AI$38)&lt;=0,0,AI39-MAX($AI$13,$AI$36,$AI$38)),AI39)</f>
        <v>5.2568384961853809</v>
      </c>
      <c r="AL39" s="9">
        <f t="shared" si="60"/>
        <v>5.21161641335949</v>
      </c>
      <c r="AM39" s="8">
        <f t="shared" si="61"/>
        <v>5.2568384961853809</v>
      </c>
      <c r="AN39">
        <f t="shared" si="69"/>
        <v>10.42323282671898</v>
      </c>
      <c r="AO39" s="8">
        <f t="shared" si="69"/>
        <v>10.513676992370762</v>
      </c>
      <c r="AP39">
        <f t="shared" si="72"/>
        <v>83.38586261375184</v>
      </c>
      <c r="AQ39" s="8">
        <f t="shared" si="72"/>
        <v>84.109415938966094</v>
      </c>
      <c r="AR39">
        <v>12.5</v>
      </c>
      <c r="AS39" s="8">
        <f t="shared" si="32"/>
        <v>100</v>
      </c>
      <c r="AT39">
        <f t="shared" si="33"/>
        <v>5.2032415348636842</v>
      </c>
      <c r="AU39">
        <f t="shared" si="62"/>
        <v>104.06483069727369</v>
      </c>
      <c r="AV39">
        <f t="shared" si="45"/>
        <v>3.1579027357835789</v>
      </c>
      <c r="AW39">
        <f t="shared" si="62"/>
        <v>63.158054715671582</v>
      </c>
      <c r="AX39">
        <f t="shared" si="70"/>
        <v>5.2483909474431565</v>
      </c>
      <c r="AY39">
        <f t="shared" si="63"/>
        <v>104.96781894886313</v>
      </c>
      <c r="AZ39">
        <f t="shared" si="36"/>
        <v>3.1748528948253605</v>
      </c>
      <c r="BA39">
        <f t="shared" si="64"/>
        <v>63.497057896507208</v>
      </c>
      <c r="BC39" s="97" t="str">
        <f t="shared" si="38"/>
        <v>&lt; 0</v>
      </c>
      <c r="BD39" s="107" t="str">
        <f t="shared" si="39"/>
        <v>&lt; 0</v>
      </c>
      <c r="BE39" s="97" t="str">
        <f t="shared" si="40"/>
        <v>&lt; 0</v>
      </c>
      <c r="BF39" s="97" t="str">
        <f t="shared" si="41"/>
        <v>&lt; 0</v>
      </c>
      <c r="BJ39" t="s">
        <v>277</v>
      </c>
    </row>
    <row r="40" spans="1:67" x14ac:dyDescent="0.25">
      <c r="A40" t="s">
        <v>4</v>
      </c>
      <c r="L40" s="13">
        <v>4</v>
      </c>
      <c r="M40" s="13" t="s">
        <v>96</v>
      </c>
      <c r="N40" s="8">
        <v>185386</v>
      </c>
      <c r="O40">
        <f t="shared" si="73"/>
        <v>185386</v>
      </c>
      <c r="P40">
        <f t="shared" si="74"/>
        <v>143478.75</v>
      </c>
      <c r="Q40">
        <v>0.05</v>
      </c>
      <c r="R40">
        <f t="shared" si="15"/>
        <v>0.25</v>
      </c>
      <c r="S40">
        <f t="shared" si="16"/>
        <v>0.25</v>
      </c>
      <c r="AC40">
        <v>15</v>
      </c>
      <c r="AD40" s="8" t="s">
        <v>75</v>
      </c>
      <c r="AE40" s="8">
        <v>2829348</v>
      </c>
      <c r="AF40" s="63">
        <f t="shared" si="65"/>
        <v>2829348</v>
      </c>
      <c r="AG40" s="8">
        <f t="shared" si="66"/>
        <v>2729889.5</v>
      </c>
      <c r="AH40">
        <f t="shared" si="67"/>
        <v>3.9060241188808553</v>
      </c>
      <c r="AI40" s="8">
        <f t="shared" si="68"/>
        <v>4.0448071245894193</v>
      </c>
      <c r="AJ40">
        <f t="shared" si="71"/>
        <v>3.9060241188808553</v>
      </c>
      <c r="AK40" s="8">
        <f t="shared" si="75"/>
        <v>3.9460577029621193</v>
      </c>
      <c r="AL40" s="9">
        <f t="shared" si="60"/>
        <v>3.9060241188808553</v>
      </c>
      <c r="AM40" s="8">
        <f t="shared" si="61"/>
        <v>3.9460577029621193</v>
      </c>
      <c r="AN40">
        <f>AL40*$AN$5</f>
        <v>7.8120482377617106</v>
      </c>
      <c r="AO40" s="8">
        <f t="shared" si="69"/>
        <v>7.8921154059242387</v>
      </c>
      <c r="AP40">
        <f t="shared" si="72"/>
        <v>62.496385902093685</v>
      </c>
      <c r="AQ40" s="8">
        <f t="shared" si="72"/>
        <v>63.136923247393909</v>
      </c>
      <c r="AR40">
        <v>12.5</v>
      </c>
      <c r="AS40" s="8">
        <f t="shared" si="32"/>
        <v>100</v>
      </c>
      <c r="AT40">
        <f t="shared" si="33"/>
        <v>3.8997472798346315</v>
      </c>
      <c r="AU40">
        <f t="shared" si="62"/>
        <v>77.994945596692631</v>
      </c>
      <c r="AV40">
        <f t="shared" si="45"/>
        <v>2.6412017754246682</v>
      </c>
      <c r="AW40">
        <f t="shared" si="62"/>
        <v>52.824035508493367</v>
      </c>
      <c r="AX40">
        <f t="shared" si="70"/>
        <v>3.9397165313987186</v>
      </c>
      <c r="AY40">
        <f t="shared" si="63"/>
        <v>78.794330627974375</v>
      </c>
      <c r="AZ40">
        <f t="shared" si="36"/>
        <v>2.6579419151974362</v>
      </c>
      <c r="BA40">
        <f t="shared" si="64"/>
        <v>53.158838303948727</v>
      </c>
      <c r="BC40" s="97" t="str">
        <f t="shared" si="38"/>
        <v>&lt; 0</v>
      </c>
      <c r="BD40" s="107" t="str">
        <f t="shared" si="39"/>
        <v>&lt; 0</v>
      </c>
      <c r="BE40" s="97" t="str">
        <f t="shared" si="40"/>
        <v>&lt; 0</v>
      </c>
      <c r="BF40" s="97" t="str">
        <f t="shared" si="41"/>
        <v>&lt; 0</v>
      </c>
    </row>
    <row r="41" spans="1:67" x14ac:dyDescent="0.25">
      <c r="A41" s="1"/>
      <c r="B41" s="2"/>
      <c r="C41" t="s">
        <v>8</v>
      </c>
      <c r="E41" t="s">
        <v>9</v>
      </c>
      <c r="F41" s="8"/>
      <c r="G41" t="s">
        <v>6</v>
      </c>
      <c r="H41" s="8"/>
      <c r="I41" s="63" t="s">
        <v>210</v>
      </c>
      <c r="L41" s="13">
        <v>5</v>
      </c>
      <c r="M41" s="13" t="s">
        <v>97</v>
      </c>
      <c r="N41" s="8">
        <v>1864943</v>
      </c>
      <c r="O41">
        <f t="shared" si="73"/>
        <v>1864943</v>
      </c>
      <c r="P41">
        <f t="shared" si="74"/>
        <v>1823035.75</v>
      </c>
      <c r="Q41">
        <v>0.5</v>
      </c>
      <c r="R41">
        <f t="shared" si="15"/>
        <v>2.5</v>
      </c>
      <c r="S41">
        <f t="shared" si="16"/>
        <v>2.5</v>
      </c>
      <c r="AC41">
        <v>16</v>
      </c>
      <c r="AD41" s="8" t="s">
        <v>76</v>
      </c>
      <c r="AE41" s="8">
        <v>1709465</v>
      </c>
      <c r="AF41" s="63">
        <f t="shared" si="65"/>
        <v>1709465</v>
      </c>
      <c r="AG41" s="8">
        <f t="shared" si="66"/>
        <v>1610006.5</v>
      </c>
      <c r="AH41">
        <f t="shared" si="67"/>
        <v>2.2572732570535221</v>
      </c>
      <c r="AI41" s="8">
        <f t="shared" si="68"/>
        <v>2.3895040321668453</v>
      </c>
      <c r="AJ41">
        <f t="shared" si="71"/>
        <v>2.2572732570535221</v>
      </c>
      <c r="AK41" s="8">
        <f t="shared" si="75"/>
        <v>2.2907546105395453</v>
      </c>
      <c r="AL41" s="9">
        <f t="shared" si="60"/>
        <v>2.2572732570535221</v>
      </c>
      <c r="AM41" s="8">
        <f t="shared" si="61"/>
        <v>2.2907546105395453</v>
      </c>
      <c r="AN41">
        <f t="shared" si="69"/>
        <v>4.5145465141070442</v>
      </c>
      <c r="AO41" s="8">
        <f t="shared" si="69"/>
        <v>4.5815092210790906</v>
      </c>
      <c r="AP41">
        <f t="shared" si="72"/>
        <v>36.116372112856354</v>
      </c>
      <c r="AQ41" s="8">
        <f t="shared" si="72"/>
        <v>36.652073768632725</v>
      </c>
      <c r="AR41">
        <v>12.5</v>
      </c>
      <c r="AS41" s="8">
        <f t="shared" si="32"/>
        <v>100</v>
      </c>
      <c r="AT41">
        <f t="shared" si="33"/>
        <v>2.2536459008246186</v>
      </c>
      <c r="AU41">
        <f t="shared" si="62"/>
        <v>45.072918016492373</v>
      </c>
      <c r="AV41">
        <f t="shared" si="45"/>
        <v>1.8803701769603698</v>
      </c>
      <c r="AW41">
        <f t="shared" si="62"/>
        <v>37.607403539207397</v>
      </c>
      <c r="AX41">
        <f t="shared" si="70"/>
        <v>2.2870734509903126</v>
      </c>
      <c r="AY41">
        <f t="shared" si="63"/>
        <v>45.741469019806253</v>
      </c>
      <c r="AZ41">
        <f t="shared" si="36"/>
        <v>1.8976029431387094</v>
      </c>
      <c r="BA41">
        <f t="shared" si="64"/>
        <v>37.952058862774187</v>
      </c>
      <c r="BC41" s="97">
        <f t="shared" si="38"/>
        <v>18.810709870651266</v>
      </c>
      <c r="BD41" s="107">
        <f t="shared" si="39"/>
        <v>26.27622434793625</v>
      </c>
      <c r="BE41" s="97">
        <f t="shared" si="40"/>
        <v>17.606457211561022</v>
      </c>
      <c r="BF41" s="97">
        <f t="shared" si="41"/>
        <v>25.395867368593088</v>
      </c>
    </row>
    <row r="42" spans="1:67" x14ac:dyDescent="0.25">
      <c r="A42" s="5" t="s">
        <v>11</v>
      </c>
      <c r="B42" s="6" t="s">
        <v>12</v>
      </c>
      <c r="C42" s="7" t="s">
        <v>16</v>
      </c>
      <c r="D42" s="6" t="s">
        <v>17</v>
      </c>
      <c r="E42" s="7" t="s">
        <v>18</v>
      </c>
      <c r="F42" s="6" t="s">
        <v>19</v>
      </c>
      <c r="G42" s="7" t="s">
        <v>14</v>
      </c>
      <c r="H42" s="6" t="s">
        <v>15</v>
      </c>
      <c r="I42" s="23" t="s">
        <v>211</v>
      </c>
      <c r="L42" s="13">
        <v>6</v>
      </c>
      <c r="M42" s="13" t="s">
        <v>98</v>
      </c>
      <c r="N42" s="8">
        <v>1991144</v>
      </c>
      <c r="O42">
        <f t="shared" si="73"/>
        <v>1991144</v>
      </c>
      <c r="P42">
        <f t="shared" si="74"/>
        <v>1949236.75</v>
      </c>
      <c r="Q42">
        <v>0.5</v>
      </c>
      <c r="R42">
        <f t="shared" si="15"/>
        <v>2.5</v>
      </c>
      <c r="S42">
        <f t="shared" si="16"/>
        <v>2.5</v>
      </c>
      <c r="AC42">
        <v>17</v>
      </c>
      <c r="AD42" s="8" t="s">
        <v>77</v>
      </c>
      <c r="AE42" s="8">
        <v>2483082</v>
      </c>
      <c r="AF42" s="63">
        <f t="shared" si="65"/>
        <v>2483082</v>
      </c>
      <c r="AG42" s="8">
        <f t="shared" si="66"/>
        <v>2383623.5</v>
      </c>
      <c r="AH42">
        <f t="shared" si="67"/>
        <v>3.3962330372040164</v>
      </c>
      <c r="AI42" s="8">
        <f t="shared" si="68"/>
        <v>3.5329901038820819</v>
      </c>
      <c r="AJ42">
        <f t="shared" si="71"/>
        <v>3.3962330372040164</v>
      </c>
      <c r="AK42" s="8">
        <f t="shared" si="75"/>
        <v>3.434240682254782</v>
      </c>
      <c r="AL42" s="9">
        <f t="shared" si="60"/>
        <v>3.3962330372040164</v>
      </c>
      <c r="AM42" s="8">
        <f t="shared" si="61"/>
        <v>3.434240682254782</v>
      </c>
      <c r="AN42">
        <f t="shared" si="69"/>
        <v>6.7924660744080327</v>
      </c>
      <c r="AO42" s="8">
        <f t="shared" si="69"/>
        <v>6.8684813645095639</v>
      </c>
      <c r="AP42">
        <f t="shared" si="72"/>
        <v>54.339728595264262</v>
      </c>
      <c r="AQ42" s="8">
        <f t="shared" si="72"/>
        <v>54.947850916076511</v>
      </c>
      <c r="AR42">
        <v>12.5</v>
      </c>
      <c r="AS42" s="8">
        <f t="shared" si="32"/>
        <v>100</v>
      </c>
      <c r="AT42">
        <f t="shared" si="33"/>
        <v>3.3907754139305317</v>
      </c>
      <c r="AU42">
        <f t="shared" si="62"/>
        <v>67.815508278610636</v>
      </c>
      <c r="AV42">
        <f t="shared" si="45"/>
        <v>2.4219694665388061</v>
      </c>
      <c r="AW42">
        <f t="shared" si="62"/>
        <v>48.439389330776123</v>
      </c>
      <c r="AX42">
        <f t="shared" si="70"/>
        <v>3.4287219820746397</v>
      </c>
      <c r="AY42">
        <f t="shared" si="63"/>
        <v>68.574439641492802</v>
      </c>
      <c r="AZ42">
        <f t="shared" si="36"/>
        <v>2.438727879491287</v>
      </c>
      <c r="BA42">
        <f t="shared" si="64"/>
        <v>48.77455758982574</v>
      </c>
      <c r="BC42" s="97" t="str">
        <f t="shared" si="38"/>
        <v>&lt; 0</v>
      </c>
      <c r="BD42" s="107" t="str">
        <f t="shared" si="39"/>
        <v>&lt; 0</v>
      </c>
      <c r="BE42" s="97" t="str">
        <f t="shared" si="40"/>
        <v>&lt; 0</v>
      </c>
      <c r="BF42" s="97" t="str">
        <f t="shared" si="41"/>
        <v>&lt; 0</v>
      </c>
    </row>
    <row r="43" spans="1:67" ht="15.75" thickBot="1" x14ac:dyDescent="0.3">
      <c r="A43">
        <v>1</v>
      </c>
      <c r="B43" s="4" t="s">
        <v>66</v>
      </c>
      <c r="C43">
        <v>0</v>
      </c>
      <c r="D43" s="8">
        <v>74437</v>
      </c>
      <c r="E43" s="14">
        <v>0</v>
      </c>
      <c r="F43" s="8">
        <v>0</v>
      </c>
      <c r="G43">
        <v>0</v>
      </c>
      <c r="H43" s="65">
        <v>55367</v>
      </c>
      <c r="L43" s="13">
        <v>7</v>
      </c>
      <c r="M43" s="13" t="s">
        <v>99</v>
      </c>
      <c r="N43" s="8">
        <v>4449364</v>
      </c>
      <c r="O43">
        <f t="shared" si="73"/>
        <v>4449364</v>
      </c>
      <c r="P43">
        <f t="shared" si="74"/>
        <v>4407456.75</v>
      </c>
      <c r="Q43" s="16">
        <v>1</v>
      </c>
      <c r="R43">
        <f t="shared" si="15"/>
        <v>5</v>
      </c>
      <c r="S43">
        <f t="shared" si="16"/>
        <v>5</v>
      </c>
      <c r="AC43">
        <v>18</v>
      </c>
      <c r="AD43" s="8" t="s">
        <v>78</v>
      </c>
      <c r="AE43" s="8">
        <v>2553685</v>
      </c>
      <c r="AF43" s="63">
        <f t="shared" si="65"/>
        <v>2553685</v>
      </c>
      <c r="AG43" s="8">
        <f t="shared" si="66"/>
        <v>2454226.5</v>
      </c>
      <c r="AH43">
        <f t="shared" si="67"/>
        <v>3.5001785003440009</v>
      </c>
      <c r="AI43" s="8">
        <f t="shared" si="68"/>
        <v>3.6373486522610743</v>
      </c>
      <c r="AJ43">
        <f t="shared" si="71"/>
        <v>3.5001785003440009</v>
      </c>
      <c r="AK43" s="8">
        <f t="shared" si="75"/>
        <v>3.5385992306337744</v>
      </c>
      <c r="AL43" s="9">
        <f t="shared" si="60"/>
        <v>3.5001785003440009</v>
      </c>
      <c r="AM43" s="8">
        <f t="shared" si="61"/>
        <v>3.5385992306337744</v>
      </c>
      <c r="AN43">
        <f t="shared" si="69"/>
        <v>7.0003570006880018</v>
      </c>
      <c r="AO43" s="8">
        <f t="shared" si="69"/>
        <v>7.0771984612675487</v>
      </c>
      <c r="AP43">
        <f t="shared" si="72"/>
        <v>56.002856005504015</v>
      </c>
      <c r="AQ43" s="8">
        <f t="shared" si="72"/>
        <v>56.61758769014039</v>
      </c>
      <c r="AR43">
        <v>12.5</v>
      </c>
      <c r="AS43" s="8">
        <f t="shared" si="32"/>
        <v>100</v>
      </c>
      <c r="AT43">
        <f t="shared" si="33"/>
        <v>3.4945538404824519</v>
      </c>
      <c r="AU43">
        <f t="shared" si="62"/>
        <v>69.891076809649036</v>
      </c>
      <c r="AV43">
        <f t="shared" si="45"/>
        <v>2.4676349188167217</v>
      </c>
      <c r="AW43">
        <f t="shared" si="62"/>
        <v>49.35269837633443</v>
      </c>
      <c r="AX43">
        <f t="shared" si="70"/>
        <v>3.5329128300525761</v>
      </c>
      <c r="AY43">
        <f t="shared" si="63"/>
        <v>70.658256601051519</v>
      </c>
      <c r="AZ43">
        <f t="shared" si="36"/>
        <v>2.4843829837775933</v>
      </c>
      <c r="BA43">
        <f t="shared" si="64"/>
        <v>49.687659675551863</v>
      </c>
      <c r="BC43" s="97" t="str">
        <f t="shared" si="38"/>
        <v>&lt; 0</v>
      </c>
      <c r="BD43" s="107" t="str">
        <f t="shared" si="39"/>
        <v>&lt; 0</v>
      </c>
      <c r="BE43" s="97" t="str">
        <f t="shared" si="40"/>
        <v>&lt; 0</v>
      </c>
      <c r="BF43" s="97" t="str">
        <f t="shared" si="41"/>
        <v>&lt; 0</v>
      </c>
    </row>
    <row r="44" spans="1:67" x14ac:dyDescent="0.25">
      <c r="A44">
        <v>2</v>
      </c>
      <c r="B44" s="8" t="s">
        <v>67</v>
      </c>
      <c r="C44">
        <v>0</v>
      </c>
      <c r="D44" s="8">
        <v>106760</v>
      </c>
      <c r="E44">
        <v>0</v>
      </c>
      <c r="F44" s="8">
        <v>15856</v>
      </c>
      <c r="G44">
        <v>0</v>
      </c>
      <c r="H44" s="65">
        <v>48985</v>
      </c>
      <c r="I44">
        <f t="shared" ref="I44:I68" si="76">D44/F44</f>
        <v>6.733097880928355</v>
      </c>
      <c r="L44" s="13">
        <v>8</v>
      </c>
      <c r="M44" s="13" t="s">
        <v>100</v>
      </c>
      <c r="N44" s="8">
        <v>3387624</v>
      </c>
      <c r="O44">
        <f t="shared" si="73"/>
        <v>3387624</v>
      </c>
      <c r="P44">
        <f t="shared" si="74"/>
        <v>3345716.75</v>
      </c>
      <c r="Q44">
        <v>1</v>
      </c>
      <c r="R44">
        <f t="shared" si="15"/>
        <v>5</v>
      </c>
      <c r="S44">
        <f t="shared" si="16"/>
        <v>5</v>
      </c>
      <c r="AC44" s="7">
        <v>19</v>
      </c>
      <c r="AD44" s="6" t="s">
        <v>79</v>
      </c>
      <c r="AE44" s="6">
        <v>2840796</v>
      </c>
      <c r="AF44" s="63">
        <f t="shared" si="65"/>
        <v>2840796</v>
      </c>
      <c r="AG44" s="8">
        <f t="shared" si="66"/>
        <v>2741337.5</v>
      </c>
      <c r="AH44">
        <f t="shared" si="67"/>
        <v>3.9228784687247225</v>
      </c>
      <c r="AI44" s="8">
        <f t="shared" si="68"/>
        <v>4.0617284545873327</v>
      </c>
      <c r="AJ44">
        <f>IF(AVERAGE($AH$13,$AH$36,$AH$38)&gt;0,IF(AH44-MAX($AH$13,$AH$36,$AH$38)&lt;=0,0,AH44-MAX($AH$13,$AH$36,$AH$38)),AH44)</f>
        <v>3.9228784687247225</v>
      </c>
      <c r="AK44" s="8">
        <f t="shared" si="75"/>
        <v>3.9629790329600327</v>
      </c>
      <c r="AL44" s="9">
        <f t="shared" si="60"/>
        <v>3.9228784687247225</v>
      </c>
      <c r="AM44" s="8">
        <f t="shared" si="61"/>
        <v>3.9629790329600327</v>
      </c>
      <c r="AN44">
        <f t="shared" si="69"/>
        <v>7.8457569374494449</v>
      </c>
      <c r="AO44" s="8">
        <f t="shared" si="69"/>
        <v>7.9259580659200655</v>
      </c>
      <c r="AP44">
        <f t="shared" si="72"/>
        <v>62.766055499595559</v>
      </c>
      <c r="AQ44" s="8">
        <f t="shared" si="72"/>
        <v>63.407664527360524</v>
      </c>
      <c r="AR44">
        <v>12.5</v>
      </c>
      <c r="AS44" s="8">
        <f t="shared" si="32"/>
        <v>100</v>
      </c>
      <c r="AT44">
        <f t="shared" si="33"/>
        <v>3.9165745453497851</v>
      </c>
      <c r="AU44">
        <f t="shared" si="62"/>
        <v>78.331490906995697</v>
      </c>
      <c r="AV44">
        <f t="shared" si="45"/>
        <v>2.6482573795468074</v>
      </c>
      <c r="AW44">
        <f t="shared" si="62"/>
        <v>52.965147590936148</v>
      </c>
      <c r="AX44">
        <f t="shared" si="70"/>
        <v>3.9566106694332408</v>
      </c>
      <c r="AY44">
        <f t="shared" si="63"/>
        <v>79.132213388664809</v>
      </c>
      <c r="AZ44">
        <f t="shared" si="36"/>
        <v>2.664998170693766</v>
      </c>
      <c r="BA44">
        <f t="shared" si="64"/>
        <v>53.299963413875318</v>
      </c>
      <c r="BC44" s="97" t="str">
        <f t="shared" si="38"/>
        <v>&lt; 0</v>
      </c>
      <c r="BD44" s="107" t="str">
        <f t="shared" si="39"/>
        <v>&lt; 0</v>
      </c>
      <c r="BE44" s="97" t="str">
        <f t="shared" si="40"/>
        <v>&lt; 0</v>
      </c>
      <c r="BF44" s="97" t="str">
        <f t="shared" si="41"/>
        <v>&lt; 0</v>
      </c>
      <c r="BI44" s="109" t="s">
        <v>175</v>
      </c>
      <c r="BJ44" s="110" t="s">
        <v>182</v>
      </c>
      <c r="BK44" s="110" t="s">
        <v>303</v>
      </c>
      <c r="BL44" s="110"/>
      <c r="BM44" s="110" t="s">
        <v>304</v>
      </c>
      <c r="BN44" s="111"/>
    </row>
    <row r="45" spans="1:67" x14ac:dyDescent="0.25">
      <c r="A45">
        <v>3</v>
      </c>
      <c r="B45" s="8" t="s">
        <v>62</v>
      </c>
      <c r="C45">
        <v>349590</v>
      </c>
      <c r="D45" s="8">
        <v>350796</v>
      </c>
      <c r="E45">
        <v>0</v>
      </c>
      <c r="F45" s="8">
        <v>53442</v>
      </c>
      <c r="G45">
        <v>175709</v>
      </c>
      <c r="H45" s="8">
        <v>175709</v>
      </c>
      <c r="I45">
        <f t="shared" si="76"/>
        <v>6.5640507466037947</v>
      </c>
      <c r="L45" s="13">
        <v>9</v>
      </c>
      <c r="M45" s="13" t="s">
        <v>101</v>
      </c>
      <c r="N45" s="8">
        <v>79262</v>
      </c>
      <c r="O45">
        <f t="shared" si="73"/>
        <v>79262</v>
      </c>
      <c r="P45">
        <f t="shared" si="74"/>
        <v>37354.75</v>
      </c>
      <c r="Q45">
        <v>0</v>
      </c>
      <c r="R45">
        <f t="shared" si="15"/>
        <v>0</v>
      </c>
      <c r="S45">
        <f t="shared" si="16"/>
        <v>0</v>
      </c>
      <c r="AC45">
        <v>20</v>
      </c>
      <c r="AD45" s="88" t="s">
        <v>80</v>
      </c>
      <c r="AE45" s="88">
        <v>352166</v>
      </c>
      <c r="AF45" s="63">
        <f t="shared" si="65"/>
        <v>352166</v>
      </c>
      <c r="AG45" s="88">
        <f t="shared" si="66"/>
        <v>252707.5</v>
      </c>
      <c r="AH45">
        <f t="shared" si="67"/>
        <v>0.25898602882755745</v>
      </c>
      <c r="AI45" s="8">
        <f t="shared" si="68"/>
        <v>0.38327549575539277</v>
      </c>
      <c r="AJ45" s="89">
        <f>IF(AVERAGE($AH$21,$AH$37,$AH$45)&gt;0,IF(AH45-MAX($AH$21,$AH$37,$AH$45)&lt;=0,0,AH45-MAX($AH$21,$AH$37,$AH$45)),AH45)</f>
        <v>0</v>
      </c>
      <c r="AK45" s="88">
        <f>IF(AVERAGE($AI$21,$AI$37,$AI$45)&gt;0,IF(AI45-MAX($AI$21,$AI$37,$AI$45)&lt;=0,0,AI45-MAX($AI$21,$AI$37,$AI$45)),AI45)</f>
        <v>0</v>
      </c>
      <c r="AL45" s="92">
        <f t="shared" si="60"/>
        <v>0</v>
      </c>
      <c r="AM45" s="88">
        <f t="shared" si="61"/>
        <v>0</v>
      </c>
      <c r="AN45" s="89">
        <f>AL45*$AN$5</f>
        <v>0</v>
      </c>
      <c r="AO45" s="88">
        <f>AM45*$AN$5</f>
        <v>0</v>
      </c>
      <c r="AP45" s="89">
        <f t="shared" si="72"/>
        <v>0</v>
      </c>
      <c r="AQ45" s="88">
        <f t="shared" si="72"/>
        <v>0</v>
      </c>
      <c r="AR45" s="89">
        <v>0</v>
      </c>
      <c r="AS45" s="88">
        <f t="shared" si="32"/>
        <v>0</v>
      </c>
      <c r="AT45" s="89">
        <f t="shared" si="33"/>
        <v>0</v>
      </c>
      <c r="AU45" s="89">
        <f t="shared" si="62"/>
        <v>0</v>
      </c>
      <c r="AV45" s="89">
        <f t="shared" si="45"/>
        <v>0</v>
      </c>
      <c r="AW45" s="89">
        <f t="shared" si="62"/>
        <v>0</v>
      </c>
      <c r="AX45" s="89">
        <f t="shared" si="70"/>
        <v>0</v>
      </c>
      <c r="AY45" s="89">
        <f t="shared" si="63"/>
        <v>0</v>
      </c>
      <c r="AZ45" s="89">
        <f t="shared" si="36"/>
        <v>0</v>
      </c>
      <c r="BA45" s="89">
        <f t="shared" si="64"/>
        <v>0</v>
      </c>
      <c r="BB45" s="89"/>
      <c r="BC45" s="102">
        <f t="shared" si="38"/>
        <v>0</v>
      </c>
      <c r="BD45" s="106">
        <f t="shared" si="39"/>
        <v>0</v>
      </c>
      <c r="BE45" s="102">
        <f t="shared" si="40"/>
        <v>0</v>
      </c>
      <c r="BF45" s="102">
        <f t="shared" si="41"/>
        <v>0</v>
      </c>
      <c r="BI45" s="112"/>
      <c r="BJ45" s="13" t="s">
        <v>240</v>
      </c>
      <c r="BK45" s="13" t="s">
        <v>266</v>
      </c>
      <c r="BL45" s="13" t="s">
        <v>265</v>
      </c>
      <c r="BM45" s="13" t="s">
        <v>266</v>
      </c>
      <c r="BN45" s="113" t="s">
        <v>265</v>
      </c>
    </row>
    <row r="46" spans="1:67" x14ac:dyDescent="0.25">
      <c r="A46">
        <v>4</v>
      </c>
      <c r="B46" s="8" t="s">
        <v>63</v>
      </c>
      <c r="C46">
        <v>286253</v>
      </c>
      <c r="D46" s="8">
        <v>286253</v>
      </c>
      <c r="E46">
        <v>0</v>
      </c>
      <c r="F46" s="8">
        <v>42659</v>
      </c>
      <c r="G46">
        <v>99557</v>
      </c>
      <c r="H46" s="8">
        <v>107586</v>
      </c>
      <c r="I46">
        <f t="shared" si="76"/>
        <v>6.7102604374223489</v>
      </c>
      <c r="L46" s="13">
        <v>20</v>
      </c>
      <c r="M46" s="13" t="s">
        <v>118</v>
      </c>
      <c r="N46" s="6">
        <v>40579</v>
      </c>
      <c r="O46">
        <f t="shared" si="73"/>
        <v>40579</v>
      </c>
      <c r="P46">
        <f t="shared" si="74"/>
        <v>0</v>
      </c>
      <c r="Q46">
        <v>0</v>
      </c>
      <c r="R46">
        <f t="shared" si="15"/>
        <v>0</v>
      </c>
      <c r="S46">
        <f t="shared" si="16"/>
        <v>0</v>
      </c>
      <c r="AC46">
        <v>21</v>
      </c>
      <c r="AD46" s="8" t="s">
        <v>88</v>
      </c>
      <c r="AE46" s="8">
        <v>20264</v>
      </c>
      <c r="AF46" s="63">
        <f t="shared" si="65"/>
        <v>20264</v>
      </c>
      <c r="AG46" s="8">
        <f t="shared" si="66"/>
        <v>0</v>
      </c>
      <c r="AH46">
        <f t="shared" si="67"/>
        <v>0</v>
      </c>
      <c r="AI46" s="8">
        <f t="shared" si="68"/>
        <v>0</v>
      </c>
      <c r="AK46" s="8"/>
      <c r="AL46" s="9">
        <f t="shared" si="60"/>
        <v>0</v>
      </c>
      <c r="AM46" s="8">
        <f t="shared" si="61"/>
        <v>0</v>
      </c>
      <c r="AO46" s="8"/>
      <c r="AQ46" s="8"/>
      <c r="AR46">
        <v>0</v>
      </c>
      <c r="AS46" s="8">
        <f t="shared" si="32"/>
        <v>0</v>
      </c>
      <c r="AT46">
        <f t="shared" si="33"/>
        <v>0</v>
      </c>
      <c r="AU46">
        <f t="shared" si="62"/>
        <v>0</v>
      </c>
      <c r="AV46">
        <f t="shared" si="45"/>
        <v>0</v>
      </c>
      <c r="AW46">
        <f t="shared" si="62"/>
        <v>0</v>
      </c>
      <c r="AX46">
        <f t="shared" si="70"/>
        <v>0</v>
      </c>
      <c r="AY46">
        <f t="shared" si="63"/>
        <v>0</v>
      </c>
      <c r="AZ46">
        <f t="shared" si="36"/>
        <v>0</v>
      </c>
      <c r="BA46">
        <f t="shared" si="64"/>
        <v>0</v>
      </c>
      <c r="BC46" s="97"/>
      <c r="BD46" s="107"/>
      <c r="BE46" s="97"/>
      <c r="BF46" s="97"/>
      <c r="BI46" s="112" t="s">
        <v>169</v>
      </c>
      <c r="BJ46" s="13"/>
      <c r="BK46" s="13"/>
      <c r="BL46" s="13"/>
      <c r="BM46" s="13"/>
      <c r="BN46" s="113"/>
    </row>
    <row r="47" spans="1:67" x14ac:dyDescent="0.25">
      <c r="A47">
        <v>5</v>
      </c>
      <c r="B47" s="8" t="s">
        <v>64</v>
      </c>
      <c r="C47">
        <v>2057396</v>
      </c>
      <c r="D47" s="8">
        <v>2047550</v>
      </c>
      <c r="E47">
        <v>308210</v>
      </c>
      <c r="F47" s="8">
        <v>309392</v>
      </c>
      <c r="G47">
        <v>268000</v>
      </c>
      <c r="H47" s="8">
        <v>269557</v>
      </c>
      <c r="I47">
        <f t="shared" si="76"/>
        <v>6.6179797796969542</v>
      </c>
      <c r="L47" s="13"/>
      <c r="M47" s="13"/>
      <c r="N47" s="13"/>
      <c r="AC47">
        <v>22</v>
      </c>
      <c r="AD47" s="8" t="s">
        <v>81</v>
      </c>
      <c r="AE47" s="8">
        <v>2172556</v>
      </c>
      <c r="AF47" s="63">
        <f t="shared" si="65"/>
        <v>2172556</v>
      </c>
      <c r="AG47" s="8">
        <f t="shared" si="66"/>
        <v>2073097.5</v>
      </c>
      <c r="AH47">
        <f t="shared" si="67"/>
        <v>2.9390602699419053</v>
      </c>
      <c r="AI47" s="8">
        <f t="shared" si="68"/>
        <v>3.0740005057922706</v>
      </c>
      <c r="AJ47">
        <f t="shared" ref="AJ47:AJ52" si="77">IF(AVERAGE($AH$21,$AH$37,$AH$45)&gt;0,IF(AH47-MAX($AH$21,$AH$37,$AH$45)&lt;=0,0,AH47-MAX($AH$21,$AH$37,$AH$45)),AH47)</f>
        <v>2.6800742411143479</v>
      </c>
      <c r="AK47" s="8">
        <f t="shared" ref="AK47:AK52" si="78">IF(AVERAGE($AI$21,$AI$37,$AI$45)&gt;0,IF(AI47-MAX($AI$21,$AI$37,$AI$45)&lt;=0,0,AI47-MAX($AI$21,$AI$37,$AI$45)),AI47)</f>
        <v>2.6907250100368776</v>
      </c>
      <c r="AL47" s="9">
        <f t="shared" si="60"/>
        <v>2.6800742411143479</v>
      </c>
      <c r="AM47" s="8">
        <f t="shared" si="61"/>
        <v>2.6907250100368776</v>
      </c>
      <c r="AN47">
        <f t="shared" ref="AN47:AO52" si="79">AL47*$AN$5</f>
        <v>5.3601484822286958</v>
      </c>
      <c r="AO47" s="8">
        <f t="shared" si="79"/>
        <v>5.3814500200737552</v>
      </c>
      <c r="AP47">
        <f t="shared" si="72"/>
        <v>42.881187857829566</v>
      </c>
      <c r="AQ47" s="8">
        <f t="shared" si="72"/>
        <v>43.051600160590041</v>
      </c>
      <c r="AR47">
        <v>12.5</v>
      </c>
      <c r="AS47" s="8">
        <f t="shared" si="32"/>
        <v>100</v>
      </c>
      <c r="AT47">
        <f t="shared" si="33"/>
        <v>2.6757674590435232</v>
      </c>
      <c r="AU47">
        <f t="shared" si="62"/>
        <v>53.515349180870466</v>
      </c>
      <c r="AV47">
        <f t="shared" si="45"/>
        <v>2.0914254872306874</v>
      </c>
      <c r="AW47">
        <f t="shared" si="62"/>
        <v>41.828509744613747</v>
      </c>
      <c r="AX47">
        <f t="shared" si="70"/>
        <v>2.6864011125668106</v>
      </c>
      <c r="AY47">
        <f t="shared" si="63"/>
        <v>53.728022251336213</v>
      </c>
      <c r="AZ47">
        <f t="shared" si="36"/>
        <v>2.0965713731025084</v>
      </c>
      <c r="BA47">
        <f t="shared" si="64"/>
        <v>41.931427462050166</v>
      </c>
      <c r="BC47" s="97">
        <f t="shared" si="38"/>
        <v>3.603462961299968</v>
      </c>
      <c r="BD47" s="107">
        <f t="shared" si="39"/>
        <v>15.290302397556687</v>
      </c>
      <c r="BE47" s="97">
        <f t="shared" si="40"/>
        <v>3.2203775880737453</v>
      </c>
      <c r="BF47" s="97">
        <f t="shared" si="41"/>
        <v>15.016972377359792</v>
      </c>
      <c r="BI47" s="112" t="s">
        <v>281</v>
      </c>
      <c r="BJ47" s="13" t="s">
        <v>276</v>
      </c>
      <c r="BK47" s="40">
        <f>AVERAGE(BC59:BC62)</f>
        <v>7.4210219806061488</v>
      </c>
      <c r="BL47" s="40">
        <f t="shared" ref="BL47:BN47" si="80">AVERAGE(BD59:BD62)</f>
        <v>12.262578600468876</v>
      </c>
      <c r="BM47" s="40">
        <f t="shared" si="80"/>
        <v>9.1306957816256471</v>
      </c>
      <c r="BN47" s="114">
        <f t="shared" si="80"/>
        <v>13.467394402779041</v>
      </c>
    </row>
    <row r="48" spans="1:67" x14ac:dyDescent="0.25">
      <c r="A48">
        <v>6</v>
      </c>
      <c r="B48" s="8" t="s">
        <v>65</v>
      </c>
      <c r="C48">
        <v>1651055</v>
      </c>
      <c r="D48" s="8">
        <v>1640308</v>
      </c>
      <c r="E48">
        <v>243361</v>
      </c>
      <c r="F48" s="8">
        <v>244612</v>
      </c>
      <c r="G48">
        <v>349302</v>
      </c>
      <c r="H48" s="8">
        <v>349302</v>
      </c>
      <c r="I48">
        <f t="shared" si="76"/>
        <v>6.7057544192435365</v>
      </c>
      <c r="L48" s="13"/>
      <c r="M48" s="13"/>
      <c r="N48" s="13"/>
      <c r="AC48">
        <v>23</v>
      </c>
      <c r="AD48" s="8" t="s">
        <v>82</v>
      </c>
      <c r="AE48" s="8">
        <v>1894244</v>
      </c>
      <c r="AF48" s="63">
        <f t="shared" si="65"/>
        <v>1894244</v>
      </c>
      <c r="AG48" s="8">
        <f t="shared" si="66"/>
        <v>1794785.5</v>
      </c>
      <c r="AH48">
        <f t="shared" si="67"/>
        <v>2.5293146537865669</v>
      </c>
      <c r="AI48" s="8">
        <f t="shared" si="68"/>
        <v>2.6626265370309703</v>
      </c>
      <c r="AJ48">
        <f t="shared" si="77"/>
        <v>2.2703286249590096</v>
      </c>
      <c r="AK48" s="8">
        <f t="shared" si="78"/>
        <v>2.2793510412755777</v>
      </c>
      <c r="AL48" s="9">
        <f t="shared" si="60"/>
        <v>2.2703286249590096</v>
      </c>
      <c r="AM48" s="8">
        <f t="shared" si="61"/>
        <v>2.2793510412755777</v>
      </c>
      <c r="AN48">
        <f t="shared" si="79"/>
        <v>4.5406572499180191</v>
      </c>
      <c r="AO48" s="8">
        <f t="shared" si="79"/>
        <v>4.5587020825511555</v>
      </c>
      <c r="AP48">
        <f t="shared" si="72"/>
        <v>36.325257999344153</v>
      </c>
      <c r="AQ48" s="8">
        <f t="shared" si="72"/>
        <v>36.469616660409244</v>
      </c>
      <c r="AR48">
        <v>12.5</v>
      </c>
      <c r="AS48" s="8">
        <f t="shared" si="32"/>
        <v>100</v>
      </c>
      <c r="AT48">
        <f t="shared" si="33"/>
        <v>2.2666802892275379</v>
      </c>
      <c r="AU48">
        <f t="shared" si="62"/>
        <v>45.333605784550755</v>
      </c>
      <c r="AV48">
        <f t="shared" si="45"/>
        <v>1.8871012297827976</v>
      </c>
      <c r="AW48">
        <f t="shared" si="62"/>
        <v>37.742024595655948</v>
      </c>
      <c r="AX48">
        <f t="shared" si="70"/>
        <v>2.2756882068484239</v>
      </c>
      <c r="AY48">
        <f t="shared" si="63"/>
        <v>45.513764136968476</v>
      </c>
      <c r="AZ48">
        <f t="shared" si="36"/>
        <v>1.8917443823198239</v>
      </c>
      <c r="BA48">
        <f t="shared" si="64"/>
        <v>37.834887646396481</v>
      </c>
      <c r="BC48" s="97">
        <f t="shared" si="38"/>
        <v>18.341136216105099</v>
      </c>
      <c r="BD48" s="107">
        <f t="shared" si="39"/>
        <v>25.932717404999892</v>
      </c>
      <c r="BE48" s="97">
        <f t="shared" si="40"/>
        <v>18.01661920262228</v>
      </c>
      <c r="BF48" s="97">
        <f t="shared" si="41"/>
        <v>25.695495693194275</v>
      </c>
      <c r="BI48" s="112"/>
      <c r="BJ48" s="13"/>
      <c r="BK48" s="13"/>
      <c r="BL48" s="13"/>
      <c r="BM48" s="13"/>
      <c r="BN48" s="113"/>
    </row>
    <row r="49" spans="1:66" x14ac:dyDescent="0.25">
      <c r="A49">
        <v>7</v>
      </c>
      <c r="B49" s="8" t="s">
        <v>68</v>
      </c>
      <c r="C49">
        <v>8464427</v>
      </c>
      <c r="D49" s="8">
        <v>8429272</v>
      </c>
      <c r="E49">
        <v>1265896</v>
      </c>
      <c r="F49" s="8">
        <v>1265166</v>
      </c>
      <c r="G49">
        <v>314847</v>
      </c>
      <c r="H49" s="8">
        <v>314847</v>
      </c>
      <c r="I49">
        <f t="shared" si="76"/>
        <v>6.6625818272068642</v>
      </c>
      <c r="L49" s="75">
        <v>44395</v>
      </c>
      <c r="M49" s="13"/>
      <c r="N49" s="13"/>
      <c r="AC49">
        <v>24</v>
      </c>
      <c r="AD49" s="8" t="s">
        <v>83</v>
      </c>
      <c r="AE49" s="8">
        <v>2928756</v>
      </c>
      <c r="AF49" s="63">
        <f t="shared" si="65"/>
        <v>2928756</v>
      </c>
      <c r="AG49" s="8">
        <f t="shared" si="66"/>
        <v>2829297.5</v>
      </c>
      <c r="AH49">
        <f t="shared" si="67"/>
        <v>4.0523778233951049</v>
      </c>
      <c r="AI49" s="8">
        <f t="shared" si="68"/>
        <v>4.1917424471289548</v>
      </c>
      <c r="AJ49">
        <f t="shared" si="77"/>
        <v>3.7933917945675475</v>
      </c>
      <c r="AK49" s="8">
        <f t="shared" si="78"/>
        <v>3.8084669513735623</v>
      </c>
      <c r="AL49" s="9">
        <f t="shared" si="60"/>
        <v>3.7933917945675475</v>
      </c>
      <c r="AM49" s="8">
        <f t="shared" si="61"/>
        <v>3.8084669513735623</v>
      </c>
      <c r="AN49">
        <f t="shared" si="79"/>
        <v>7.586783589135095</v>
      </c>
      <c r="AO49" s="8">
        <f t="shared" si="79"/>
        <v>7.6169339027471246</v>
      </c>
      <c r="AP49">
        <f t="shared" si="72"/>
        <v>60.69426871308076</v>
      </c>
      <c r="AQ49" s="8">
        <f t="shared" si="72"/>
        <v>60.935471221976997</v>
      </c>
      <c r="AR49">
        <v>12.5</v>
      </c>
      <c r="AS49" s="8">
        <f t="shared" si="32"/>
        <v>100</v>
      </c>
      <c r="AT49">
        <f t="shared" si="33"/>
        <v>3.7872959515801292</v>
      </c>
      <c r="AU49">
        <f t="shared" ref="AU49:AW64" si="81">AT49*$AS$1</f>
        <v>75.745919031602583</v>
      </c>
      <c r="AV49">
        <f t="shared" si="45"/>
        <v>2.5937504350858362</v>
      </c>
      <c r="AW49">
        <f t="shared" si="81"/>
        <v>51.875008701716723</v>
      </c>
      <c r="AX49">
        <f t="shared" si="70"/>
        <v>3.8023468831560923</v>
      </c>
      <c r="AY49">
        <f t="shared" si="63"/>
        <v>76.046937663121838</v>
      </c>
      <c r="AZ49">
        <f>$AY$2*(AO49^$AZ$2)</f>
        <v>2.6001322755101923</v>
      </c>
      <c r="BA49">
        <f t="shared" si="64"/>
        <v>52.002645510203848</v>
      </c>
      <c r="BC49" s="97" t="str">
        <f t="shared" si="38"/>
        <v>&lt; 0</v>
      </c>
      <c r="BD49" s="107" t="str">
        <f t="shared" si="39"/>
        <v>&lt; 0</v>
      </c>
      <c r="BE49" s="97" t="str">
        <f t="shared" si="40"/>
        <v>&lt; 0</v>
      </c>
      <c r="BF49" s="97" t="str">
        <f t="shared" si="41"/>
        <v>&lt; 0</v>
      </c>
      <c r="BI49" s="112" t="s">
        <v>282</v>
      </c>
      <c r="BJ49" s="13" t="s">
        <v>277</v>
      </c>
      <c r="BK49" s="40" t="e">
        <f>AVERAGE(BC82:BC85)</f>
        <v>#DIV/0!</v>
      </c>
      <c r="BL49" s="40">
        <f t="shared" ref="BL49:BN49" si="82">AVERAGE(BD82:BD85)</f>
        <v>2.5882493459142211</v>
      </c>
      <c r="BM49" s="40" t="e">
        <f t="shared" si="82"/>
        <v>#DIV/0!</v>
      </c>
      <c r="BN49" s="114">
        <f t="shared" si="82"/>
        <v>3.3367530632171167</v>
      </c>
    </row>
    <row r="50" spans="1:66" x14ac:dyDescent="0.25">
      <c r="A50">
        <v>8</v>
      </c>
      <c r="B50" s="8" t="s">
        <v>69</v>
      </c>
      <c r="C50">
        <v>4968377</v>
      </c>
      <c r="D50" s="8">
        <v>4934748</v>
      </c>
      <c r="E50">
        <v>735822</v>
      </c>
      <c r="F50" s="8">
        <v>735822</v>
      </c>
      <c r="G50">
        <v>299855</v>
      </c>
      <c r="H50" s="8">
        <v>299855</v>
      </c>
      <c r="I50">
        <f t="shared" si="76"/>
        <v>6.7064425907352589</v>
      </c>
      <c r="L50" s="13" t="s">
        <v>11</v>
      </c>
      <c r="M50" s="13"/>
      <c r="N50" s="13"/>
      <c r="AC50">
        <v>25</v>
      </c>
      <c r="AD50" s="8" t="s">
        <v>84</v>
      </c>
      <c r="AE50" s="8">
        <v>3412430</v>
      </c>
      <c r="AF50" s="63">
        <f t="shared" si="65"/>
        <v>3412430</v>
      </c>
      <c r="AG50" s="8">
        <f t="shared" si="66"/>
        <v>3312971.5</v>
      </c>
      <c r="AH50">
        <f t="shared" si="67"/>
        <v>4.7644682152873594</v>
      </c>
      <c r="AI50" s="8">
        <f t="shared" si="68"/>
        <v>4.9066627271264158</v>
      </c>
      <c r="AJ50">
        <f t="shared" si="77"/>
        <v>4.505482186459802</v>
      </c>
      <c r="AK50" s="8">
        <f t="shared" si="78"/>
        <v>4.5233872313710233</v>
      </c>
      <c r="AL50" s="9">
        <f t="shared" si="60"/>
        <v>4.505482186459802</v>
      </c>
      <c r="AM50" s="8">
        <f t="shared" si="61"/>
        <v>4.5233872313710233</v>
      </c>
      <c r="AN50">
        <f>AL50*$AN$5</f>
        <v>9.0109643729196041</v>
      </c>
      <c r="AO50" s="8">
        <f>AM50*$AN$5</f>
        <v>9.0467744627420466</v>
      </c>
      <c r="AP50">
        <f t="shared" si="72"/>
        <v>72.087714983356832</v>
      </c>
      <c r="AQ50" s="8">
        <f t="shared" si="72"/>
        <v>72.374195701936372</v>
      </c>
      <c r="AR50">
        <v>12.5</v>
      </c>
      <c r="AS50" s="8">
        <f t="shared" si="32"/>
        <v>100</v>
      </c>
      <c r="AT50">
        <f t="shared" si="33"/>
        <v>4.498242040047665</v>
      </c>
      <c r="AU50">
        <f t="shared" si="81"/>
        <v>89.964840800953297</v>
      </c>
      <c r="AV50">
        <f t="shared" si="45"/>
        <v>2.8854976098126333</v>
      </c>
      <c r="AW50">
        <f t="shared" si="81"/>
        <v>57.709952196252665</v>
      </c>
      <c r="AX50">
        <f t="shared" si="70"/>
        <v>4.5161183122013195</v>
      </c>
      <c r="AY50">
        <f t="shared" si="63"/>
        <v>90.322366244026398</v>
      </c>
      <c r="AZ50">
        <f t="shared" si="36"/>
        <v>2.8925972848783559</v>
      </c>
      <c r="BA50">
        <f t="shared" si="64"/>
        <v>57.851945697567118</v>
      </c>
      <c r="BC50" s="97" t="str">
        <f t="shared" si="38"/>
        <v>&lt; 0</v>
      </c>
      <c r="BD50" s="107" t="str">
        <f t="shared" si="39"/>
        <v>&lt; 0</v>
      </c>
      <c r="BE50" s="97" t="str">
        <f t="shared" si="40"/>
        <v>&lt; 0</v>
      </c>
      <c r="BF50" s="97" t="str">
        <f t="shared" si="41"/>
        <v>&lt; 0</v>
      </c>
      <c r="BI50" s="112"/>
      <c r="BJ50" s="13"/>
      <c r="BK50" s="13"/>
      <c r="BL50" s="13"/>
      <c r="BM50" s="13"/>
      <c r="BN50" s="113"/>
    </row>
    <row r="51" spans="1:66" x14ac:dyDescent="0.25">
      <c r="A51" s="7">
        <v>9</v>
      </c>
      <c r="B51" s="6" t="s">
        <v>70</v>
      </c>
      <c r="C51" s="7">
        <v>196373</v>
      </c>
      <c r="D51" s="6">
        <v>196373</v>
      </c>
      <c r="E51" s="7">
        <v>0</v>
      </c>
      <c r="F51" s="6">
        <v>29737</v>
      </c>
      <c r="G51" s="7">
        <v>169252</v>
      </c>
      <c r="H51" s="66">
        <v>169443</v>
      </c>
      <c r="I51">
        <f t="shared" si="76"/>
        <v>6.6036587416349999</v>
      </c>
      <c r="L51" s="13">
        <v>1</v>
      </c>
      <c r="M51" s="13" t="s">
        <v>121</v>
      </c>
      <c r="N51" s="4">
        <v>15880</v>
      </c>
      <c r="O51">
        <f>IF(N51&lt;=0,0,N51*((28427.929*L51+316209.399)/(28427.929*L51+316209.399)))</f>
        <v>15880</v>
      </c>
      <c r="P51">
        <f>IF(AVERAGE($O$51:$O$52,$O$59:$O$60)&gt;0,IF(O51-AVERAGE($O$51:$O$52,$O$59:$O$60)&lt;=0,0,O51-AVERAGE($O$51:$O$52,$O$59:$O$60)),O51)</f>
        <v>0</v>
      </c>
      <c r="Q51">
        <v>0</v>
      </c>
      <c r="R51">
        <f t="shared" si="15"/>
        <v>0</v>
      </c>
      <c r="S51">
        <f t="shared" si="16"/>
        <v>0</v>
      </c>
      <c r="AC51">
        <v>26</v>
      </c>
      <c r="AD51" s="8" t="s">
        <v>85</v>
      </c>
      <c r="AE51" s="8">
        <v>2726658</v>
      </c>
      <c r="AF51" s="63">
        <f t="shared" si="65"/>
        <v>2726658</v>
      </c>
      <c r="AG51" s="8">
        <f t="shared" si="66"/>
        <v>2627199.5</v>
      </c>
      <c r="AH51">
        <f t="shared" si="67"/>
        <v>3.7548384807373627</v>
      </c>
      <c r="AI51" s="8">
        <f t="shared" si="68"/>
        <v>3.8930206660389506</v>
      </c>
      <c r="AJ51">
        <f t="shared" si="77"/>
        <v>3.4958524519098053</v>
      </c>
      <c r="AK51" s="8">
        <f t="shared" si="78"/>
        <v>3.5097451702835576</v>
      </c>
      <c r="AL51" s="9">
        <f t="shared" si="60"/>
        <v>3.4958524519098053</v>
      </c>
      <c r="AM51" s="8">
        <f t="shared" si="61"/>
        <v>3.5097451702835576</v>
      </c>
      <c r="AN51">
        <f t="shared" si="79"/>
        <v>6.9917049038196106</v>
      </c>
      <c r="AO51" s="8">
        <f t="shared" si="79"/>
        <v>7.0194903405671152</v>
      </c>
      <c r="AP51">
        <f t="shared" si="72"/>
        <v>55.933639230556885</v>
      </c>
      <c r="AQ51" s="8">
        <f t="shared" si="72"/>
        <v>56.155922724536921</v>
      </c>
      <c r="AR51">
        <v>12.5</v>
      </c>
      <c r="AS51" s="8">
        <f t="shared" si="32"/>
        <v>100</v>
      </c>
      <c r="AT51">
        <f t="shared" si="33"/>
        <v>3.4902347438511385</v>
      </c>
      <c r="AU51">
        <f t="shared" si="81"/>
        <v>69.804694877022769</v>
      </c>
      <c r="AV51">
        <f t="shared" si="45"/>
        <v>2.465744771561309</v>
      </c>
      <c r="AW51">
        <f t="shared" si="81"/>
        <v>49.314895431226176</v>
      </c>
      <c r="AX51">
        <f t="shared" si="70"/>
        <v>3.5041051371304999</v>
      </c>
      <c r="AY51">
        <f t="shared" si="63"/>
        <v>70.082102742610004</v>
      </c>
      <c r="AZ51">
        <f t="shared" si="36"/>
        <v>2.4718116581231127</v>
      </c>
      <c r="BA51">
        <f t="shared" si="64"/>
        <v>49.436233162462251</v>
      </c>
      <c r="BC51" s="97" t="str">
        <f t="shared" si="38"/>
        <v>&lt; 0</v>
      </c>
      <c r="BD51" s="107" t="str">
        <f t="shared" si="39"/>
        <v>&lt; 0</v>
      </c>
      <c r="BE51" s="97" t="str">
        <f t="shared" si="40"/>
        <v>&lt; 0</v>
      </c>
      <c r="BF51" s="97" t="str">
        <f t="shared" si="41"/>
        <v>&lt; 0</v>
      </c>
      <c r="BI51" s="112" t="s">
        <v>278</v>
      </c>
      <c r="BJ51" s="13" t="s">
        <v>276</v>
      </c>
      <c r="BK51" s="40">
        <f>AVERAGE(BC40:BC44)</f>
        <v>18.810709870651266</v>
      </c>
      <c r="BL51" s="40">
        <f t="shared" ref="BL51:BN51" si="83">AVERAGE(BD40:BD44)</f>
        <v>26.27622434793625</v>
      </c>
      <c r="BM51" s="40">
        <f t="shared" si="83"/>
        <v>17.606457211561022</v>
      </c>
      <c r="BN51" s="114">
        <f t="shared" si="83"/>
        <v>25.395867368593088</v>
      </c>
    </row>
    <row r="52" spans="1:66" x14ac:dyDescent="0.25">
      <c r="A52">
        <v>10</v>
      </c>
      <c r="B52" s="8" t="s">
        <v>71</v>
      </c>
      <c r="C52" s="14">
        <v>0</v>
      </c>
      <c r="D52" s="8">
        <v>74542</v>
      </c>
      <c r="E52" s="14">
        <v>0</v>
      </c>
      <c r="F52" s="8">
        <v>0</v>
      </c>
      <c r="G52">
        <v>132547</v>
      </c>
      <c r="H52" s="8">
        <v>0</v>
      </c>
      <c r="L52" s="13">
        <v>2</v>
      </c>
      <c r="M52" s="13" t="s">
        <v>122</v>
      </c>
      <c r="N52" s="8">
        <v>24957</v>
      </c>
      <c r="O52">
        <f t="shared" ref="O52:O60" si="84">IF(N52&lt;=0,0,N52*((28427.929*L52+316209.399)/(28427.929*L52+316209.399)))</f>
        <v>24957</v>
      </c>
      <c r="P52">
        <f t="shared" ref="P52:P60" si="85">IF(AVERAGE($O$51:$O$52,$O$59:$O$60)&gt;0,IF(O52-AVERAGE($O$51:$O$52,$O$59:$O$60)&lt;=0,0,O52-AVERAGE($O$51:$O$52,$O$59:$O$60)),O52)</f>
        <v>0</v>
      </c>
      <c r="Q52">
        <v>0</v>
      </c>
      <c r="R52">
        <f t="shared" si="15"/>
        <v>0</v>
      </c>
      <c r="S52">
        <f t="shared" si="16"/>
        <v>0</v>
      </c>
      <c r="AC52">
        <v>27</v>
      </c>
      <c r="AD52" s="8" t="s">
        <v>86</v>
      </c>
      <c r="AE52" s="8">
        <v>4195581</v>
      </c>
      <c r="AF52" s="63">
        <f t="shared" si="65"/>
        <v>4195581</v>
      </c>
      <c r="AG52" s="8">
        <f t="shared" si="66"/>
        <v>4096122.5</v>
      </c>
      <c r="AH52">
        <f t="shared" si="67"/>
        <v>5.9174644534577201</v>
      </c>
      <c r="AI52" s="8">
        <f t="shared" si="68"/>
        <v>6.0642410385516543</v>
      </c>
      <c r="AJ52">
        <f t="shared" si="77"/>
        <v>5.6584784246301627</v>
      </c>
      <c r="AK52" s="8">
        <f t="shared" si="78"/>
        <v>5.6809655427962618</v>
      </c>
      <c r="AL52" s="9">
        <f t="shared" si="60"/>
        <v>5.6584784246301627</v>
      </c>
      <c r="AM52" s="8">
        <f t="shared" si="61"/>
        <v>5.6809655427962618</v>
      </c>
      <c r="AN52">
        <f t="shared" si="79"/>
        <v>11.316956849260325</v>
      </c>
      <c r="AO52" s="8">
        <f t="shared" si="79"/>
        <v>11.361931085592524</v>
      </c>
      <c r="AP52">
        <f t="shared" si="72"/>
        <v>90.535654794082603</v>
      </c>
      <c r="AQ52" s="8">
        <f t="shared" si="72"/>
        <v>90.895448684740188</v>
      </c>
      <c r="AR52">
        <v>12.5</v>
      </c>
      <c r="AS52" s="8">
        <f t="shared" si="32"/>
        <v>100</v>
      </c>
      <c r="AT52">
        <f t="shared" si="33"/>
        <v>5.6493854550946576</v>
      </c>
      <c r="AU52">
        <f t="shared" si="81"/>
        <v>112.98770910189316</v>
      </c>
      <c r="AV52">
        <f t="shared" si="45"/>
        <v>3.3230382150187947</v>
      </c>
      <c r="AW52">
        <f t="shared" si="81"/>
        <v>66.460764300375899</v>
      </c>
      <c r="AX52">
        <f t="shared" si="70"/>
        <v>5.671836437277709</v>
      </c>
      <c r="AY52">
        <f t="shared" si="63"/>
        <v>113.43672874555418</v>
      </c>
      <c r="AZ52">
        <f t="shared" si="36"/>
        <v>3.3312144448231034</v>
      </c>
      <c r="BA52">
        <f t="shared" si="64"/>
        <v>66.624288896462062</v>
      </c>
      <c r="BC52" s="97" t="str">
        <f t="shared" si="38"/>
        <v>&lt; 0</v>
      </c>
      <c r="BD52" s="107" t="str">
        <f t="shared" si="39"/>
        <v>&lt; 0</v>
      </c>
      <c r="BE52" s="97" t="str">
        <f t="shared" si="40"/>
        <v>&lt; 0</v>
      </c>
      <c r="BF52" s="97" t="str">
        <f t="shared" si="41"/>
        <v>&lt; 0</v>
      </c>
      <c r="BI52" s="112"/>
      <c r="BJ52" s="13"/>
      <c r="BK52" s="13"/>
      <c r="BL52" s="13"/>
      <c r="BM52" s="13"/>
      <c r="BN52" s="113"/>
    </row>
    <row r="53" spans="1:66" x14ac:dyDescent="0.25">
      <c r="A53">
        <v>11</v>
      </c>
      <c r="B53" s="8" t="s">
        <v>87</v>
      </c>
      <c r="C53">
        <v>5413381</v>
      </c>
      <c r="D53" s="8">
        <v>5374327</v>
      </c>
      <c r="E53">
        <v>806425</v>
      </c>
      <c r="F53" s="8">
        <v>806425</v>
      </c>
      <c r="G53">
        <v>264113</v>
      </c>
      <c r="H53" s="8">
        <v>264930</v>
      </c>
      <c r="I53">
        <f t="shared" si="76"/>
        <v>6.6643854047183559</v>
      </c>
      <c r="L53" s="13">
        <v>3</v>
      </c>
      <c r="M53" s="13" t="s">
        <v>123</v>
      </c>
      <c r="N53" s="8">
        <v>387228</v>
      </c>
      <c r="O53">
        <f t="shared" si="84"/>
        <v>387228</v>
      </c>
      <c r="P53">
        <f>IF(AVERAGE($O$51:$O$52,$O$59:$O$60)&gt;0,IF(O53-AVERAGE($O$51:$O$52,$O$59:$O$60)&lt;=0,0,O53-AVERAGE($O$51:$O$52,$O$59:$O$60)),O53)</f>
        <v>326816.75</v>
      </c>
      <c r="Q53">
        <v>0.1</v>
      </c>
      <c r="R53">
        <f t="shared" si="15"/>
        <v>0.5</v>
      </c>
      <c r="S53">
        <f t="shared" si="16"/>
        <v>0.5</v>
      </c>
      <c r="AT53" s="13"/>
      <c r="AX53" s="13"/>
      <c r="BC53" s="108"/>
      <c r="BD53" s="108"/>
      <c r="BE53" s="108"/>
      <c r="BF53" s="108"/>
      <c r="BI53" s="112" t="s">
        <v>279</v>
      </c>
      <c r="BJ53" s="13" t="s">
        <v>277</v>
      </c>
      <c r="BK53" s="40">
        <f>AVERAGE(BC47:BC52)</f>
        <v>10.972299588702533</v>
      </c>
      <c r="BL53" s="40">
        <f t="shared" ref="BL53:BN53" si="86">AVERAGE(BD47:BD52)</f>
        <v>20.611509901278289</v>
      </c>
      <c r="BM53" s="40">
        <f t="shared" si="86"/>
        <v>10.618498395348013</v>
      </c>
      <c r="BN53" s="114">
        <f t="shared" si="86"/>
        <v>20.356234035277033</v>
      </c>
    </row>
    <row r="54" spans="1:66" x14ac:dyDescent="0.25">
      <c r="A54" s="7">
        <v>12</v>
      </c>
      <c r="B54" s="6" t="s">
        <v>72</v>
      </c>
      <c r="C54" s="7">
        <v>158891</v>
      </c>
      <c r="D54" s="6">
        <v>161777</v>
      </c>
      <c r="E54" s="7">
        <v>0</v>
      </c>
      <c r="F54" s="6">
        <v>22775</v>
      </c>
      <c r="G54" s="7">
        <v>102258</v>
      </c>
      <c r="H54" s="6">
        <v>104274</v>
      </c>
      <c r="I54">
        <f t="shared" si="76"/>
        <v>7.1032711306256857</v>
      </c>
      <c r="L54" s="13">
        <v>4</v>
      </c>
      <c r="M54" s="13" t="s">
        <v>124</v>
      </c>
      <c r="N54" s="8">
        <v>369283</v>
      </c>
      <c r="O54">
        <f t="shared" si="84"/>
        <v>369283</v>
      </c>
      <c r="P54">
        <f t="shared" si="85"/>
        <v>308871.75</v>
      </c>
      <c r="Q54">
        <v>0.1</v>
      </c>
      <c r="R54">
        <f t="shared" si="15"/>
        <v>0.5</v>
      </c>
      <c r="S54">
        <f t="shared" si="16"/>
        <v>0.5</v>
      </c>
      <c r="AC54" s="75">
        <v>44393</v>
      </c>
      <c r="AT54" s="13"/>
      <c r="AX54" s="13"/>
      <c r="BC54" s="108"/>
      <c r="BD54" s="108"/>
      <c r="BE54" s="108"/>
      <c r="BF54" s="108"/>
      <c r="BI54" s="112"/>
      <c r="BJ54" s="13"/>
      <c r="BK54" s="13"/>
      <c r="BL54" s="13"/>
      <c r="BM54" s="13"/>
      <c r="BN54" s="113"/>
    </row>
    <row r="55" spans="1:66" x14ac:dyDescent="0.25">
      <c r="A55">
        <v>13</v>
      </c>
      <c r="B55" s="8" t="s">
        <v>73</v>
      </c>
      <c r="C55">
        <v>0</v>
      </c>
      <c r="D55" s="8">
        <v>159672</v>
      </c>
      <c r="E55">
        <v>0</v>
      </c>
      <c r="F55" s="8">
        <v>23746</v>
      </c>
      <c r="G55">
        <v>185800</v>
      </c>
      <c r="H55" s="8">
        <v>185913</v>
      </c>
      <c r="I55">
        <f t="shared" si="76"/>
        <v>6.7241640697380616</v>
      </c>
      <c r="L55" s="13">
        <v>5</v>
      </c>
      <c r="M55" s="13" t="s">
        <v>125</v>
      </c>
      <c r="N55" s="8">
        <v>1914527</v>
      </c>
      <c r="O55">
        <f t="shared" si="84"/>
        <v>1914527</v>
      </c>
      <c r="P55">
        <f t="shared" si="85"/>
        <v>1854115.75</v>
      </c>
      <c r="Q55">
        <v>0.5</v>
      </c>
      <c r="R55">
        <f t="shared" si="15"/>
        <v>2.5</v>
      </c>
      <c r="S55">
        <f t="shared" si="16"/>
        <v>2.5</v>
      </c>
      <c r="AC55" s="13" t="s">
        <v>11</v>
      </c>
      <c r="AT55" s="13"/>
      <c r="AX55" s="13"/>
      <c r="BC55" s="108"/>
      <c r="BD55" s="108"/>
      <c r="BE55" s="108"/>
      <c r="BF55" s="108"/>
      <c r="BI55" s="112" t="s">
        <v>170</v>
      </c>
      <c r="BJ55" s="13"/>
      <c r="BK55" s="13"/>
      <c r="BL55" s="13"/>
      <c r="BM55" s="13"/>
      <c r="BN55" s="113"/>
    </row>
    <row r="56" spans="1:66" x14ac:dyDescent="0.25">
      <c r="A56">
        <v>14</v>
      </c>
      <c r="B56" s="8" t="s">
        <v>74</v>
      </c>
      <c r="C56">
        <v>3732609</v>
      </c>
      <c r="D56" s="8">
        <v>3716147</v>
      </c>
      <c r="E56">
        <v>551364</v>
      </c>
      <c r="F56" s="8">
        <v>551364</v>
      </c>
      <c r="H56" s="8"/>
      <c r="I56">
        <f t="shared" si="76"/>
        <v>6.7399159176152237</v>
      </c>
      <c r="L56" s="13">
        <v>6</v>
      </c>
      <c r="M56" s="13" t="s">
        <v>126</v>
      </c>
      <c r="N56" s="8">
        <v>2039245</v>
      </c>
      <c r="O56">
        <f t="shared" si="84"/>
        <v>2039245</v>
      </c>
      <c r="P56">
        <f t="shared" si="85"/>
        <v>1978833.75</v>
      </c>
      <c r="Q56">
        <v>0.5</v>
      </c>
      <c r="R56">
        <f t="shared" si="15"/>
        <v>2.5</v>
      </c>
      <c r="S56">
        <f t="shared" si="16"/>
        <v>2.5</v>
      </c>
      <c r="AC56">
        <v>1</v>
      </c>
      <c r="AD56" s="4" t="s">
        <v>93</v>
      </c>
      <c r="AE56" s="4">
        <v>17881</v>
      </c>
      <c r="AF56" s="63">
        <f>IF(AE56&lt;=0,0,AE56*((6989.33*AC56+66642.357)/(6989.33*AC56+66642.357)))</f>
        <v>17881</v>
      </c>
      <c r="AG56" s="8">
        <f>IF(AVERAGE($AF$56:$AF$58,$AF$69)&gt;0,IF(AF56-AVERAGE($AF$56:$AF$58,$AF$69)&lt;=0,0,AF56-AVERAGE($AF$56:$AF$58,$AF$69)),AF56)</f>
        <v>0</v>
      </c>
      <c r="AH56">
        <f>IF(AG56&lt;=0,0,(AG56-17163.347)/776797.583)</f>
        <v>0</v>
      </c>
      <c r="AI56" s="8">
        <f>IF(AG56&lt;=0,0,(AG56+18683.434)/775297.586)</f>
        <v>0</v>
      </c>
      <c r="AK56" s="8"/>
      <c r="AL56" s="9">
        <f t="shared" ref="AL56:AL75" si="87">IF(AJ56&lt;=0,0,AJ56)</f>
        <v>0</v>
      </c>
      <c r="AM56" s="8">
        <f t="shared" ref="AM56:AM75" si="88">IF(AK56&lt;=0,0,AK56)</f>
        <v>0</v>
      </c>
      <c r="AO56" s="8"/>
      <c r="AQ56" s="8"/>
      <c r="AR56">
        <v>0</v>
      </c>
      <c r="AS56" s="8">
        <f t="shared" ref="AS56:AS62" si="89">AR56*$AN$2</f>
        <v>0</v>
      </c>
      <c r="AU56">
        <f t="shared" si="81"/>
        <v>0</v>
      </c>
      <c r="AW56">
        <f t="shared" si="81"/>
        <v>0</v>
      </c>
      <c r="AY56">
        <f t="shared" ref="AY56:AY75" si="90">AX56*$AS$1</f>
        <v>0</v>
      </c>
      <c r="BA56">
        <f t="shared" ref="BA56:BA75" si="91">AZ56*$AS$1</f>
        <v>0</v>
      </c>
      <c r="BC56" s="97"/>
      <c r="BD56" s="107"/>
      <c r="BE56" s="97"/>
      <c r="BF56" s="97"/>
      <c r="BI56" s="112" t="s">
        <v>284</v>
      </c>
      <c r="BJ56" s="13" t="s">
        <v>276</v>
      </c>
      <c r="BK56" s="40" t="e">
        <f>AVERAGE(BC65:BC68)</f>
        <v>#DIV/0!</v>
      </c>
      <c r="BL56" s="40"/>
      <c r="BM56" s="40" t="e">
        <f>AVERAGE(BE65:BE68)</f>
        <v>#DIV/0!</v>
      </c>
      <c r="BN56" s="114"/>
    </row>
    <row r="57" spans="1:66" x14ac:dyDescent="0.25">
      <c r="A57">
        <v>15</v>
      </c>
      <c r="B57" s="8" t="s">
        <v>75</v>
      </c>
      <c r="C57">
        <v>2840501</v>
      </c>
      <c r="D57" s="8">
        <v>2829348</v>
      </c>
      <c r="E57">
        <v>425019</v>
      </c>
      <c r="F57" s="8">
        <v>425019</v>
      </c>
      <c r="G57">
        <v>223213</v>
      </c>
      <c r="H57" s="8">
        <v>223213</v>
      </c>
      <c r="I57">
        <f t="shared" si="76"/>
        <v>6.6569918050722441</v>
      </c>
      <c r="L57" s="13">
        <v>7</v>
      </c>
      <c r="M57" s="13" t="s">
        <v>127</v>
      </c>
      <c r="N57" s="8">
        <v>4252537</v>
      </c>
      <c r="O57">
        <f t="shared" si="84"/>
        <v>4252537</v>
      </c>
      <c r="P57">
        <f t="shared" si="85"/>
        <v>4192125.75</v>
      </c>
      <c r="Q57">
        <v>1.5</v>
      </c>
      <c r="R57">
        <f t="shared" si="15"/>
        <v>7.5</v>
      </c>
      <c r="S57">
        <f t="shared" si="16"/>
        <v>7.5</v>
      </c>
      <c r="AC57">
        <v>2</v>
      </c>
      <c r="AD57" s="8" t="s">
        <v>94</v>
      </c>
      <c r="AE57" s="8">
        <v>29907</v>
      </c>
      <c r="AF57" s="63">
        <f t="shared" ref="AF57:AF75" si="92">IF(AE57&lt;=0,0,AE57*((6989.33*AC57+66642.357)/(6989.33*AC57+66642.357)))</f>
        <v>29907</v>
      </c>
      <c r="AG57" s="8">
        <f t="shared" ref="AG57:AG75" si="93">IF(AVERAGE($AF$56:$AF$58,$AF$69)&gt;0,IF(AF57-AVERAGE($AF$56:$AF$58,$AF$69)&lt;=0,0,AF57-AVERAGE($AF$56:$AF$58,$AF$69)),AF57)</f>
        <v>0</v>
      </c>
      <c r="AH57">
        <f t="shared" ref="AH57:AH75" si="94">IF(AG57&lt;=0,0,(AG57-17163.347)/776797.583)</f>
        <v>0</v>
      </c>
      <c r="AI57" s="8">
        <f t="shared" ref="AI57:AI75" si="95">IF(AG57&lt;=0,0,(AG57+18683.434)/775297.586)</f>
        <v>0</v>
      </c>
      <c r="AK57" s="8"/>
      <c r="AL57" s="9">
        <f t="shared" si="87"/>
        <v>0</v>
      </c>
      <c r="AM57" s="8">
        <f t="shared" si="88"/>
        <v>0</v>
      </c>
      <c r="AO57" s="8"/>
      <c r="AQ57" s="8"/>
      <c r="AR57">
        <v>0</v>
      </c>
      <c r="AS57" s="8">
        <f t="shared" si="89"/>
        <v>0</v>
      </c>
      <c r="AU57">
        <f t="shared" si="81"/>
        <v>0</v>
      </c>
      <c r="AW57">
        <f t="shared" si="81"/>
        <v>0</v>
      </c>
      <c r="AY57">
        <f t="shared" si="90"/>
        <v>0</v>
      </c>
      <c r="BA57">
        <f t="shared" si="91"/>
        <v>0</v>
      </c>
      <c r="BC57" s="97"/>
      <c r="BD57" s="107"/>
      <c r="BE57" s="97"/>
      <c r="BF57" s="97"/>
      <c r="BI57" s="112"/>
      <c r="BJ57" s="13"/>
      <c r="BK57" s="13"/>
      <c r="BL57" s="13"/>
      <c r="BM57" s="13"/>
      <c r="BN57" s="113"/>
    </row>
    <row r="58" spans="1:66" x14ac:dyDescent="0.25">
      <c r="A58">
        <v>16</v>
      </c>
      <c r="B58" s="8" t="s">
        <v>76</v>
      </c>
      <c r="C58">
        <v>1713271</v>
      </c>
      <c r="D58" s="8">
        <v>1709465</v>
      </c>
      <c r="E58">
        <v>252374</v>
      </c>
      <c r="F58" s="8">
        <v>252374</v>
      </c>
      <c r="G58">
        <v>425303</v>
      </c>
      <c r="H58" s="8">
        <v>423513</v>
      </c>
      <c r="I58">
        <f t="shared" si="76"/>
        <v>6.7735384786071462</v>
      </c>
      <c r="L58" s="13">
        <v>8</v>
      </c>
      <c r="M58" s="13" t="s">
        <v>128</v>
      </c>
      <c r="N58" s="8">
        <v>4610723</v>
      </c>
      <c r="O58">
        <f t="shared" si="84"/>
        <v>4610723</v>
      </c>
      <c r="P58">
        <f t="shared" si="85"/>
        <v>4550311.75</v>
      </c>
      <c r="Q58">
        <v>1.5</v>
      </c>
      <c r="R58">
        <f t="shared" si="15"/>
        <v>7.5</v>
      </c>
      <c r="S58">
        <f t="shared" si="16"/>
        <v>7.5</v>
      </c>
      <c r="AC58">
        <v>9</v>
      </c>
      <c r="AD58" s="8" t="s">
        <v>101</v>
      </c>
      <c r="AE58" s="8">
        <v>79262</v>
      </c>
      <c r="AF58" s="63">
        <f t="shared" si="92"/>
        <v>79262</v>
      </c>
      <c r="AG58" s="8">
        <f t="shared" si="93"/>
        <v>37354.75</v>
      </c>
      <c r="AH58">
        <f t="shared" si="94"/>
        <v>2.5993133142897536E-2</v>
      </c>
      <c r="AI58" s="8">
        <f t="shared" si="95"/>
        <v>7.227958014047009E-2</v>
      </c>
      <c r="AK58" s="8"/>
      <c r="AL58" s="9">
        <f t="shared" si="87"/>
        <v>0</v>
      </c>
      <c r="AM58" s="8">
        <f t="shared" si="88"/>
        <v>0</v>
      </c>
      <c r="AO58" s="8"/>
      <c r="AQ58" s="8"/>
      <c r="AR58">
        <v>0</v>
      </c>
      <c r="AS58" s="8">
        <f t="shared" si="89"/>
        <v>0</v>
      </c>
      <c r="AU58">
        <f t="shared" si="81"/>
        <v>0</v>
      </c>
      <c r="AW58">
        <f t="shared" si="81"/>
        <v>0</v>
      </c>
      <c r="AY58">
        <f t="shared" si="90"/>
        <v>0</v>
      </c>
      <c r="BA58">
        <f t="shared" si="91"/>
        <v>0</v>
      </c>
      <c r="BC58" s="97"/>
      <c r="BD58" s="107"/>
      <c r="BE58" s="97"/>
      <c r="BF58" s="97"/>
      <c r="BI58" s="112" t="s">
        <v>285</v>
      </c>
      <c r="BJ58" s="13" t="s">
        <v>277</v>
      </c>
      <c r="BK58" s="40" t="e">
        <f>AVERAGE(BC72:BC75)</f>
        <v>#DIV/0!</v>
      </c>
      <c r="BL58" s="40"/>
      <c r="BM58" s="40" t="e">
        <f>AVERAGE(BE72:BE75)</f>
        <v>#DIV/0!</v>
      </c>
      <c r="BN58" s="114"/>
    </row>
    <row r="59" spans="1:66" x14ac:dyDescent="0.25">
      <c r="A59">
        <v>17</v>
      </c>
      <c r="B59" s="8" t="s">
        <v>77</v>
      </c>
      <c r="C59">
        <v>2483899</v>
      </c>
      <c r="D59" s="8">
        <v>2483082</v>
      </c>
      <c r="E59">
        <v>370293</v>
      </c>
      <c r="F59" s="8">
        <v>370702</v>
      </c>
      <c r="G59">
        <v>261023</v>
      </c>
      <c r="H59" s="8">
        <v>260886</v>
      </c>
      <c r="I59">
        <f t="shared" si="76"/>
        <v>6.6983237209402704</v>
      </c>
      <c r="L59" s="13">
        <v>9</v>
      </c>
      <c r="M59" s="13" t="s">
        <v>129</v>
      </c>
      <c r="N59" s="6">
        <v>105093</v>
      </c>
      <c r="O59">
        <f t="shared" si="84"/>
        <v>105093</v>
      </c>
      <c r="P59">
        <f t="shared" si="85"/>
        <v>44681.75</v>
      </c>
      <c r="Q59">
        <v>0</v>
      </c>
      <c r="R59">
        <f t="shared" si="15"/>
        <v>0</v>
      </c>
      <c r="S59">
        <f t="shared" si="16"/>
        <v>0</v>
      </c>
      <c r="AC59">
        <v>10</v>
      </c>
      <c r="AD59" s="10" t="s">
        <v>102</v>
      </c>
      <c r="AE59" s="8">
        <v>2588454</v>
      </c>
      <c r="AF59" s="63">
        <f t="shared" si="92"/>
        <v>2588454</v>
      </c>
      <c r="AG59" s="8">
        <f t="shared" si="93"/>
        <v>2546546.75</v>
      </c>
      <c r="AH59">
        <f t="shared" si="94"/>
        <v>3.2561679623557738</v>
      </c>
      <c r="AI59" s="8">
        <f t="shared" si="95"/>
        <v>3.3087039484216838</v>
      </c>
      <c r="AJ59">
        <f>IF(AVERAGE($AH$13,$AH$36,$AH$38)&gt;0,IF(AH59-MAX($AH$13,$AH$36,$AH$38)&lt;=0,0,AH59-MAX($AH$13,$AH$36,$AH$38)),AH59)</f>
        <v>3.2561679623557738</v>
      </c>
      <c r="AK59" s="8">
        <f t="shared" ref="AK59:AK62" si="96">IF(AVERAGE($AI$13,$AI$36,$AI$38)&gt;0,IF(AI59-MAX($AI$13,$AI$36,$AI$38)&lt;=0,0,AI59-MAX($AI$13,$AI$36,$AI$38)),AI59)</f>
        <v>3.2099545267943839</v>
      </c>
      <c r="AL59" s="9">
        <f t="shared" si="87"/>
        <v>3.2561679623557738</v>
      </c>
      <c r="AM59" s="8">
        <f t="shared" si="88"/>
        <v>3.2099545267943839</v>
      </c>
      <c r="AN59">
        <f t="shared" ref="AN59:AO62" si="97">AL59*$AN$5</f>
        <v>6.5123359247115475</v>
      </c>
      <c r="AO59" s="8">
        <f t="shared" si="97"/>
        <v>6.4199090535887677</v>
      </c>
      <c r="AP59">
        <f>AN59*$AN$2</f>
        <v>52.09868739769238</v>
      </c>
      <c r="AQ59" s="8">
        <f>AO59*$AN$2</f>
        <v>51.359272428710142</v>
      </c>
      <c r="AR59">
        <v>12.5</v>
      </c>
      <c r="AS59" s="8">
        <f t="shared" si="89"/>
        <v>100</v>
      </c>
      <c r="AT59">
        <f t="shared" ref="AT59:AT62" si="98">$AV$2*AN59</f>
        <v>3.2509354185759278</v>
      </c>
      <c r="AU59">
        <f t="shared" si="81"/>
        <v>65.018708371518557</v>
      </c>
      <c r="AV59">
        <f t="shared" ref="AV59:AV62" si="99">$AY$2*(AN59^$AZ$2)</f>
        <v>2.3595857044238087</v>
      </c>
      <c r="AW59">
        <f t="shared" si="81"/>
        <v>47.191714088476175</v>
      </c>
      <c r="AX59">
        <f t="shared" ref="AX59:AX62" si="100">$AV$2*AO59</f>
        <v>3.2047962463288351</v>
      </c>
      <c r="AY59">
        <f t="shared" si="90"/>
        <v>64.0959249265767</v>
      </c>
      <c r="AZ59">
        <f>$AY$2*(AO59^$AZ$2)</f>
        <v>2.3387797764657874</v>
      </c>
      <c r="BA59">
        <f t="shared" si="91"/>
        <v>46.775595529315751</v>
      </c>
      <c r="BC59" s="97" t="str">
        <f t="shared" si="38"/>
        <v>&lt; 0</v>
      </c>
      <c r="BD59" s="107">
        <f t="shared" si="39"/>
        <v>0.70959851383145178</v>
      </c>
      <c r="BE59" s="97" t="str">
        <f t="shared" si="40"/>
        <v>&lt; 0</v>
      </c>
      <c r="BF59" s="97">
        <f t="shared" si="41"/>
        <v>1.8651320419741069</v>
      </c>
      <c r="BI59" s="112"/>
      <c r="BJ59" s="13"/>
      <c r="BK59" s="13"/>
      <c r="BL59" s="13"/>
      <c r="BM59" s="13"/>
      <c r="BN59" s="113"/>
    </row>
    <row r="60" spans="1:66" x14ac:dyDescent="0.25">
      <c r="A60">
        <v>18</v>
      </c>
      <c r="B60" s="8" t="s">
        <v>78</v>
      </c>
      <c r="C60">
        <v>2569336</v>
      </c>
      <c r="D60" s="8">
        <v>2553685</v>
      </c>
      <c r="E60">
        <v>387039</v>
      </c>
      <c r="F60" s="8">
        <v>386763</v>
      </c>
      <c r="G60">
        <v>127766</v>
      </c>
      <c r="H60" s="8">
        <v>0</v>
      </c>
      <c r="I60">
        <f t="shared" si="76"/>
        <v>6.6027127724213539</v>
      </c>
      <c r="L60" s="13">
        <v>20</v>
      </c>
      <c r="M60" s="13" t="s">
        <v>134</v>
      </c>
      <c r="N60" s="2">
        <v>95715</v>
      </c>
      <c r="O60">
        <f t="shared" si="84"/>
        <v>95715</v>
      </c>
      <c r="P60">
        <f t="shared" si="85"/>
        <v>35303.75</v>
      </c>
      <c r="Q60">
        <v>0</v>
      </c>
      <c r="R60">
        <f t="shared" si="15"/>
        <v>0</v>
      </c>
      <c r="S60">
        <f t="shared" si="16"/>
        <v>0</v>
      </c>
      <c r="AC60">
        <v>11</v>
      </c>
      <c r="AD60" s="10" t="s">
        <v>103</v>
      </c>
      <c r="AE60" s="8">
        <v>3373853</v>
      </c>
      <c r="AF60" s="63">
        <f t="shared" si="92"/>
        <v>3373853</v>
      </c>
      <c r="AG60" s="8">
        <f t="shared" si="93"/>
        <v>3331945.75</v>
      </c>
      <c r="AH60">
        <f t="shared" si="94"/>
        <v>4.2672408817214356</v>
      </c>
      <c r="AI60" s="8">
        <f t="shared" si="95"/>
        <v>4.3217330280711073</v>
      </c>
      <c r="AJ60">
        <f t="shared" ref="AJ60:AJ62" si="101">IF(AVERAGE($AH$13,$AH$36,$AH$38)&gt;0,IF(AH60-MAX($AH$13,$AH$36,$AH$38)&lt;=0,0,AH60-MAX($AH$13,$AH$36,$AH$38)),AH60)</f>
        <v>4.2672408817214356</v>
      </c>
      <c r="AK60" s="8">
        <f t="shared" si="96"/>
        <v>4.2229836064438073</v>
      </c>
      <c r="AL60" s="9">
        <f t="shared" si="87"/>
        <v>4.2672408817214356</v>
      </c>
      <c r="AM60" s="8">
        <f t="shared" si="88"/>
        <v>4.2229836064438073</v>
      </c>
      <c r="AN60">
        <f t="shared" si="97"/>
        <v>8.5344817634428711</v>
      </c>
      <c r="AO60" s="8">
        <f t="shared" si="97"/>
        <v>8.4459672128876147</v>
      </c>
      <c r="AP60">
        <f t="shared" ref="AP60:AQ62" si="102">AN60*$AN$2</f>
        <v>68.275854107542969</v>
      </c>
      <c r="AQ60" s="8">
        <f t="shared" si="102"/>
        <v>67.567737703100917</v>
      </c>
      <c r="AR60">
        <v>12.5</v>
      </c>
      <c r="AS60" s="8">
        <f t="shared" si="89"/>
        <v>100</v>
      </c>
      <c r="AT60">
        <f t="shared" si="98"/>
        <v>4.2603835804424808</v>
      </c>
      <c r="AU60">
        <f t="shared" si="81"/>
        <v>85.207671608849608</v>
      </c>
      <c r="AV60">
        <f t="shared" si="99"/>
        <v>2.7899845831618104</v>
      </c>
      <c r="AW60">
        <f t="shared" si="81"/>
        <v>55.79969166323621</v>
      </c>
      <c r="AX60">
        <f>$AV$2*AO60</f>
        <v>4.2161974250005434</v>
      </c>
      <c r="AY60">
        <f t="shared" si="90"/>
        <v>84.323948500010871</v>
      </c>
      <c r="AZ60">
        <f t="shared" ref="AZ60:AZ62" si="103">$AY$2*(AO60^$AZ$2)</f>
        <v>2.7720202667766651</v>
      </c>
      <c r="BA60">
        <f t="shared" si="91"/>
        <v>55.440405335533299</v>
      </c>
      <c r="BC60" s="97" t="str">
        <f t="shared" si="38"/>
        <v>&lt; 0</v>
      </c>
      <c r="BD60" s="107" t="str">
        <f t="shared" si="39"/>
        <v>&lt; 0</v>
      </c>
      <c r="BE60" s="97" t="str">
        <f t="shared" si="40"/>
        <v>&lt; 0</v>
      </c>
      <c r="BF60" s="97" t="str">
        <f t="shared" si="41"/>
        <v>&lt; 0</v>
      </c>
      <c r="BI60" s="112" t="s">
        <v>171</v>
      </c>
      <c r="BJ60" s="13"/>
      <c r="BK60" s="13"/>
      <c r="BL60" s="13"/>
      <c r="BM60" s="13"/>
      <c r="BN60" s="113"/>
    </row>
    <row r="61" spans="1:66" x14ac:dyDescent="0.25">
      <c r="A61" s="7">
        <v>19</v>
      </c>
      <c r="B61" s="6" t="s">
        <v>79</v>
      </c>
      <c r="C61" s="7">
        <v>2848591</v>
      </c>
      <c r="D61" s="6">
        <v>2840796</v>
      </c>
      <c r="E61" s="7">
        <v>428125</v>
      </c>
      <c r="F61" s="6">
        <v>428125</v>
      </c>
      <c r="G61" s="7">
        <v>139570</v>
      </c>
      <c r="H61" s="6"/>
      <c r="I61">
        <f t="shared" si="76"/>
        <v>6.6354359124087594</v>
      </c>
      <c r="L61" s="13"/>
      <c r="M61" s="13"/>
      <c r="N61" s="13"/>
      <c r="AC61">
        <v>12</v>
      </c>
      <c r="AD61" s="10" t="s">
        <v>104</v>
      </c>
      <c r="AE61" s="8">
        <v>1942122</v>
      </c>
      <c r="AF61" s="63">
        <f t="shared" si="92"/>
        <v>1942122</v>
      </c>
      <c r="AG61" s="8">
        <f t="shared" si="93"/>
        <v>1900214.75</v>
      </c>
      <c r="AH61">
        <f t="shared" si="94"/>
        <v>2.4241210892130183</v>
      </c>
      <c r="AI61" s="8">
        <f t="shared" si="95"/>
        <v>2.4750472833279269</v>
      </c>
      <c r="AJ61">
        <f t="shared" si="101"/>
        <v>2.4241210892130183</v>
      </c>
      <c r="AK61" s="8">
        <f t="shared" si="96"/>
        <v>2.376297861700627</v>
      </c>
      <c r="AL61" s="9">
        <f t="shared" si="87"/>
        <v>2.4241210892130183</v>
      </c>
      <c r="AM61" s="8">
        <f t="shared" si="88"/>
        <v>2.376297861700627</v>
      </c>
      <c r="AN61">
        <f t="shared" si="97"/>
        <v>4.8482421784260366</v>
      </c>
      <c r="AO61" s="8">
        <f t="shared" si="97"/>
        <v>4.7525957234012539</v>
      </c>
      <c r="AP61">
        <f t="shared" si="102"/>
        <v>38.785937427408292</v>
      </c>
      <c r="AQ61" s="8">
        <f t="shared" si="102"/>
        <v>38.020765787210031</v>
      </c>
      <c r="AR61">
        <v>12.5</v>
      </c>
      <c r="AS61" s="8">
        <f t="shared" si="89"/>
        <v>100</v>
      </c>
      <c r="AT61">
        <f t="shared" si="98"/>
        <v>2.4202256145711702</v>
      </c>
      <c r="AU61">
        <f t="shared" si="81"/>
        <v>48.404512291423401</v>
      </c>
      <c r="AV61">
        <f t="shared" si="99"/>
        <v>1.965316381211127</v>
      </c>
      <c r="AW61">
        <f t="shared" si="81"/>
        <v>39.30632762422254</v>
      </c>
      <c r="AX61">
        <f t="shared" si="100"/>
        <v>2.3724792372503369</v>
      </c>
      <c r="AY61">
        <f t="shared" si="90"/>
        <v>47.449584745006739</v>
      </c>
      <c r="AZ61">
        <f t="shared" si="103"/>
        <v>1.9412023447824391</v>
      </c>
      <c r="BA61">
        <f t="shared" si="91"/>
        <v>38.824046895648785</v>
      </c>
      <c r="BC61" s="97">
        <f t="shared" si="38"/>
        <v>12.809550281168299</v>
      </c>
      <c r="BD61" s="107">
        <f t="shared" si="39"/>
        <v>21.907734948369168</v>
      </c>
      <c r="BE61" s="97">
        <f t="shared" si="40"/>
        <v>14.52964946778323</v>
      </c>
      <c r="BF61" s="97">
        <f t="shared" si="41"/>
        <v>23.155187317141184</v>
      </c>
      <c r="BI61" s="112" t="s">
        <v>286</v>
      </c>
      <c r="BJ61" s="13" t="s">
        <v>276</v>
      </c>
      <c r="BK61" s="40" t="e">
        <f>AVERAGE(BC88:BC91)</f>
        <v>#DIV/0!</v>
      </c>
      <c r="BL61" s="40"/>
      <c r="BM61" s="40" t="e">
        <f>AVERAGE(BE88:BE91)</f>
        <v>#DIV/0!</v>
      </c>
      <c r="BN61" s="114"/>
    </row>
    <row r="62" spans="1:66" x14ac:dyDescent="0.25">
      <c r="A62">
        <v>20</v>
      </c>
      <c r="B62" s="8" t="s">
        <v>80</v>
      </c>
      <c r="C62">
        <v>351216</v>
      </c>
      <c r="D62" s="8">
        <v>352166</v>
      </c>
      <c r="E62">
        <v>0</v>
      </c>
      <c r="F62" s="8">
        <v>52990</v>
      </c>
      <c r="G62">
        <v>261376</v>
      </c>
      <c r="H62" s="8">
        <v>261549</v>
      </c>
      <c r="I62">
        <f t="shared" si="76"/>
        <v>6.6458954519720699</v>
      </c>
      <c r="L62" s="13"/>
      <c r="M62" s="13"/>
      <c r="N62" s="13"/>
      <c r="AC62" s="7">
        <v>13</v>
      </c>
      <c r="AD62" s="20" t="s">
        <v>105</v>
      </c>
      <c r="AE62" s="23">
        <v>2174874</v>
      </c>
      <c r="AF62" s="63">
        <f t="shared" si="92"/>
        <v>2174874</v>
      </c>
      <c r="AG62" s="6">
        <f t="shared" si="93"/>
        <v>2132966.75</v>
      </c>
      <c r="AH62">
        <f t="shared" si="94"/>
        <v>2.7237512697049677</v>
      </c>
      <c r="AI62" s="8">
        <f t="shared" si="95"/>
        <v>2.7752571694451271</v>
      </c>
      <c r="AJ62" s="7">
        <f t="shared" si="101"/>
        <v>2.7237512697049677</v>
      </c>
      <c r="AK62" s="6">
        <f t="shared" si="96"/>
        <v>2.6765077478178272</v>
      </c>
      <c r="AL62" s="5">
        <f t="shared" si="87"/>
        <v>2.7237512697049677</v>
      </c>
      <c r="AM62" s="6">
        <f t="shared" si="88"/>
        <v>2.6765077478178272</v>
      </c>
      <c r="AN62" s="7">
        <f t="shared" si="97"/>
        <v>5.4475025394099355</v>
      </c>
      <c r="AO62" s="6">
        <f t="shared" si="97"/>
        <v>5.3530154956356544</v>
      </c>
      <c r="AP62" s="5">
        <f t="shared" si="102"/>
        <v>43.580020315279484</v>
      </c>
      <c r="AQ62" s="6">
        <f t="shared" si="102"/>
        <v>42.824123965085235</v>
      </c>
      <c r="AR62" s="7">
        <v>12.5</v>
      </c>
      <c r="AS62" s="6">
        <f t="shared" si="89"/>
        <v>100</v>
      </c>
      <c r="AT62">
        <f t="shared" si="98"/>
        <v>2.719374300233826</v>
      </c>
      <c r="AU62" s="7">
        <f t="shared" si="81"/>
        <v>54.387486004676518</v>
      </c>
      <c r="AV62" s="7">
        <f t="shared" si="99"/>
        <v>2.1124788672757253</v>
      </c>
      <c r="AW62" s="7">
        <f t="shared" si="81"/>
        <v>42.24957734551451</v>
      </c>
      <c r="AX62">
        <f t="shared" si="100"/>
        <v>2.6722066969723355</v>
      </c>
      <c r="AY62" s="7">
        <f t="shared" si="90"/>
        <v>53.444133939446708</v>
      </c>
      <c r="AZ62">
        <f t="shared" si="103"/>
        <v>2.0897006092846468</v>
      </c>
      <c r="BA62" s="7">
        <f t="shared" si="91"/>
        <v>41.794012185692935</v>
      </c>
      <c r="BB62" s="7"/>
      <c r="BC62" s="97">
        <f t="shared" si="38"/>
        <v>2.0324936800439986</v>
      </c>
      <c r="BD62" s="107">
        <f t="shared" si="39"/>
        <v>14.170402339206007</v>
      </c>
      <c r="BE62" s="97">
        <f t="shared" si="40"/>
        <v>3.7317420954680642</v>
      </c>
      <c r="BF62" s="97">
        <f t="shared" si="41"/>
        <v>15.38186384922183</v>
      </c>
      <c r="BI62" s="112"/>
      <c r="BJ62" s="13"/>
      <c r="BK62" s="13"/>
      <c r="BL62" s="13"/>
      <c r="BM62" s="13"/>
      <c r="BN62" s="113"/>
    </row>
    <row r="63" spans="1:66" ht="15.75" thickBot="1" x14ac:dyDescent="0.3">
      <c r="A63">
        <v>21</v>
      </c>
      <c r="B63" s="8" t="s">
        <v>88</v>
      </c>
      <c r="D63" s="8">
        <v>20264</v>
      </c>
      <c r="F63" s="8"/>
      <c r="G63">
        <v>258120</v>
      </c>
      <c r="H63" s="65">
        <v>258120</v>
      </c>
      <c r="AC63">
        <v>14</v>
      </c>
      <c r="AD63" s="88" t="s">
        <v>106</v>
      </c>
      <c r="AE63" s="88">
        <v>88960</v>
      </c>
      <c r="AF63" s="90">
        <f t="shared" si="92"/>
        <v>88960</v>
      </c>
      <c r="AG63" s="88">
        <f t="shared" si="93"/>
        <v>47052.75</v>
      </c>
      <c r="AH63" s="89">
        <f t="shared" si="94"/>
        <v>3.847772399672876E-2</v>
      </c>
      <c r="AI63" s="88">
        <f t="shared" si="95"/>
        <v>8.4788325395353428E-2</v>
      </c>
      <c r="AJ63" s="89">
        <f>IF(AVERAGE($AH$63:$AH$64)&gt;0,IF(AH63-MAX($AH$63:$AH$64)&lt;=0,0,AH63-MAX($AH$63:$AH$64)),AH63)</f>
        <v>0</v>
      </c>
      <c r="AK63" s="88">
        <f>IF(AVERAGE($AI$63:$AI$64)&gt;0,IF(AI63-MAX($AI$63:$AI$64)&lt;=0,0,AI63-MAX($AI$63:$AI$64)),AI63)</f>
        <v>0</v>
      </c>
      <c r="AL63" s="92">
        <f t="shared" si="87"/>
        <v>0</v>
      </c>
      <c r="AM63" s="88">
        <f t="shared" si="88"/>
        <v>0</v>
      </c>
      <c r="AN63" s="89">
        <f>AL63*$AO$5</f>
        <v>0</v>
      </c>
      <c r="AO63" s="88">
        <f>AM63*$AO$5</f>
        <v>0</v>
      </c>
      <c r="AP63" s="89">
        <f>AN63*$AO$2</f>
        <v>0</v>
      </c>
      <c r="AQ63" s="88">
        <f>AO63*$AO$2</f>
        <v>0</v>
      </c>
      <c r="AR63" s="89">
        <v>0</v>
      </c>
      <c r="AS63" s="88">
        <f>AR63*$AO$2</f>
        <v>0</v>
      </c>
      <c r="AT63" s="89">
        <f>$AV$3*AN63</f>
        <v>0</v>
      </c>
      <c r="AU63" s="89">
        <f t="shared" si="81"/>
        <v>0</v>
      </c>
      <c r="AV63" s="89"/>
      <c r="AW63" s="89">
        <f t="shared" si="81"/>
        <v>0</v>
      </c>
      <c r="AX63" s="89">
        <f>$AV$3*AO63</f>
        <v>0</v>
      </c>
      <c r="AY63" s="89">
        <f t="shared" si="90"/>
        <v>0</v>
      </c>
      <c r="AZ63" s="89"/>
      <c r="BA63" s="89">
        <f t="shared" si="91"/>
        <v>0</v>
      </c>
      <c r="BB63" s="89"/>
      <c r="BC63" s="102">
        <f t="shared" si="38"/>
        <v>0</v>
      </c>
      <c r="BD63" s="106">
        <f t="shared" si="39"/>
        <v>0</v>
      </c>
      <c r="BE63" s="102">
        <f t="shared" si="40"/>
        <v>0</v>
      </c>
      <c r="BF63" s="102">
        <f t="shared" si="41"/>
        <v>0</v>
      </c>
      <c r="BI63" s="115" t="s">
        <v>287</v>
      </c>
      <c r="BJ63" s="116" t="s">
        <v>277</v>
      </c>
      <c r="BK63" s="117" t="e">
        <f>AVERAGE(BC95:BC98)</f>
        <v>#DIV/0!</v>
      </c>
      <c r="BL63" s="117"/>
      <c r="BM63" s="117" t="e">
        <f>AVERAGE(BE95:BE98)</f>
        <v>#DIV/0!</v>
      </c>
      <c r="BN63" s="118"/>
    </row>
    <row r="64" spans="1:66" x14ac:dyDescent="0.25">
      <c r="A64">
        <v>22</v>
      </c>
      <c r="B64" s="8" t="s">
        <v>81</v>
      </c>
      <c r="C64">
        <v>2185547</v>
      </c>
      <c r="D64" s="8">
        <v>2172556</v>
      </c>
      <c r="E64">
        <v>323633</v>
      </c>
      <c r="F64" s="8">
        <v>324387</v>
      </c>
      <c r="G64">
        <v>202107</v>
      </c>
      <c r="H64" s="8">
        <v>202717</v>
      </c>
      <c r="I64">
        <f t="shared" si="76"/>
        <v>6.6974200569073359</v>
      </c>
      <c r="AC64">
        <v>15</v>
      </c>
      <c r="AD64" s="88" t="s">
        <v>107</v>
      </c>
      <c r="AE64" s="88">
        <v>232604</v>
      </c>
      <c r="AF64" s="90">
        <f t="shared" si="92"/>
        <v>232604</v>
      </c>
      <c r="AG64" s="88">
        <f t="shared" si="93"/>
        <v>190696.75</v>
      </c>
      <c r="AH64" s="89">
        <f t="shared" si="94"/>
        <v>0.22339591007713008</v>
      </c>
      <c r="AI64" s="88">
        <f t="shared" si="95"/>
        <v>0.27006427955007201</v>
      </c>
      <c r="AJ64" s="89">
        <f t="shared" ref="AJ64:AJ68" si="104">IF(AVERAGE($AH$63:$AH$64)&gt;0,IF(AH64-MAX($AH$63:$AH$64)&lt;=0,0,AH64-MAX($AH$63:$AH$64)),AH64)</f>
        <v>0</v>
      </c>
      <c r="AK64" s="88">
        <f t="shared" ref="AK64:AK68" si="105">IF(AVERAGE($AI$63:$AI$64)&gt;0,IF(AI64-MAX($AI$63:$AI$64)&lt;=0,0,AI64-MAX($AI$63:$AI$64)),AI64)</f>
        <v>0</v>
      </c>
      <c r="AL64" s="92">
        <f t="shared" si="87"/>
        <v>0</v>
      </c>
      <c r="AM64" s="88">
        <f t="shared" si="88"/>
        <v>0</v>
      </c>
      <c r="AN64" s="89">
        <f t="shared" ref="AN64:AO75" si="106">AL64*$AO$5</f>
        <v>0</v>
      </c>
      <c r="AO64" s="88">
        <f t="shared" si="106"/>
        <v>0</v>
      </c>
      <c r="AP64" s="89">
        <f t="shared" ref="AP64:AQ75" si="107">AN64*$AO$2</f>
        <v>0</v>
      </c>
      <c r="AQ64" s="88">
        <f t="shared" si="107"/>
        <v>0</v>
      </c>
      <c r="AR64" s="89">
        <v>0</v>
      </c>
      <c r="AS64" s="88">
        <f t="shared" ref="AS64:AS75" si="108">AR64*$AO$2</f>
        <v>0</v>
      </c>
      <c r="AT64" s="89">
        <f t="shared" ref="AT64:AT75" si="109">$AV$3*AN64</f>
        <v>0</v>
      </c>
      <c r="AU64" s="89">
        <f t="shared" si="81"/>
        <v>0</v>
      </c>
      <c r="AV64" s="89"/>
      <c r="AW64" s="89">
        <f t="shared" si="81"/>
        <v>0</v>
      </c>
      <c r="AX64" s="89">
        <f t="shared" ref="AX64:AX75" si="110">$AV$3*AO64</f>
        <v>0</v>
      </c>
      <c r="AY64" s="89">
        <f t="shared" si="90"/>
        <v>0</v>
      </c>
      <c r="AZ64" s="89"/>
      <c r="BA64" s="89">
        <f t="shared" si="91"/>
        <v>0</v>
      </c>
      <c r="BB64" s="89"/>
      <c r="BC64" s="102">
        <f t="shared" si="38"/>
        <v>0</v>
      </c>
      <c r="BD64" s="106">
        <f t="shared" si="39"/>
        <v>0</v>
      </c>
      <c r="BE64" s="102">
        <f t="shared" si="40"/>
        <v>0</v>
      </c>
      <c r="BF64" s="102">
        <f t="shared" si="41"/>
        <v>0</v>
      </c>
    </row>
    <row r="65" spans="1:66" ht="15.75" thickBot="1" x14ac:dyDescent="0.3">
      <c r="A65">
        <v>23</v>
      </c>
      <c r="B65" s="8" t="s">
        <v>82</v>
      </c>
      <c r="C65">
        <v>1913623</v>
      </c>
      <c r="D65" s="8">
        <v>1894244</v>
      </c>
      <c r="E65">
        <v>284327</v>
      </c>
      <c r="F65" s="8">
        <v>284327</v>
      </c>
      <c r="G65">
        <v>206800</v>
      </c>
      <c r="H65" s="8">
        <v>209607</v>
      </c>
      <c r="I65">
        <f t="shared" si="76"/>
        <v>6.6622023233811776</v>
      </c>
      <c r="AC65">
        <v>16</v>
      </c>
      <c r="AD65" s="10" t="s">
        <v>108</v>
      </c>
      <c r="AE65" s="8">
        <v>1448094</v>
      </c>
      <c r="AF65" s="63">
        <f t="shared" si="92"/>
        <v>1448094</v>
      </c>
      <c r="AG65" s="8">
        <f t="shared" si="93"/>
        <v>1406186.75</v>
      </c>
      <c r="AH65">
        <f t="shared" si="94"/>
        <v>1.7881407375594267</v>
      </c>
      <c r="AI65" s="8">
        <f t="shared" si="95"/>
        <v>1.8378364768957243</v>
      </c>
      <c r="AJ65">
        <f t="shared" si="104"/>
        <v>1.5647448274822966</v>
      </c>
      <c r="AK65" s="8">
        <f t="shared" si="105"/>
        <v>1.5677721973456522</v>
      </c>
      <c r="AL65" s="9">
        <f t="shared" si="87"/>
        <v>1.5647448274822966</v>
      </c>
      <c r="AM65" s="8">
        <f t="shared" si="88"/>
        <v>1.5677721973456522</v>
      </c>
      <c r="AN65">
        <f t="shared" si="106"/>
        <v>2.151524137788158</v>
      </c>
      <c r="AO65" s="8">
        <f t="shared" si="106"/>
        <v>2.1556867713502719</v>
      </c>
      <c r="AP65">
        <f t="shared" si="107"/>
        <v>12.909144826728948</v>
      </c>
      <c r="AQ65" s="8">
        <f t="shared" si="107"/>
        <v>12.934120628101631</v>
      </c>
      <c r="AR65">
        <v>12.5</v>
      </c>
      <c r="AS65" s="8">
        <f t="shared" si="108"/>
        <v>75</v>
      </c>
      <c r="AT65">
        <f t="shared" si="109"/>
        <v>15.08430556794802</v>
      </c>
      <c r="AU65">
        <f t="shared" ref="AU65:AW75" si="111">AT65*$AS$1</f>
        <v>301.68611135896037</v>
      </c>
      <c r="AW65">
        <f t="shared" si="111"/>
        <v>0</v>
      </c>
      <c r="AX65">
        <f t="shared" si="110"/>
        <v>15.113489733496296</v>
      </c>
      <c r="AY65">
        <f t="shared" si="90"/>
        <v>302.26979466992594</v>
      </c>
      <c r="BA65">
        <f t="shared" si="91"/>
        <v>0</v>
      </c>
      <c r="BC65" s="97" t="str">
        <f t="shared" si="38"/>
        <v>&lt; 0</v>
      </c>
      <c r="BD65" s="107">
        <f t="shared" si="39"/>
        <v>62.090855173271052</v>
      </c>
      <c r="BE65" s="97" t="str">
        <f t="shared" si="40"/>
        <v>&lt; 0</v>
      </c>
      <c r="BF65" s="97">
        <f t="shared" si="41"/>
        <v>62.065879371898369</v>
      </c>
    </row>
    <row r="66" spans="1:66" x14ac:dyDescent="0.25">
      <c r="A66">
        <v>24</v>
      </c>
      <c r="B66" s="8" t="s">
        <v>83</v>
      </c>
      <c r="C66">
        <v>2940252</v>
      </c>
      <c r="D66" s="8">
        <v>2928756</v>
      </c>
      <c r="E66">
        <v>438508</v>
      </c>
      <c r="F66" s="8">
        <v>438508</v>
      </c>
      <c r="G66">
        <v>305392</v>
      </c>
      <c r="H66" s="8">
        <v>305929</v>
      </c>
      <c r="I66">
        <f t="shared" si="76"/>
        <v>6.6789112171271672</v>
      </c>
      <c r="AC66">
        <v>17</v>
      </c>
      <c r="AD66" s="10" t="s">
        <v>109</v>
      </c>
      <c r="AE66" s="8">
        <v>1949849</v>
      </c>
      <c r="AF66" s="63">
        <f t="shared" si="92"/>
        <v>1949849</v>
      </c>
      <c r="AG66" s="8">
        <f t="shared" si="93"/>
        <v>1907941.75</v>
      </c>
      <c r="AH66">
        <f t="shared" si="94"/>
        <v>2.4340683395252016</v>
      </c>
      <c r="AI66" s="8">
        <f t="shared" si="95"/>
        <v>2.4850137789542917</v>
      </c>
      <c r="AJ66">
        <f t="shared" si="104"/>
        <v>2.2106724294480715</v>
      </c>
      <c r="AK66" s="8">
        <f t="shared" si="105"/>
        <v>2.2149494994042196</v>
      </c>
      <c r="AL66" s="9">
        <f t="shared" si="87"/>
        <v>2.2106724294480715</v>
      </c>
      <c r="AM66" s="8">
        <f t="shared" si="88"/>
        <v>2.2149494994042196</v>
      </c>
      <c r="AN66">
        <f t="shared" si="106"/>
        <v>3.0396745904910984</v>
      </c>
      <c r="AO66" s="8">
        <f t="shared" si="106"/>
        <v>3.0455555616808021</v>
      </c>
      <c r="AP66">
        <f t="shared" si="107"/>
        <v>18.238047542946589</v>
      </c>
      <c r="AQ66" s="8">
        <f t="shared" si="107"/>
        <v>18.273333370084814</v>
      </c>
      <c r="AR66">
        <v>12.5</v>
      </c>
      <c r="AS66" s="8">
        <f t="shared" si="108"/>
        <v>75</v>
      </c>
      <c r="AT66">
        <f t="shared" si="109"/>
        <v>21.311115940921685</v>
      </c>
      <c r="AU66">
        <f t="shared" si="111"/>
        <v>426.22231881843368</v>
      </c>
      <c r="AW66">
        <f t="shared" si="111"/>
        <v>0</v>
      </c>
      <c r="AX66">
        <f t="shared" si="110"/>
        <v>21.352347347487722</v>
      </c>
      <c r="AY66">
        <f t="shared" si="90"/>
        <v>427.04694694975444</v>
      </c>
      <c r="BA66">
        <f t="shared" si="91"/>
        <v>0</v>
      </c>
      <c r="BC66" s="97" t="str">
        <f t="shared" si="38"/>
        <v>&lt; 0</v>
      </c>
      <c r="BD66" s="107">
        <f t="shared" si="39"/>
        <v>56.761952457053411</v>
      </c>
      <c r="BE66" s="97" t="str">
        <f t="shared" si="40"/>
        <v>&lt; 0</v>
      </c>
      <c r="BF66" s="97">
        <f t="shared" si="41"/>
        <v>56.726666629915186</v>
      </c>
      <c r="BI66" s="120" t="s">
        <v>182</v>
      </c>
      <c r="BJ66" s="121" t="s">
        <v>219</v>
      </c>
      <c r="BK66" s="121" t="s">
        <v>306</v>
      </c>
      <c r="BL66" s="122" t="s">
        <v>307</v>
      </c>
      <c r="BM66" s="121" t="s">
        <v>303</v>
      </c>
      <c r="BN66" s="122" t="s">
        <v>304</v>
      </c>
    </row>
    <row r="67" spans="1:66" x14ac:dyDescent="0.25">
      <c r="A67">
        <v>25</v>
      </c>
      <c r="B67" s="8" t="s">
        <v>84</v>
      </c>
      <c r="C67">
        <v>3435503</v>
      </c>
      <c r="D67" s="8">
        <v>3412430</v>
      </c>
      <c r="E67">
        <v>507701</v>
      </c>
      <c r="F67" s="8">
        <v>508098</v>
      </c>
      <c r="G67">
        <v>314956</v>
      </c>
      <c r="H67" s="8">
        <v>314956</v>
      </c>
      <c r="I67">
        <f t="shared" si="76"/>
        <v>6.7160862668225425</v>
      </c>
      <c r="AC67">
        <v>18</v>
      </c>
      <c r="AD67" s="10" t="s">
        <v>110</v>
      </c>
      <c r="AE67" s="8">
        <v>720683</v>
      </c>
      <c r="AF67" s="63">
        <f t="shared" si="92"/>
        <v>720683</v>
      </c>
      <c r="AG67" s="8">
        <f t="shared" si="93"/>
        <v>678775.75</v>
      </c>
      <c r="AH67">
        <f t="shared" si="94"/>
        <v>0.85171789598629588</v>
      </c>
      <c r="AI67" s="8">
        <f t="shared" si="95"/>
        <v>0.89960190331354906</v>
      </c>
      <c r="AJ67">
        <f t="shared" si="104"/>
        <v>0.62832198590916577</v>
      </c>
      <c r="AK67" s="8">
        <f t="shared" si="105"/>
        <v>0.62953762376347711</v>
      </c>
      <c r="AL67" s="9">
        <f t="shared" si="87"/>
        <v>0.62832198590916577</v>
      </c>
      <c r="AM67" s="8">
        <f t="shared" si="88"/>
        <v>0.62953762376347711</v>
      </c>
      <c r="AN67">
        <f t="shared" si="106"/>
        <v>0.86394273062510296</v>
      </c>
      <c r="AO67" s="8">
        <f t="shared" si="106"/>
        <v>0.86561423267478099</v>
      </c>
      <c r="AP67">
        <f t="shared" si="107"/>
        <v>5.183656383750618</v>
      </c>
      <c r="AQ67" s="8">
        <f t="shared" si="107"/>
        <v>5.1936853960486857</v>
      </c>
      <c r="AR67">
        <v>12.5</v>
      </c>
      <c r="AS67" s="8">
        <f t="shared" si="108"/>
        <v>75</v>
      </c>
      <c r="AT67">
        <f t="shared" si="109"/>
        <v>6.0570903728525138</v>
      </c>
      <c r="AU67">
        <f t="shared" si="111"/>
        <v>121.14180745705028</v>
      </c>
      <c r="AW67">
        <f t="shared" si="111"/>
        <v>0</v>
      </c>
      <c r="AX67">
        <f t="shared" si="110"/>
        <v>6.0688092502901219</v>
      </c>
      <c r="AY67">
        <f t="shared" si="90"/>
        <v>121.37618500580244</v>
      </c>
      <c r="BA67">
        <f t="shared" si="91"/>
        <v>0</v>
      </c>
      <c r="BC67" s="97" t="str">
        <f t="shared" si="38"/>
        <v>&lt; 0</v>
      </c>
      <c r="BD67" s="107">
        <f t="shared" si="39"/>
        <v>69.816343616249384</v>
      </c>
      <c r="BE67" s="97" t="str">
        <f t="shared" si="40"/>
        <v>&lt; 0</v>
      </c>
      <c r="BF67" s="97">
        <f t="shared" si="41"/>
        <v>69.806314603951307</v>
      </c>
      <c r="BI67" s="123" t="s">
        <v>169</v>
      </c>
      <c r="BJ67" s="21" t="s">
        <v>305</v>
      </c>
      <c r="BK67" s="21" t="s">
        <v>254</v>
      </c>
      <c r="BL67" s="124" t="s">
        <v>254</v>
      </c>
      <c r="BM67" s="125" t="s">
        <v>253</v>
      </c>
      <c r="BN67" s="126" t="s">
        <v>253</v>
      </c>
    </row>
    <row r="68" spans="1:66" x14ac:dyDescent="0.25">
      <c r="A68">
        <v>26</v>
      </c>
      <c r="B68" s="8" t="s">
        <v>85</v>
      </c>
      <c r="C68">
        <v>2755923</v>
      </c>
      <c r="D68" s="8">
        <v>2726658</v>
      </c>
      <c r="E68">
        <v>406671</v>
      </c>
      <c r="F68" s="8">
        <v>406671</v>
      </c>
      <c r="G68">
        <v>305324</v>
      </c>
      <c r="H68" s="8">
        <v>305324</v>
      </c>
      <c r="I68">
        <f t="shared" si="76"/>
        <v>6.704825276451972</v>
      </c>
      <c r="AC68" s="7">
        <v>19</v>
      </c>
      <c r="AD68" s="20" t="s">
        <v>111</v>
      </c>
      <c r="AE68" s="6">
        <v>699793</v>
      </c>
      <c r="AF68" s="63">
        <f t="shared" si="92"/>
        <v>699793</v>
      </c>
      <c r="AG68" s="8">
        <f t="shared" si="93"/>
        <v>657885.75</v>
      </c>
      <c r="AH68">
        <f t="shared" si="94"/>
        <v>0.82482543332012415</v>
      </c>
      <c r="AI68" s="8">
        <f t="shared" si="95"/>
        <v>0.87265741080225678</v>
      </c>
      <c r="AJ68">
        <f t="shared" si="104"/>
        <v>0.60142952324299404</v>
      </c>
      <c r="AK68" s="8">
        <f t="shared" si="105"/>
        <v>0.60259313125218483</v>
      </c>
      <c r="AL68" s="9">
        <f t="shared" si="87"/>
        <v>0.60142952324299404</v>
      </c>
      <c r="AM68" s="8">
        <f t="shared" si="88"/>
        <v>0.60259313125218483</v>
      </c>
      <c r="AN68">
        <f t="shared" si="106"/>
        <v>0.82696559445911677</v>
      </c>
      <c r="AO68" s="8">
        <f t="shared" si="106"/>
        <v>0.82856555547175414</v>
      </c>
      <c r="AP68">
        <f t="shared" si="107"/>
        <v>4.9617935667547002</v>
      </c>
      <c r="AQ68" s="8">
        <f t="shared" si="107"/>
        <v>4.9713933328305249</v>
      </c>
      <c r="AR68">
        <v>12.5</v>
      </c>
      <c r="AS68" s="8">
        <f t="shared" si="108"/>
        <v>75</v>
      </c>
      <c r="AT68">
        <f t="shared" si="109"/>
        <v>5.7978441895729853</v>
      </c>
      <c r="AU68">
        <f t="shared" si="111"/>
        <v>115.9568837914597</v>
      </c>
      <c r="AW68">
        <f t="shared" si="111"/>
        <v>0</v>
      </c>
      <c r="AX68">
        <f t="shared" si="110"/>
        <v>5.8090614938028313</v>
      </c>
      <c r="AY68">
        <f t="shared" si="90"/>
        <v>116.18122987605662</v>
      </c>
      <c r="BA68">
        <f t="shared" si="91"/>
        <v>0</v>
      </c>
      <c r="BC68" s="97" t="str">
        <f t="shared" si="38"/>
        <v>&lt; 0</v>
      </c>
      <c r="BD68" s="107">
        <f t="shared" si="39"/>
        <v>70.038206433245307</v>
      </c>
      <c r="BE68" s="97" t="str">
        <f t="shared" si="40"/>
        <v>&lt; 0</v>
      </c>
      <c r="BF68" s="97">
        <f t="shared" si="41"/>
        <v>70.02860666716947</v>
      </c>
      <c r="BI68" s="112" t="s">
        <v>281</v>
      </c>
      <c r="BJ68" s="13" t="s">
        <v>276</v>
      </c>
      <c r="BK68" s="40">
        <f>AVERAGE(AN59:AN62)</f>
        <v>6.3356406014975981</v>
      </c>
      <c r="BL68" s="40">
        <f>AVERAGE(AO59:AO62)</f>
        <v>6.2428718713783233</v>
      </c>
      <c r="BM68" s="40">
        <f>AVERAGE(AP59:AP62)</f>
        <v>50.685124811980785</v>
      </c>
      <c r="BN68" s="114">
        <f>AVERAGE(AQ59:AQ62)</f>
        <v>49.942974971026587</v>
      </c>
    </row>
    <row r="69" spans="1:66" x14ac:dyDescent="0.25">
      <c r="A69">
        <v>27</v>
      </c>
      <c r="B69" s="8" t="s">
        <v>86</v>
      </c>
      <c r="C69">
        <v>4208329</v>
      </c>
      <c r="D69" s="8">
        <v>4195581</v>
      </c>
      <c r="E69">
        <v>634607</v>
      </c>
      <c r="F69" s="8">
        <v>634607</v>
      </c>
      <c r="G69">
        <v>285140</v>
      </c>
      <c r="H69" s="8">
        <v>285140</v>
      </c>
      <c r="I69">
        <f>D69/F69</f>
        <v>6.6113058948293988</v>
      </c>
      <c r="AC69" s="7">
        <v>20</v>
      </c>
      <c r="AD69" s="6" t="s">
        <v>118</v>
      </c>
      <c r="AE69" s="6">
        <v>40579</v>
      </c>
      <c r="AF69" s="63">
        <f t="shared" si="92"/>
        <v>40579</v>
      </c>
      <c r="AG69" s="8">
        <f t="shared" si="93"/>
        <v>0</v>
      </c>
      <c r="AH69">
        <f t="shared" si="94"/>
        <v>0</v>
      </c>
      <c r="AI69" s="8">
        <f t="shared" si="95"/>
        <v>0</v>
      </c>
      <c r="AK69" s="8"/>
      <c r="AL69" s="9">
        <f t="shared" si="87"/>
        <v>0</v>
      </c>
      <c r="AM69" s="8">
        <f t="shared" si="88"/>
        <v>0</v>
      </c>
      <c r="AO69" s="8"/>
      <c r="AQ69" s="8"/>
      <c r="AR69">
        <v>0</v>
      </c>
      <c r="AS69" s="8">
        <f t="shared" si="108"/>
        <v>0</v>
      </c>
      <c r="AT69">
        <f t="shared" si="109"/>
        <v>0</v>
      </c>
      <c r="AU69">
        <f t="shared" si="111"/>
        <v>0</v>
      </c>
      <c r="AW69">
        <f t="shared" si="111"/>
        <v>0</v>
      </c>
      <c r="AX69">
        <f t="shared" si="110"/>
        <v>0</v>
      </c>
      <c r="AY69">
        <f t="shared" si="90"/>
        <v>0</v>
      </c>
      <c r="BA69">
        <f t="shared" si="91"/>
        <v>0</v>
      </c>
      <c r="BC69" s="97"/>
      <c r="BD69" s="107"/>
      <c r="BE69" s="97"/>
      <c r="BF69" s="97"/>
      <c r="BI69" s="112"/>
      <c r="BJ69" s="13"/>
      <c r="BK69" s="13"/>
      <c r="BL69" s="113"/>
      <c r="BM69" s="13"/>
      <c r="BN69" s="113"/>
    </row>
    <row r="70" spans="1:66" x14ac:dyDescent="0.25">
      <c r="AC70">
        <v>21</v>
      </c>
      <c r="AD70" s="88" t="s">
        <v>112</v>
      </c>
      <c r="AE70" s="88">
        <v>118898</v>
      </c>
      <c r="AF70" s="90">
        <f t="shared" si="92"/>
        <v>118898</v>
      </c>
      <c r="AG70" s="88">
        <f t="shared" si="93"/>
        <v>76990.75</v>
      </c>
      <c r="AH70" s="89">
        <f t="shared" si="94"/>
        <v>7.7018008692748469E-2</v>
      </c>
      <c r="AI70" s="88">
        <f t="shared" si="95"/>
        <v>0.12340317540986127</v>
      </c>
      <c r="AJ70" s="89">
        <f>IF(AVERAGE($AH$70:$AH$71)&gt;0,IF(AH70-MAX($AH$70:$AH$71)&lt;=0,0,AH70-MAX($AH$70:$AH$71)),AH70)</f>
        <v>0</v>
      </c>
      <c r="AK70" s="88">
        <f>IF(AVERAGE($AI$70:$AI$71)&gt;0,IF(AI70-MAX($AI$70:$AI$71)&lt;=0,0,AI70-MAX($AI$70:$AI$71)),AI70)</f>
        <v>0</v>
      </c>
      <c r="AL70" s="92">
        <f t="shared" si="87"/>
        <v>0</v>
      </c>
      <c r="AM70" s="88">
        <f t="shared" si="88"/>
        <v>0</v>
      </c>
      <c r="AN70" s="89">
        <f t="shared" si="106"/>
        <v>0</v>
      </c>
      <c r="AO70" s="88">
        <f t="shared" si="106"/>
        <v>0</v>
      </c>
      <c r="AP70" s="89">
        <f t="shared" si="107"/>
        <v>0</v>
      </c>
      <c r="AQ70" s="88">
        <f t="shared" si="107"/>
        <v>0</v>
      </c>
      <c r="AR70" s="89">
        <v>0</v>
      </c>
      <c r="AS70" s="88">
        <f t="shared" si="108"/>
        <v>0</v>
      </c>
      <c r="AT70" s="89">
        <f t="shared" si="109"/>
        <v>0</v>
      </c>
      <c r="AU70" s="89">
        <f t="shared" si="111"/>
        <v>0</v>
      </c>
      <c r="AV70" s="89"/>
      <c r="AW70" s="89">
        <f t="shared" si="111"/>
        <v>0</v>
      </c>
      <c r="AX70" s="89">
        <f t="shared" si="110"/>
        <v>0</v>
      </c>
      <c r="AY70" s="89">
        <f t="shared" si="90"/>
        <v>0</v>
      </c>
      <c r="AZ70" s="89"/>
      <c r="BA70" s="89">
        <f t="shared" si="91"/>
        <v>0</v>
      </c>
      <c r="BB70" s="89"/>
      <c r="BC70" s="102">
        <f t="shared" si="38"/>
        <v>0</v>
      </c>
      <c r="BD70" s="106">
        <f t="shared" si="39"/>
        <v>0</v>
      </c>
      <c r="BE70" s="102">
        <f t="shared" si="40"/>
        <v>0</v>
      </c>
      <c r="BF70" s="102">
        <f t="shared" si="41"/>
        <v>0</v>
      </c>
      <c r="BI70" s="112" t="s">
        <v>282</v>
      </c>
      <c r="BJ70" s="13" t="s">
        <v>277</v>
      </c>
      <c r="BK70" s="40">
        <f>AVERAGE(AN82:AN85)</f>
        <v>6.9908865475277757</v>
      </c>
      <c r="BL70" s="40">
        <f t="shared" ref="BL70:BN70" si="112">AVERAGE(AO82:AO85)</f>
        <v>6.933415618196574</v>
      </c>
      <c r="BM70" s="40">
        <f t="shared" si="112"/>
        <v>55.927092380222206</v>
      </c>
      <c r="BN70" s="114">
        <f t="shared" si="112"/>
        <v>55.467324945572592</v>
      </c>
    </row>
    <row r="71" spans="1:66" x14ac:dyDescent="0.25">
      <c r="AC71">
        <v>22</v>
      </c>
      <c r="AD71" s="88" t="s">
        <v>113</v>
      </c>
      <c r="AE71" s="88">
        <v>18766</v>
      </c>
      <c r="AF71" s="90">
        <f t="shared" si="92"/>
        <v>18766</v>
      </c>
      <c r="AG71" s="88">
        <f t="shared" si="93"/>
        <v>0</v>
      </c>
      <c r="AH71" s="89">
        <f t="shared" si="94"/>
        <v>0</v>
      </c>
      <c r="AI71" s="88">
        <f t="shared" si="95"/>
        <v>0</v>
      </c>
      <c r="AJ71" s="89">
        <f t="shared" ref="AJ71:AJ75" si="113">IF(AVERAGE($AH$70:$AH$71)&gt;0,IF(AH71-MAX($AH$70:$AH$71)&lt;=0,0,AH71-MAX($AH$70:$AH$71)),AH71)</f>
        <v>0</v>
      </c>
      <c r="AK71" s="88">
        <f t="shared" ref="AK71:AK75" si="114">IF(AVERAGE($AI$70:$AI$71)&gt;0,IF(AI71-MAX($AI$70:$AI$71)&lt;=0,0,AI71-MAX($AI$70:$AI$71)),AI71)</f>
        <v>0</v>
      </c>
      <c r="AL71" s="92">
        <f t="shared" si="87"/>
        <v>0</v>
      </c>
      <c r="AM71" s="88">
        <f t="shared" si="88"/>
        <v>0</v>
      </c>
      <c r="AN71" s="89">
        <f t="shared" si="106"/>
        <v>0</v>
      </c>
      <c r="AO71" s="88">
        <f t="shared" si="106"/>
        <v>0</v>
      </c>
      <c r="AP71" s="89">
        <f t="shared" si="107"/>
        <v>0</v>
      </c>
      <c r="AQ71" s="88">
        <f t="shared" si="107"/>
        <v>0</v>
      </c>
      <c r="AR71" s="89">
        <v>0</v>
      </c>
      <c r="AS71" s="88">
        <f t="shared" si="108"/>
        <v>0</v>
      </c>
      <c r="AT71" s="89">
        <f t="shared" si="109"/>
        <v>0</v>
      </c>
      <c r="AU71" s="89">
        <f t="shared" si="111"/>
        <v>0</v>
      </c>
      <c r="AV71" s="89"/>
      <c r="AW71" s="89">
        <f t="shared" si="111"/>
        <v>0</v>
      </c>
      <c r="AX71" s="89">
        <f t="shared" si="110"/>
        <v>0</v>
      </c>
      <c r="AY71" s="89">
        <f t="shared" si="90"/>
        <v>0</v>
      </c>
      <c r="AZ71" s="89"/>
      <c r="BA71" s="89">
        <f t="shared" si="91"/>
        <v>0</v>
      </c>
      <c r="BB71" s="89"/>
      <c r="BC71" s="102">
        <f t="shared" si="38"/>
        <v>0</v>
      </c>
      <c r="BD71" s="106">
        <f t="shared" si="39"/>
        <v>0</v>
      </c>
      <c r="BE71" s="102">
        <f t="shared" si="40"/>
        <v>0</v>
      </c>
      <c r="BF71" s="102">
        <f t="shared" si="41"/>
        <v>0</v>
      </c>
      <c r="BI71" s="112"/>
      <c r="BJ71" s="13"/>
      <c r="BK71" s="13"/>
      <c r="BL71" s="113"/>
      <c r="BM71" s="13"/>
      <c r="BN71" s="113"/>
    </row>
    <row r="72" spans="1:66" x14ac:dyDescent="0.25">
      <c r="AC72">
        <v>23</v>
      </c>
      <c r="AD72" s="10" t="s">
        <v>114</v>
      </c>
      <c r="AE72" s="8">
        <v>766173</v>
      </c>
      <c r="AF72" s="63">
        <f t="shared" si="92"/>
        <v>766173</v>
      </c>
      <c r="AG72" s="8">
        <f t="shared" si="93"/>
        <v>724265.75</v>
      </c>
      <c r="AH72">
        <f t="shared" si="94"/>
        <v>0.91027884029860595</v>
      </c>
      <c r="AI72" s="8">
        <f t="shared" si="95"/>
        <v>0.95827614765719138</v>
      </c>
      <c r="AJ72">
        <f t="shared" si="113"/>
        <v>0.83326083160585751</v>
      </c>
      <c r="AK72" s="8">
        <f t="shared" si="114"/>
        <v>0.83487297224733015</v>
      </c>
      <c r="AL72" s="9">
        <f t="shared" si="87"/>
        <v>0.83326083160585751</v>
      </c>
      <c r="AM72" s="8">
        <f t="shared" si="88"/>
        <v>0.83487297224733015</v>
      </c>
      <c r="AN72">
        <f t="shared" si="106"/>
        <v>1.1457336434580541</v>
      </c>
      <c r="AO72" s="8">
        <f t="shared" si="106"/>
        <v>1.147950336840079</v>
      </c>
      <c r="AP72">
        <f t="shared" si="107"/>
        <v>6.8744018607483248</v>
      </c>
      <c r="AQ72" s="8">
        <f t="shared" si="107"/>
        <v>6.8877020210404734</v>
      </c>
      <c r="AR72">
        <v>12.5</v>
      </c>
      <c r="AS72" s="8">
        <f t="shared" si="108"/>
        <v>75</v>
      </c>
      <c r="AT72">
        <f t="shared" si="109"/>
        <v>8.032722512314832</v>
      </c>
      <c r="AU72">
        <f t="shared" si="111"/>
        <v>160.65445024629665</v>
      </c>
      <c r="AW72">
        <f t="shared" si="111"/>
        <v>0</v>
      </c>
      <c r="AX72">
        <f t="shared" si="110"/>
        <v>8.0482637185405217</v>
      </c>
      <c r="AY72">
        <f t="shared" si="90"/>
        <v>160.96527437081045</v>
      </c>
      <c r="BA72">
        <f t="shared" si="91"/>
        <v>0</v>
      </c>
      <c r="BC72" s="97" t="str">
        <f t="shared" si="38"/>
        <v>&lt; 0</v>
      </c>
      <c r="BD72" s="107">
        <f t="shared" si="39"/>
        <v>68.125598139251679</v>
      </c>
      <c r="BE72" s="97" t="str">
        <f t="shared" si="40"/>
        <v>&lt; 0</v>
      </c>
      <c r="BF72" s="97">
        <f t="shared" si="41"/>
        <v>68.112297978959532</v>
      </c>
      <c r="BI72" s="112" t="s">
        <v>278</v>
      </c>
      <c r="BJ72" s="13" t="s">
        <v>276</v>
      </c>
      <c r="BK72" s="40">
        <f>AVERAGE(AN39:AN44)</f>
        <v>7.3980679318555351</v>
      </c>
      <c r="BL72" s="40">
        <f t="shared" ref="BL72:BN72" si="115">AVERAGE(AO39:AO44)</f>
        <v>7.4764899185118772</v>
      </c>
      <c r="BM72" s="40">
        <f t="shared" si="115"/>
        <v>59.184543454844281</v>
      </c>
      <c r="BN72" s="114">
        <f t="shared" si="115"/>
        <v>59.811919348095017</v>
      </c>
    </row>
    <row r="73" spans="1:66" x14ac:dyDescent="0.25">
      <c r="A73" t="s">
        <v>91</v>
      </c>
      <c r="AC73">
        <v>24</v>
      </c>
      <c r="AD73" s="10" t="s">
        <v>115</v>
      </c>
      <c r="AE73" s="8">
        <v>694324</v>
      </c>
      <c r="AF73" s="63">
        <f t="shared" si="92"/>
        <v>694324</v>
      </c>
      <c r="AG73" s="8">
        <f t="shared" si="93"/>
        <v>652416.75</v>
      </c>
      <c r="AH73">
        <f t="shared" si="94"/>
        <v>0.81778498916879361</v>
      </c>
      <c r="AI73" s="8">
        <f t="shared" si="95"/>
        <v>0.86560334524245508</v>
      </c>
      <c r="AJ73">
        <f t="shared" si="113"/>
        <v>0.74076698047604517</v>
      </c>
      <c r="AK73" s="8">
        <f t="shared" si="114"/>
        <v>0.74220016983259385</v>
      </c>
      <c r="AL73" s="9">
        <f t="shared" si="87"/>
        <v>0.74076698047604517</v>
      </c>
      <c r="AM73" s="8">
        <f t="shared" si="88"/>
        <v>0.74220016983259385</v>
      </c>
      <c r="AN73">
        <f t="shared" si="106"/>
        <v>1.0185545981545621</v>
      </c>
      <c r="AO73" s="8">
        <f t="shared" si="106"/>
        <v>1.0205252335198165</v>
      </c>
      <c r="AP73">
        <f t="shared" si="107"/>
        <v>6.1113275889273719</v>
      </c>
      <c r="AQ73" s="8">
        <f t="shared" si="107"/>
        <v>6.123151401118899</v>
      </c>
      <c r="AR73">
        <v>12.5</v>
      </c>
      <c r="AS73" s="8">
        <f t="shared" si="108"/>
        <v>75</v>
      </c>
      <c r="AT73">
        <f t="shared" si="109"/>
        <v>7.1410720086072761</v>
      </c>
      <c r="AU73">
        <f t="shared" si="111"/>
        <v>142.82144017214551</v>
      </c>
      <c r="AW73">
        <f t="shared" si="111"/>
        <v>0</v>
      </c>
      <c r="AX73">
        <f t="shared" si="110"/>
        <v>7.1548881055268589</v>
      </c>
      <c r="AY73">
        <f t="shared" si="90"/>
        <v>143.09776211053719</v>
      </c>
      <c r="BA73">
        <f t="shared" si="91"/>
        <v>0</v>
      </c>
      <c r="BC73" s="97" t="str">
        <f t="shared" si="38"/>
        <v>&lt; 0</v>
      </c>
      <c r="BD73" s="107">
        <f t="shared" si="39"/>
        <v>68.888672411072633</v>
      </c>
      <c r="BE73" s="97" t="str">
        <f t="shared" si="40"/>
        <v>&lt; 0</v>
      </c>
      <c r="BF73" s="97">
        <f t="shared" si="41"/>
        <v>68.876848598881097</v>
      </c>
      <c r="BI73" s="112"/>
      <c r="BJ73" s="13"/>
      <c r="BK73" s="13"/>
      <c r="BL73" s="113"/>
      <c r="BM73" s="13"/>
      <c r="BN73" s="113"/>
    </row>
    <row r="74" spans="1:66" x14ac:dyDescent="0.25">
      <c r="A74" t="s">
        <v>92</v>
      </c>
      <c r="AC74">
        <v>25</v>
      </c>
      <c r="AD74" s="10" t="s">
        <v>116</v>
      </c>
      <c r="AE74" s="8">
        <v>545029</v>
      </c>
      <c r="AF74" s="63">
        <f t="shared" si="92"/>
        <v>545029</v>
      </c>
      <c r="AG74" s="8">
        <f t="shared" si="93"/>
        <v>503121.75</v>
      </c>
      <c r="AH74">
        <f t="shared" si="94"/>
        <v>0.62559206366634645</v>
      </c>
      <c r="AI74" s="8">
        <f t="shared" si="95"/>
        <v>0.67303857695746783</v>
      </c>
      <c r="AJ74">
        <f t="shared" si="113"/>
        <v>0.54857405497359801</v>
      </c>
      <c r="AK74" s="8">
        <f t="shared" si="114"/>
        <v>0.54963540154760659</v>
      </c>
      <c r="AL74" s="9">
        <f t="shared" si="87"/>
        <v>0.54857405497359801</v>
      </c>
      <c r="AM74" s="8">
        <f t="shared" si="88"/>
        <v>0.54963540154760659</v>
      </c>
      <c r="AN74">
        <f t="shared" si="106"/>
        <v>0.75428932558869732</v>
      </c>
      <c r="AO74" s="8">
        <f t="shared" si="106"/>
        <v>0.75574867712795912</v>
      </c>
      <c r="AP74">
        <f t="shared" si="107"/>
        <v>4.5257359535321839</v>
      </c>
      <c r="AQ74" s="8">
        <f t="shared" si="107"/>
        <v>4.5344920627677547</v>
      </c>
      <c r="AR74">
        <v>12.5</v>
      </c>
      <c r="AS74" s="8">
        <f t="shared" si="108"/>
        <v>75</v>
      </c>
      <c r="AT74">
        <f t="shared" si="109"/>
        <v>5.2883118873666248</v>
      </c>
      <c r="AU74">
        <f t="shared" si="111"/>
        <v>105.7662377473325</v>
      </c>
      <c r="AW74">
        <f t="shared" si="111"/>
        <v>0</v>
      </c>
      <c r="AX74">
        <f t="shared" si="110"/>
        <v>5.2985433805498294</v>
      </c>
      <c r="AY74">
        <f t="shared" si="90"/>
        <v>105.97086761099659</v>
      </c>
      <c r="BA74">
        <f t="shared" si="91"/>
        <v>0</v>
      </c>
      <c r="BC74" s="97" t="str">
        <f t="shared" si="38"/>
        <v>&lt; 0</v>
      </c>
      <c r="BD74" s="107">
        <f t="shared" si="39"/>
        <v>70.474264046467823</v>
      </c>
      <c r="BE74" s="97" t="str">
        <f t="shared" si="40"/>
        <v>&lt; 0</v>
      </c>
      <c r="BF74" s="97">
        <f t="shared" si="41"/>
        <v>70.465507937232246</v>
      </c>
      <c r="BI74" s="112" t="s">
        <v>279</v>
      </c>
      <c r="BJ74" s="13" t="s">
        <v>277</v>
      </c>
      <c r="BK74" s="40">
        <f>AVERAGE(AN47:AN52)</f>
        <v>7.4678692412135588</v>
      </c>
      <c r="BL74" s="40">
        <f t="shared" ref="BL74:BN74" si="116">AVERAGE(AO47:AO52)</f>
        <v>7.4975469823789531</v>
      </c>
      <c r="BM74" s="40">
        <f t="shared" si="116"/>
        <v>59.74295392970847</v>
      </c>
      <c r="BN74" s="114">
        <f t="shared" si="116"/>
        <v>59.980375859031625</v>
      </c>
    </row>
    <row r="75" spans="1:66" x14ac:dyDescent="0.25">
      <c r="A75" t="s">
        <v>2</v>
      </c>
      <c r="AC75">
        <v>26</v>
      </c>
      <c r="AD75" s="10" t="s">
        <v>117</v>
      </c>
      <c r="AE75" s="8">
        <v>440541</v>
      </c>
      <c r="AF75" s="63">
        <f t="shared" si="92"/>
        <v>440541</v>
      </c>
      <c r="AG75" s="8">
        <f t="shared" si="93"/>
        <v>398633.75</v>
      </c>
      <c r="AH75">
        <f t="shared" si="94"/>
        <v>0.4910808315427006</v>
      </c>
      <c r="AI75" s="8">
        <f t="shared" si="95"/>
        <v>0.5382671009632165</v>
      </c>
      <c r="AJ75">
        <f t="shared" si="113"/>
        <v>0.41406282284995211</v>
      </c>
      <c r="AK75" s="8">
        <f t="shared" si="114"/>
        <v>0.41486392555335522</v>
      </c>
      <c r="AL75" s="9">
        <f t="shared" si="87"/>
        <v>0.41406282284995211</v>
      </c>
      <c r="AM75" s="8">
        <f t="shared" si="88"/>
        <v>0.41486392555335522</v>
      </c>
      <c r="AN75">
        <f t="shared" si="106"/>
        <v>0.56933638141868415</v>
      </c>
      <c r="AO75" s="8">
        <f t="shared" si="106"/>
        <v>0.57043789763586339</v>
      </c>
      <c r="AP75">
        <f t="shared" si="107"/>
        <v>3.4160182885121051</v>
      </c>
      <c r="AQ75" s="8">
        <f t="shared" si="107"/>
        <v>3.4226273858151801</v>
      </c>
      <c r="AR75">
        <v>12.5</v>
      </c>
      <c r="AS75" s="8">
        <f t="shared" si="108"/>
        <v>75</v>
      </c>
      <c r="AT75">
        <f t="shared" si="109"/>
        <v>3.9916093886346284</v>
      </c>
      <c r="AU75">
        <f t="shared" si="111"/>
        <v>79.832187772692563</v>
      </c>
      <c r="AW75">
        <f t="shared" si="111"/>
        <v>0</v>
      </c>
      <c r="AX75">
        <f t="shared" si="110"/>
        <v>3.9993321033911835</v>
      </c>
      <c r="AY75">
        <f t="shared" si="90"/>
        <v>79.986642067823666</v>
      </c>
      <c r="BA75">
        <f t="shared" si="91"/>
        <v>0</v>
      </c>
      <c r="BC75" s="97" t="str">
        <f t="shared" si="38"/>
        <v>&lt; 0</v>
      </c>
      <c r="BD75" s="107">
        <f t="shared" si="39"/>
        <v>71.583981711487894</v>
      </c>
      <c r="BE75" s="97" t="str">
        <f t="shared" si="40"/>
        <v>&lt; 0</v>
      </c>
      <c r="BF75" s="97">
        <f t="shared" si="41"/>
        <v>71.577372614184824</v>
      </c>
      <c r="BI75" s="112"/>
      <c r="BJ75" s="13"/>
      <c r="BK75" s="13"/>
      <c r="BL75" s="113"/>
      <c r="BM75" s="13"/>
      <c r="BN75" s="113"/>
    </row>
    <row r="76" spans="1:66" x14ac:dyDescent="0.25">
      <c r="A76" t="s">
        <v>4</v>
      </c>
      <c r="AX76" s="13"/>
      <c r="BC76" s="108"/>
      <c r="BD76" s="108"/>
      <c r="BE76" s="108"/>
      <c r="BF76" s="108"/>
      <c r="BI76" s="127" t="s">
        <v>170</v>
      </c>
      <c r="BJ76" s="7"/>
      <c r="BK76" s="7"/>
      <c r="BL76" s="128"/>
      <c r="BM76" s="7"/>
      <c r="BN76" s="128"/>
    </row>
    <row r="77" spans="1:66" x14ac:dyDescent="0.25">
      <c r="A77" s="1"/>
      <c r="B77" s="2"/>
      <c r="C77" t="s">
        <v>8</v>
      </c>
      <c r="E77" t="s">
        <v>9</v>
      </c>
      <c r="F77" s="8"/>
      <c r="G77" t="s">
        <v>6</v>
      </c>
      <c r="H77" s="8"/>
      <c r="I77" s="63" t="s">
        <v>210</v>
      </c>
      <c r="AC77" s="75">
        <v>44395</v>
      </c>
      <c r="AX77" s="13"/>
      <c r="BC77" s="108"/>
      <c r="BD77" s="108"/>
      <c r="BE77" s="108"/>
      <c r="BF77" s="108"/>
      <c r="BI77" s="112" t="s">
        <v>284</v>
      </c>
      <c r="BJ77" s="13" t="s">
        <v>276</v>
      </c>
      <c r="BK77" s="40">
        <f>AVERAGE(AN65:AN68)</f>
        <v>1.7205267633408692</v>
      </c>
      <c r="BL77" s="40">
        <f t="shared" ref="BL77:BN77" si="117">AVERAGE(AO65:AO68)</f>
        <v>1.7238555302944021</v>
      </c>
      <c r="BM77" s="40">
        <f t="shared" si="117"/>
        <v>10.323160580045213</v>
      </c>
      <c r="BN77" s="114">
        <f t="shared" si="117"/>
        <v>10.343133181766413</v>
      </c>
    </row>
    <row r="78" spans="1:66" x14ac:dyDescent="0.25">
      <c r="A78" s="5" t="s">
        <v>11</v>
      </c>
      <c r="B78" s="6" t="s">
        <v>12</v>
      </c>
      <c r="C78" s="7" t="s">
        <v>16</v>
      </c>
      <c r="D78" s="6" t="s">
        <v>17</v>
      </c>
      <c r="E78" s="7" t="s">
        <v>18</v>
      </c>
      <c r="F78" s="6" t="s">
        <v>19</v>
      </c>
      <c r="G78" s="7" t="s">
        <v>14</v>
      </c>
      <c r="H78" s="6" t="s">
        <v>15</v>
      </c>
      <c r="I78" s="23" t="s">
        <v>211</v>
      </c>
      <c r="AC78" s="13" t="s">
        <v>11</v>
      </c>
      <c r="AX78" s="13"/>
      <c r="BC78" s="108"/>
      <c r="BD78" s="108"/>
      <c r="BE78" s="108"/>
      <c r="BF78" s="108"/>
      <c r="BI78" s="112"/>
      <c r="BJ78" s="13"/>
      <c r="BK78" s="13"/>
      <c r="BL78" s="113"/>
      <c r="BM78" s="13"/>
      <c r="BN78" s="113"/>
    </row>
    <row r="79" spans="1:66" x14ac:dyDescent="0.25">
      <c r="A79">
        <v>1</v>
      </c>
      <c r="B79" s="4" t="s">
        <v>93</v>
      </c>
      <c r="D79" s="4">
        <v>17881</v>
      </c>
      <c r="F79" s="4"/>
      <c r="H79" s="64">
        <v>68853</v>
      </c>
      <c r="AC79">
        <v>1</v>
      </c>
      <c r="AD79" s="4" t="s">
        <v>121</v>
      </c>
      <c r="AE79" s="4">
        <v>15880</v>
      </c>
      <c r="AF79" s="63">
        <f>IF(AE79&lt;=0,0,AE79*((28427.929*AC79+316209.399)/(28427.929*AC79+316209.399)))</f>
        <v>15880</v>
      </c>
      <c r="AG79" s="8">
        <f>IF(AVERAGE($AF$79:$AF$81,$AF$92)&gt;0,IF(AF79-AVERAGE($AF$79:$AF$81,$AF$92)&lt;=0,0,AF79-AVERAGE($AF$79:$AF$81,$AF$92)),AF79)</f>
        <v>0</v>
      </c>
      <c r="AH79">
        <f>IF(AG79&lt;=0,0,(AG79-150277.947)/586305.168)</f>
        <v>0</v>
      </c>
      <c r="AI79" s="8">
        <f>IF(AG79&lt;=0,0,(AG79-102198.613)/584241.66)</f>
        <v>0</v>
      </c>
      <c r="AK79" s="8"/>
      <c r="AL79" s="9">
        <f t="shared" ref="AL79:AL98" si="118">IF(AJ79&lt;=0,0,AJ79)</f>
        <v>0</v>
      </c>
      <c r="AM79" s="8">
        <f t="shared" ref="AM79:AM98" si="119">IF(AK79&lt;=0,0,AK79)</f>
        <v>0</v>
      </c>
      <c r="AO79" s="8"/>
      <c r="AQ79" s="8"/>
      <c r="AR79">
        <v>0</v>
      </c>
      <c r="AS79" s="8">
        <f t="shared" ref="AS79:AS85" si="120">AR79*$AN$2</f>
        <v>0</v>
      </c>
      <c r="AU79">
        <f t="shared" ref="AU79:AW94" si="121">AT79*$AS$1</f>
        <v>0</v>
      </c>
      <c r="AW79">
        <f t="shared" si="121"/>
        <v>0</v>
      </c>
      <c r="AY79">
        <f t="shared" ref="AY79:AY98" si="122">AX79*$AS$1</f>
        <v>0</v>
      </c>
      <c r="BA79">
        <f t="shared" ref="BA79:BA98" si="123">AZ79*$AS$1</f>
        <v>0</v>
      </c>
      <c r="BC79" s="97">
        <f t="shared" ref="BC79:BC98" si="124">IF(AS79-(AP79+AU79)&lt;0,$BG$1,AS79-(AP79+AU79))</f>
        <v>0</v>
      </c>
      <c r="BD79" s="107">
        <f t="shared" ref="BD79:BD98" si="125">IF(AS79-(AP79+AW79)&lt;0,$BG$1,AS79-(AP79+AW79))</f>
        <v>0</v>
      </c>
      <c r="BE79" s="97">
        <f t="shared" ref="BE79:BE98" si="126">IF(AS79-(AQ79+AY79)&lt;0,$BG$1,AS79-(AQ79+AY79))</f>
        <v>0</v>
      </c>
      <c r="BF79" s="97">
        <f t="shared" ref="BF79:BF98" si="127">IF(AS79-(AQ79+BA79)&lt;0,$BG$1,AS79-(AQ79+BA79))</f>
        <v>0</v>
      </c>
      <c r="BI79" s="112" t="s">
        <v>285</v>
      </c>
      <c r="BJ79" s="13" t="s">
        <v>277</v>
      </c>
      <c r="BK79" s="40">
        <f>AVERAGE(AN72:AN75)</f>
        <v>0.87197848715499937</v>
      </c>
      <c r="BL79" s="40">
        <f t="shared" ref="BL79:BN79" si="128">AVERAGE(AO72:AO75)</f>
        <v>0.87366553628092947</v>
      </c>
      <c r="BM79" s="40">
        <f t="shared" si="128"/>
        <v>5.2318709229299962</v>
      </c>
      <c r="BN79" s="114">
        <f t="shared" si="128"/>
        <v>5.2419932176855761</v>
      </c>
    </row>
    <row r="80" spans="1:66" x14ac:dyDescent="0.25">
      <c r="A80">
        <v>2</v>
      </c>
      <c r="B80" s="8" t="s">
        <v>94</v>
      </c>
      <c r="D80" s="8">
        <v>29907</v>
      </c>
      <c r="F80" s="8"/>
      <c r="H80" s="65">
        <v>81970</v>
      </c>
      <c r="AC80">
        <v>2</v>
      </c>
      <c r="AD80" s="8" t="s">
        <v>122</v>
      </c>
      <c r="AE80" s="8">
        <v>24957</v>
      </c>
      <c r="AF80" s="63">
        <f t="shared" ref="AF80:AF98" si="129">IF(AE80&lt;=0,0,AE80*((28427.929*AC80+316209.399)/(28427.929*AC80+316209.399)))</f>
        <v>24957</v>
      </c>
      <c r="AG80" s="8">
        <f t="shared" ref="AG80:AG98" si="130">IF(AVERAGE($AF$79:$AF$81,$AF$92)&gt;0,IF(AF80-AVERAGE($AF$79:$AF$81,$AF$92)&lt;=0,0,AF80-AVERAGE($AF$79:$AF$81,$AF$92)),AF80)</f>
        <v>0</v>
      </c>
      <c r="AH80">
        <f t="shared" ref="AH80:AH98" si="131">IF(AG80&lt;=0,0,(AG80-150277.947)/586305.168)</f>
        <v>0</v>
      </c>
      <c r="AI80" s="8">
        <f t="shared" ref="AI80:AI98" si="132">IF(AG80&lt;=0,0,(AG80-102198.613)/584241.66)</f>
        <v>0</v>
      </c>
      <c r="AK80" s="8"/>
      <c r="AL80" s="9">
        <f t="shared" si="118"/>
        <v>0</v>
      </c>
      <c r="AM80" s="8">
        <f t="shared" si="119"/>
        <v>0</v>
      </c>
      <c r="AO80" s="8"/>
      <c r="AQ80" s="8"/>
      <c r="AR80">
        <v>0</v>
      </c>
      <c r="AS80" s="8">
        <f t="shared" si="120"/>
        <v>0</v>
      </c>
      <c r="AU80">
        <f t="shared" si="121"/>
        <v>0</v>
      </c>
      <c r="AW80">
        <f t="shared" si="121"/>
        <v>0</v>
      </c>
      <c r="AY80">
        <f t="shared" si="122"/>
        <v>0</v>
      </c>
      <c r="BA80">
        <f t="shared" si="123"/>
        <v>0</v>
      </c>
      <c r="BC80" s="97">
        <f t="shared" si="124"/>
        <v>0</v>
      </c>
      <c r="BD80" s="107">
        <f t="shared" si="125"/>
        <v>0</v>
      </c>
      <c r="BE80" s="97">
        <f t="shared" si="126"/>
        <v>0</v>
      </c>
      <c r="BF80" s="97">
        <f t="shared" si="127"/>
        <v>0</v>
      </c>
      <c r="BI80" s="112"/>
      <c r="BJ80" s="13"/>
      <c r="BK80" s="13"/>
      <c r="BL80" s="113"/>
      <c r="BM80" s="13"/>
      <c r="BN80" s="113"/>
    </row>
    <row r="81" spans="1:66" x14ac:dyDescent="0.25">
      <c r="A81">
        <v>3</v>
      </c>
      <c r="B81" s="8" t="s">
        <v>95</v>
      </c>
      <c r="D81" s="8">
        <v>165906</v>
      </c>
      <c r="F81" s="8">
        <v>25418</v>
      </c>
      <c r="G81">
        <v>576197</v>
      </c>
      <c r="H81" s="8">
        <v>574171</v>
      </c>
      <c r="I81">
        <f t="shared" ref="I81:I104" si="133">D81/F81</f>
        <v>6.5271067747265716</v>
      </c>
      <c r="AC81">
        <v>9</v>
      </c>
      <c r="AD81" s="6" t="s">
        <v>129</v>
      </c>
      <c r="AE81" s="6">
        <v>105093</v>
      </c>
      <c r="AF81" s="63">
        <f t="shared" si="129"/>
        <v>105093</v>
      </c>
      <c r="AG81" s="8">
        <f t="shared" si="130"/>
        <v>44681.75</v>
      </c>
      <c r="AH81">
        <f t="shared" si="131"/>
        <v>-0.18010449636698408</v>
      </c>
      <c r="AI81" s="8">
        <f t="shared" si="132"/>
        <v>-9.8447041588920578E-2</v>
      </c>
      <c r="AK81" s="8"/>
      <c r="AL81" s="9">
        <f t="shared" si="118"/>
        <v>0</v>
      </c>
      <c r="AM81" s="8">
        <f t="shared" si="119"/>
        <v>0</v>
      </c>
      <c r="AO81" s="8"/>
      <c r="AQ81" s="8"/>
      <c r="AR81">
        <v>0</v>
      </c>
      <c r="AS81" s="8">
        <f t="shared" si="120"/>
        <v>0</v>
      </c>
      <c r="AU81">
        <f t="shared" si="121"/>
        <v>0</v>
      </c>
      <c r="AW81">
        <f t="shared" si="121"/>
        <v>0</v>
      </c>
      <c r="AY81">
        <f t="shared" si="122"/>
        <v>0</v>
      </c>
      <c r="BA81">
        <f t="shared" si="123"/>
        <v>0</v>
      </c>
      <c r="BC81" s="97">
        <f t="shared" si="124"/>
        <v>0</v>
      </c>
      <c r="BD81" s="107">
        <f t="shared" si="125"/>
        <v>0</v>
      </c>
      <c r="BE81" s="97">
        <f t="shared" si="126"/>
        <v>0</v>
      </c>
      <c r="BF81" s="97">
        <f t="shared" si="127"/>
        <v>0</v>
      </c>
      <c r="BI81" s="127" t="s">
        <v>171</v>
      </c>
      <c r="BJ81" s="7"/>
      <c r="BK81" s="7"/>
      <c r="BL81" s="128"/>
      <c r="BM81" s="7"/>
      <c r="BN81" s="128"/>
    </row>
    <row r="82" spans="1:66" x14ac:dyDescent="0.25">
      <c r="A82">
        <v>4</v>
      </c>
      <c r="B82" s="8" t="s">
        <v>96</v>
      </c>
      <c r="C82">
        <v>184189</v>
      </c>
      <c r="D82" s="8">
        <v>185386</v>
      </c>
      <c r="F82" s="8">
        <v>29464</v>
      </c>
      <c r="G82">
        <v>372262</v>
      </c>
      <c r="H82" s="8">
        <v>372262</v>
      </c>
      <c r="I82">
        <f t="shared" si="133"/>
        <v>6.2919494976920989</v>
      </c>
      <c r="AC82">
        <v>10</v>
      </c>
      <c r="AD82" s="10" t="s">
        <v>130</v>
      </c>
      <c r="AE82" s="8">
        <v>2287282</v>
      </c>
      <c r="AF82" s="63">
        <f t="shared" si="129"/>
        <v>2287282</v>
      </c>
      <c r="AG82" s="8">
        <f t="shared" si="130"/>
        <v>2226870.75</v>
      </c>
      <c r="AH82">
        <f t="shared" si="131"/>
        <v>3.5418292662908955</v>
      </c>
      <c r="AI82" s="8">
        <f t="shared" si="132"/>
        <v>3.6366323774309417</v>
      </c>
      <c r="AJ82">
        <f t="shared" ref="AJ82:AJ85" si="134">IF(AVERAGE($AH$21,$AH$37,$AH$45)&gt;0,IF(AH82-MAX($AH$21,$AH$37,$AH$45)&lt;=0,0,AH82-MAX($AH$21,$AH$37,$AH$45)),AH82)</f>
        <v>3.2828432374633381</v>
      </c>
      <c r="AK82" s="8">
        <f t="shared" ref="AK82:AK85" si="135">IF(AVERAGE($AI$21,$AI$37,$AI$45)&gt;0,IF(AI82-MAX($AI$21,$AI$37,$AI$45)&lt;=0,0,AI82-MAX($AI$21,$AI$37,$AI$45)),AI82)</f>
        <v>3.2533568816755487</v>
      </c>
      <c r="AL82" s="9">
        <f t="shared" si="118"/>
        <v>3.2828432374633381</v>
      </c>
      <c r="AM82" s="8">
        <f t="shared" si="119"/>
        <v>3.2533568816755487</v>
      </c>
      <c r="AN82">
        <f t="shared" ref="AN82:AO85" si="136">AL82*$AN$5</f>
        <v>6.5656864749266761</v>
      </c>
      <c r="AO82" s="8">
        <f t="shared" si="136"/>
        <v>6.5067137633510974</v>
      </c>
      <c r="AP82">
        <f>AN82*$AN$2</f>
        <v>52.525491799413409</v>
      </c>
      <c r="AQ82" s="8">
        <f>AO82*$AN$2</f>
        <v>52.053710106808779</v>
      </c>
      <c r="AR82">
        <v>12.5</v>
      </c>
      <c r="AS82" s="8">
        <f t="shared" si="120"/>
        <v>100</v>
      </c>
      <c r="AT82">
        <f t="shared" ref="AT82:AT85" si="137">$AV$2*AN82</f>
        <v>3.2775678274841891</v>
      </c>
      <c r="AU82">
        <f t="shared" si="121"/>
        <v>65.551356549683788</v>
      </c>
      <c r="AV82">
        <f t="shared" ref="AV82:AV85" si="138">$AY$2*(AN82^$AZ$2)</f>
        <v>2.371544146026654</v>
      </c>
      <c r="AW82">
        <f t="shared" si="121"/>
        <v>47.43088292053308</v>
      </c>
      <c r="AX82">
        <f t="shared" ref="AX82:AX85" si="139">$AV$2*AO82</f>
        <v>3.2481288552003682</v>
      </c>
      <c r="AY82">
        <f t="shared" si="122"/>
        <v>64.962577104007366</v>
      </c>
      <c r="AZ82">
        <f>$AY$2*(AO82^$AZ$2)</f>
        <v>2.3583233392312799</v>
      </c>
      <c r="BA82">
        <f t="shared" si="123"/>
        <v>47.166466784625598</v>
      </c>
      <c r="BC82" s="97" t="str">
        <f t="shared" si="124"/>
        <v>&lt; 0</v>
      </c>
      <c r="BD82" s="107">
        <f t="shared" si="125"/>
        <v>4.3625280053504412E-2</v>
      </c>
      <c r="BE82" s="97" t="str">
        <f t="shared" si="126"/>
        <v>&lt; 0</v>
      </c>
      <c r="BF82" s="97">
        <f t="shared" si="127"/>
        <v>0.77982310856562265</v>
      </c>
      <c r="BI82" s="112" t="s">
        <v>286</v>
      </c>
      <c r="BJ82" s="13" t="s">
        <v>276</v>
      </c>
      <c r="BK82" s="40">
        <f>AVERAGE(AN88:AN91)</f>
        <v>5.515716774306175</v>
      </c>
      <c r="BL82" s="40">
        <f t="shared" ref="BL82:BN82" si="140">AVERAGE(AO88:AO91)</f>
        <v>5.5351979692786717</v>
      </c>
      <c r="BM82" s="40">
        <f t="shared" si="140"/>
        <v>33.094300645837052</v>
      </c>
      <c r="BN82" s="114">
        <f t="shared" si="140"/>
        <v>33.211187815672034</v>
      </c>
    </row>
    <row r="83" spans="1:66" x14ac:dyDescent="0.25">
      <c r="A83">
        <v>5</v>
      </c>
      <c r="B83" s="8" t="s">
        <v>97</v>
      </c>
      <c r="C83">
        <v>1866416</v>
      </c>
      <c r="D83" s="8">
        <v>1864943</v>
      </c>
      <c r="E83">
        <v>173270</v>
      </c>
      <c r="F83" s="8">
        <v>278286</v>
      </c>
      <c r="G83">
        <v>422091</v>
      </c>
      <c r="H83" s="8">
        <v>422091</v>
      </c>
      <c r="I83">
        <f t="shared" si="133"/>
        <v>6.7015336739900677</v>
      </c>
      <c r="AC83">
        <v>11</v>
      </c>
      <c r="AD83" s="10" t="s">
        <v>131</v>
      </c>
      <c r="AE83" s="8">
        <v>2168216</v>
      </c>
      <c r="AF83" s="63">
        <f t="shared" si="129"/>
        <v>2168216</v>
      </c>
      <c r="AG83" s="8">
        <f t="shared" si="130"/>
        <v>2107804.75</v>
      </c>
      <c r="AH83">
        <f t="shared" si="131"/>
        <v>3.3387507220471919</v>
      </c>
      <c r="AI83" s="8">
        <f t="shared" si="132"/>
        <v>3.4328365714283366</v>
      </c>
      <c r="AJ83">
        <f t="shared" si="134"/>
        <v>3.0797646932196345</v>
      </c>
      <c r="AK83" s="8">
        <f t="shared" si="135"/>
        <v>3.0495610756729441</v>
      </c>
      <c r="AL83" s="9">
        <f t="shared" si="118"/>
        <v>3.0797646932196345</v>
      </c>
      <c r="AM83" s="8">
        <f t="shared" si="119"/>
        <v>3.0495610756729441</v>
      </c>
      <c r="AN83">
        <f t="shared" si="136"/>
        <v>6.1595293864392691</v>
      </c>
      <c r="AO83" s="8">
        <f t="shared" si="136"/>
        <v>6.0991221513458882</v>
      </c>
      <c r="AP83">
        <f t="shared" ref="AP83:AQ85" si="141">AN83*$AN$2</f>
        <v>49.276235091514152</v>
      </c>
      <c r="AQ83" s="8">
        <f t="shared" si="141"/>
        <v>48.792977210767106</v>
      </c>
      <c r="AR83">
        <v>12.5</v>
      </c>
      <c r="AS83" s="8">
        <f t="shared" si="120"/>
        <v>100</v>
      </c>
      <c r="AT83">
        <f t="shared" si="137"/>
        <v>3.0748156230932779</v>
      </c>
      <c r="AU83">
        <f t="shared" si="121"/>
        <v>61.496312461865557</v>
      </c>
      <c r="AV83">
        <f t="shared" si="138"/>
        <v>2.2795445748355454</v>
      </c>
      <c r="AW83">
        <f t="shared" si="121"/>
        <v>45.59089149671091</v>
      </c>
      <c r="AX83">
        <f>$AV$2*AO83</f>
        <v>3.0446605416641801</v>
      </c>
      <c r="AY83">
        <f t="shared" si="122"/>
        <v>60.893210833283604</v>
      </c>
      <c r="AZ83">
        <f t="shared" ref="AZ83:AZ85" si="142">$AY$2*(AO83^$AZ$2)</f>
        <v>2.2656669885682144</v>
      </c>
      <c r="BA83">
        <f t="shared" si="123"/>
        <v>45.313339771364284</v>
      </c>
      <c r="BC83" s="97" t="str">
        <f t="shared" si="124"/>
        <v>&lt; 0</v>
      </c>
      <c r="BD83" s="107">
        <f t="shared" si="125"/>
        <v>5.1328734117749377</v>
      </c>
      <c r="BE83" s="97" t="str">
        <f t="shared" si="126"/>
        <v>&lt; 0</v>
      </c>
      <c r="BF83" s="97">
        <f t="shared" si="127"/>
        <v>5.8936830178686108</v>
      </c>
      <c r="BI83" s="112"/>
      <c r="BJ83" s="13"/>
      <c r="BK83" s="13"/>
      <c r="BL83" s="113"/>
      <c r="BM83" s="13"/>
      <c r="BN83" s="113"/>
    </row>
    <row r="84" spans="1:66" ht="15.75" thickBot="1" x14ac:dyDescent="0.3">
      <c r="A84">
        <v>6</v>
      </c>
      <c r="B84" s="8" t="s">
        <v>98</v>
      </c>
      <c r="C84">
        <v>1998748</v>
      </c>
      <c r="D84" s="8">
        <v>1991144</v>
      </c>
      <c r="E84">
        <v>292692</v>
      </c>
      <c r="F84" s="8">
        <v>293244</v>
      </c>
      <c r="G84">
        <v>378959</v>
      </c>
      <c r="H84" s="8">
        <v>378959</v>
      </c>
      <c r="I84">
        <f t="shared" si="133"/>
        <v>6.7900587906316927</v>
      </c>
      <c r="AC84">
        <v>12</v>
      </c>
      <c r="AD84" s="10" t="s">
        <v>132</v>
      </c>
      <c r="AE84" s="8">
        <v>2424455</v>
      </c>
      <c r="AF84" s="63">
        <f t="shared" si="129"/>
        <v>2424455</v>
      </c>
      <c r="AG84" s="8">
        <f t="shared" si="130"/>
        <v>2364043.75</v>
      </c>
      <c r="AH84">
        <f t="shared" si="131"/>
        <v>3.775791045048404</v>
      </c>
      <c r="AI84" s="8">
        <f t="shared" si="132"/>
        <v>3.871420495758553</v>
      </c>
      <c r="AJ84">
        <f t="shared" si="134"/>
        <v>3.5168050162208466</v>
      </c>
      <c r="AK84" s="8">
        <f t="shared" si="135"/>
        <v>3.4881450000031604</v>
      </c>
      <c r="AL84" s="9">
        <f t="shared" si="118"/>
        <v>3.5168050162208466</v>
      </c>
      <c r="AM84" s="8">
        <f t="shared" si="119"/>
        <v>3.4881450000031604</v>
      </c>
      <c r="AN84">
        <f t="shared" si="136"/>
        <v>7.0336100324416932</v>
      </c>
      <c r="AO84" s="8">
        <f t="shared" si="136"/>
        <v>6.9762900000063208</v>
      </c>
      <c r="AP84">
        <f>AN84*$AN$2</f>
        <v>56.268880259533546</v>
      </c>
      <c r="AQ84" s="8">
        <f>AO84*$AN$2</f>
        <v>55.810320000050567</v>
      </c>
      <c r="AR84">
        <v>12.5</v>
      </c>
      <c r="AS84" s="8">
        <f t="shared" si="120"/>
        <v>100</v>
      </c>
      <c r="AT84">
        <f t="shared" si="137"/>
        <v>3.5111536381515029</v>
      </c>
      <c r="AU84">
        <f t="shared" si="121"/>
        <v>70.223072763030061</v>
      </c>
      <c r="AV84">
        <f t="shared" si="138"/>
        <v>2.4748911594142324</v>
      </c>
      <c r="AW84">
        <f t="shared" si="121"/>
        <v>49.497823188284649</v>
      </c>
      <c r="AX84">
        <f t="shared" si="139"/>
        <v>3.4825396775400765</v>
      </c>
      <c r="AY84">
        <f t="shared" si="122"/>
        <v>69.650793550801524</v>
      </c>
      <c r="AZ84">
        <f t="shared" si="142"/>
        <v>2.4623750072701669</v>
      </c>
      <c r="BA84">
        <f t="shared" si="123"/>
        <v>49.247500145403336</v>
      </c>
      <c r="BC84" s="97" t="str">
        <f t="shared" si="124"/>
        <v>&lt; 0</v>
      </c>
      <c r="BD84" s="107" t="str">
        <f t="shared" si="125"/>
        <v>&lt; 0</v>
      </c>
      <c r="BE84" s="97" t="str">
        <f t="shared" si="126"/>
        <v>&lt; 0</v>
      </c>
      <c r="BF84" s="97" t="str">
        <f t="shared" si="127"/>
        <v>&lt; 0</v>
      </c>
      <c r="BI84" s="115" t="s">
        <v>287</v>
      </c>
      <c r="BJ84" s="116" t="s">
        <v>277</v>
      </c>
      <c r="BK84" s="117">
        <f>AVERAGE(AN95:AN98)</f>
        <v>4.766045687917253</v>
      </c>
      <c r="BL84" s="117">
        <f t="shared" ref="BL84:BN84" si="143">AVERAGE(AO95:AO98)</f>
        <v>4.9268928413115898</v>
      </c>
      <c r="BM84" s="117">
        <f t="shared" si="143"/>
        <v>28.596274127503516</v>
      </c>
      <c r="BN84" s="118">
        <f t="shared" si="143"/>
        <v>29.561357047869542</v>
      </c>
    </row>
    <row r="85" spans="1:66" x14ac:dyDescent="0.25">
      <c r="A85">
        <v>7</v>
      </c>
      <c r="B85" s="8" t="s">
        <v>99</v>
      </c>
      <c r="C85">
        <v>4458414</v>
      </c>
      <c r="D85" s="8">
        <v>4449364</v>
      </c>
      <c r="E85">
        <v>665883</v>
      </c>
      <c r="F85" s="8">
        <v>668539</v>
      </c>
      <c r="G85">
        <v>562284</v>
      </c>
      <c r="H85" s="8">
        <v>562092</v>
      </c>
      <c r="I85">
        <f t="shared" si="133"/>
        <v>6.6553544370635072</v>
      </c>
      <c r="AC85" s="7">
        <v>13</v>
      </c>
      <c r="AD85" s="20" t="s">
        <v>133</v>
      </c>
      <c r="AE85" s="23">
        <v>2767769</v>
      </c>
      <c r="AF85" s="63">
        <f t="shared" si="129"/>
        <v>2767769</v>
      </c>
      <c r="AG85" s="6">
        <f t="shared" si="130"/>
        <v>2707357.75</v>
      </c>
      <c r="AH85">
        <f t="shared" si="131"/>
        <v>4.3613461769792892</v>
      </c>
      <c r="AI85" s="8">
        <f t="shared" si="132"/>
        <v>4.4590437747968883</v>
      </c>
      <c r="AJ85" s="7">
        <f t="shared" si="134"/>
        <v>4.1023601481517318</v>
      </c>
      <c r="AK85" s="6">
        <f t="shared" si="135"/>
        <v>4.0757682790414957</v>
      </c>
      <c r="AL85" s="5">
        <f t="shared" si="118"/>
        <v>4.1023601481517318</v>
      </c>
      <c r="AM85" s="6">
        <f t="shared" si="119"/>
        <v>4.0757682790414957</v>
      </c>
      <c r="AN85" s="7">
        <f t="shared" si="136"/>
        <v>8.2047202963034636</v>
      </c>
      <c r="AO85" s="6">
        <f t="shared" si="136"/>
        <v>8.1515365580829915</v>
      </c>
      <c r="AP85" s="5">
        <f t="shared" si="141"/>
        <v>65.637762370427708</v>
      </c>
      <c r="AQ85" s="6">
        <f t="shared" si="141"/>
        <v>65.212292464663932</v>
      </c>
      <c r="AR85" s="7">
        <v>12.5</v>
      </c>
      <c r="AS85" s="6">
        <f t="shared" si="120"/>
        <v>100</v>
      </c>
      <c r="AT85">
        <f t="shared" si="137"/>
        <v>4.0957678042296548</v>
      </c>
      <c r="AU85" s="7">
        <f t="shared" si="121"/>
        <v>81.9153560845931</v>
      </c>
      <c r="AV85" s="7">
        <f t="shared" si="138"/>
        <v>2.722691005599438</v>
      </c>
      <c r="AW85" s="7">
        <f t="shared" si="121"/>
        <v>54.453820111988762</v>
      </c>
      <c r="AX85">
        <f t="shared" si="139"/>
        <v>4.0692186672883102</v>
      </c>
      <c r="AY85" s="7">
        <f t="shared" si="122"/>
        <v>81.384373345766207</v>
      </c>
      <c r="AZ85">
        <f t="shared" si="142"/>
        <v>2.7117423308140824</v>
      </c>
      <c r="BA85" s="7">
        <f t="shared" si="123"/>
        <v>54.234846616281651</v>
      </c>
      <c r="BB85" s="7"/>
      <c r="BC85" s="97" t="str">
        <f t="shared" si="124"/>
        <v>&lt; 0</v>
      </c>
      <c r="BD85" s="107" t="str">
        <f t="shared" si="125"/>
        <v>&lt; 0</v>
      </c>
      <c r="BE85" s="97" t="str">
        <f t="shared" si="126"/>
        <v>&lt; 0</v>
      </c>
      <c r="BF85" s="97" t="str">
        <f t="shared" si="127"/>
        <v>&lt; 0</v>
      </c>
    </row>
    <row r="86" spans="1:66" x14ac:dyDescent="0.25">
      <c r="A86">
        <v>8</v>
      </c>
      <c r="B86" s="8" t="s">
        <v>100</v>
      </c>
      <c r="C86">
        <v>3394771</v>
      </c>
      <c r="D86" s="8">
        <v>3387624</v>
      </c>
      <c r="E86">
        <v>504093</v>
      </c>
      <c r="F86" s="8">
        <v>504093</v>
      </c>
      <c r="G86">
        <v>531310</v>
      </c>
      <c r="H86" s="8">
        <v>528788</v>
      </c>
      <c r="I86">
        <f t="shared" si="133"/>
        <v>6.7202361469014642</v>
      </c>
      <c r="AC86">
        <v>14</v>
      </c>
      <c r="AD86" s="88" t="s">
        <v>135</v>
      </c>
      <c r="AE86" s="88">
        <v>239617</v>
      </c>
      <c r="AF86" s="90">
        <f t="shared" si="129"/>
        <v>239617</v>
      </c>
      <c r="AG86" s="88">
        <f t="shared" si="130"/>
        <v>179205.75</v>
      </c>
      <c r="AH86" s="89">
        <f t="shared" si="131"/>
        <v>4.9339157453921707E-2</v>
      </c>
      <c r="AI86" s="88">
        <f t="shared" si="132"/>
        <v>0.13180699404421109</v>
      </c>
      <c r="AJ86" s="89">
        <f>IF(AVERAGE($AH$86:$AH$87)&gt;0,IF(AH86-MAX($AH$86:$AH$87)&lt;=0,0,AH86-MAX($AH$86:$AH$87)),AH86)</f>
        <v>0</v>
      </c>
      <c r="AK86" s="88">
        <f>IF(AVERAGE($AI$86:$AI$87)&gt;0,IF(AI86-MAX($AI$86:$AI$87)&lt;=0,0,AI86-MAX($AI$86:$AI$87)),AI86)</f>
        <v>0</v>
      </c>
      <c r="AL86" s="92">
        <f t="shared" si="118"/>
        <v>0</v>
      </c>
      <c r="AM86" s="88">
        <f t="shared" si="119"/>
        <v>0</v>
      </c>
      <c r="AN86" s="89">
        <f>AL86*$AP$5</f>
        <v>0</v>
      </c>
      <c r="AO86" s="88">
        <f>AM86*$AP$5</f>
        <v>0</v>
      </c>
      <c r="AP86" s="89">
        <f>AN86*$AP$2</f>
        <v>0</v>
      </c>
      <c r="AQ86" s="88">
        <f>AO86*$AP$2</f>
        <v>0</v>
      </c>
      <c r="AR86" s="89">
        <v>0</v>
      </c>
      <c r="AS86" s="88">
        <f>AR86*$AP$2</f>
        <v>0</v>
      </c>
      <c r="AT86" s="89">
        <f>$AV$4*AN86</f>
        <v>0</v>
      </c>
      <c r="AU86" s="89">
        <f t="shared" si="121"/>
        <v>0</v>
      </c>
      <c r="AV86" s="89"/>
      <c r="AW86" s="89">
        <f t="shared" si="121"/>
        <v>0</v>
      </c>
      <c r="AX86" s="89">
        <f t="shared" ref="AX86:AX98" si="144">$AV$4*AO86</f>
        <v>0</v>
      </c>
      <c r="AY86" s="89">
        <f t="shared" si="122"/>
        <v>0</v>
      </c>
      <c r="AZ86" s="89"/>
      <c r="BA86" s="89">
        <f t="shared" si="123"/>
        <v>0</v>
      </c>
      <c r="BB86" s="89"/>
      <c r="BC86" s="102">
        <f t="shared" si="124"/>
        <v>0</v>
      </c>
      <c r="BD86" s="106">
        <f t="shared" si="125"/>
        <v>0</v>
      </c>
      <c r="BE86" s="102">
        <f t="shared" si="126"/>
        <v>0</v>
      </c>
      <c r="BF86" s="102">
        <f t="shared" si="127"/>
        <v>0</v>
      </c>
    </row>
    <row r="87" spans="1:66" x14ac:dyDescent="0.25">
      <c r="A87">
        <v>9</v>
      </c>
      <c r="B87" s="8" t="s">
        <v>101</v>
      </c>
      <c r="D87" s="8">
        <v>79262</v>
      </c>
      <c r="F87" s="8">
        <v>13273</v>
      </c>
      <c r="G87">
        <v>132878</v>
      </c>
      <c r="H87" s="65">
        <v>135593</v>
      </c>
      <c r="I87">
        <f t="shared" si="133"/>
        <v>5.9716718149627059</v>
      </c>
      <c r="AC87">
        <v>15</v>
      </c>
      <c r="AD87" s="88" t="s">
        <v>136</v>
      </c>
      <c r="AE87" s="88">
        <v>53381</v>
      </c>
      <c r="AF87" s="90">
        <f t="shared" si="129"/>
        <v>53381</v>
      </c>
      <c r="AG87" s="88">
        <f t="shared" si="130"/>
        <v>0</v>
      </c>
      <c r="AH87" s="89">
        <f t="shared" si="131"/>
        <v>0</v>
      </c>
      <c r="AI87" s="88">
        <f t="shared" si="132"/>
        <v>0</v>
      </c>
      <c r="AJ87" s="89">
        <f t="shared" ref="AJ87:AJ91" si="145">IF(AVERAGE($AH$86:$AH$87)&gt;0,IF(AH87-MAX($AH$86:$AH$87)&lt;=0,0,AH87-MAX($AH$86:$AH$87)),AH87)</f>
        <v>0</v>
      </c>
      <c r="AK87" s="88">
        <f t="shared" ref="AK87:AK91" si="146">IF(AVERAGE($AI$86:$AI$87)&gt;0,IF(AI87-MAX($AI$86:$AI$87)&lt;=0,0,AI87-MAX($AI$86:$AI$87)),AI87)</f>
        <v>0</v>
      </c>
      <c r="AL87" s="92">
        <f t="shared" si="118"/>
        <v>0</v>
      </c>
      <c r="AM87" s="88">
        <f t="shared" si="119"/>
        <v>0</v>
      </c>
      <c r="AN87" s="89">
        <f t="shared" ref="AN87:AO98" si="147">AL87*$AP$5</f>
        <v>0</v>
      </c>
      <c r="AO87" s="88">
        <f t="shared" si="147"/>
        <v>0</v>
      </c>
      <c r="AP87" s="89">
        <f t="shared" ref="AP87:AQ98" si="148">AN87*$AP$2</f>
        <v>0</v>
      </c>
      <c r="AQ87" s="88">
        <f t="shared" si="148"/>
        <v>0</v>
      </c>
      <c r="AR87" s="89">
        <v>0</v>
      </c>
      <c r="AS87" s="88">
        <f t="shared" ref="AS87:AS98" si="149">AR87*$AP$2</f>
        <v>0</v>
      </c>
      <c r="AT87" s="89">
        <f t="shared" ref="AT87:AT98" si="150">$AV$4*AN87</f>
        <v>0</v>
      </c>
      <c r="AU87" s="89">
        <f t="shared" si="121"/>
        <v>0</v>
      </c>
      <c r="AV87" s="89"/>
      <c r="AW87" s="89">
        <f t="shared" si="121"/>
        <v>0</v>
      </c>
      <c r="AX87" s="89">
        <f t="shared" si="144"/>
        <v>0</v>
      </c>
      <c r="AY87" s="89">
        <f t="shared" si="122"/>
        <v>0</v>
      </c>
      <c r="AZ87" s="89"/>
      <c r="BA87" s="89">
        <f t="shared" si="123"/>
        <v>0</v>
      </c>
      <c r="BB87" s="89"/>
      <c r="BC87" s="102">
        <f t="shared" si="124"/>
        <v>0</v>
      </c>
      <c r="BD87" s="106">
        <f t="shared" si="125"/>
        <v>0</v>
      </c>
      <c r="BE87" s="102">
        <f t="shared" si="126"/>
        <v>0</v>
      </c>
      <c r="BF87" s="102">
        <f t="shared" si="127"/>
        <v>0</v>
      </c>
    </row>
    <row r="88" spans="1:66" x14ac:dyDescent="0.25">
      <c r="A88">
        <v>10</v>
      </c>
      <c r="B88" s="10" t="s">
        <v>102</v>
      </c>
      <c r="C88">
        <v>2593106</v>
      </c>
      <c r="D88" s="8">
        <v>2588454</v>
      </c>
      <c r="E88">
        <v>388061</v>
      </c>
      <c r="F88" s="8">
        <v>388061</v>
      </c>
      <c r="G88">
        <v>367678</v>
      </c>
      <c r="H88" s="8">
        <v>367678</v>
      </c>
      <c r="I88">
        <f t="shared" si="133"/>
        <v>6.6702245265563915</v>
      </c>
      <c r="AC88">
        <v>16</v>
      </c>
      <c r="AD88" s="10" t="s">
        <v>137</v>
      </c>
      <c r="AE88" s="8">
        <v>2239511</v>
      </c>
      <c r="AF88" s="63">
        <f t="shared" si="129"/>
        <v>2239511</v>
      </c>
      <c r="AG88" s="8">
        <f t="shared" si="130"/>
        <v>2179099.75</v>
      </c>
      <c r="AH88">
        <f t="shared" si="131"/>
        <v>3.460351219349989</v>
      </c>
      <c r="AI88" s="8">
        <f t="shared" si="132"/>
        <v>3.5548665547061469</v>
      </c>
      <c r="AJ88">
        <f t="shared" si="145"/>
        <v>3.4110120618960673</v>
      </c>
      <c r="AK88" s="8">
        <f t="shared" si="146"/>
        <v>3.4230595606619358</v>
      </c>
      <c r="AL88" s="9">
        <f t="shared" si="118"/>
        <v>3.4110120618960673</v>
      </c>
      <c r="AM88" s="8">
        <f t="shared" si="119"/>
        <v>3.4230595606619358</v>
      </c>
      <c r="AN88">
        <f t="shared" si="147"/>
        <v>5.969271108318118</v>
      </c>
      <c r="AO88" s="8">
        <f t="shared" si="147"/>
        <v>5.9903542311583875</v>
      </c>
      <c r="AP88">
        <f t="shared" si="148"/>
        <v>35.815626649908708</v>
      </c>
      <c r="AQ88" s="8">
        <f t="shared" si="148"/>
        <v>35.942125386950323</v>
      </c>
      <c r="AR88">
        <v>12.5</v>
      </c>
      <c r="AS88" s="8">
        <f t="shared" si="149"/>
        <v>75</v>
      </c>
      <c r="AT88">
        <f t="shared" si="150"/>
        <v>4.6767391835921845</v>
      </c>
      <c r="AU88">
        <f t="shared" si="121"/>
        <v>93.534783671843684</v>
      </c>
      <c r="AW88">
        <f t="shared" si="121"/>
        <v>0</v>
      </c>
      <c r="AX88">
        <f t="shared" si="144"/>
        <v>4.6932571578825755</v>
      </c>
      <c r="AY88">
        <f t="shared" si="122"/>
        <v>93.865143157651517</v>
      </c>
      <c r="BA88">
        <f t="shared" si="123"/>
        <v>0</v>
      </c>
      <c r="BC88" s="97" t="str">
        <f t="shared" si="124"/>
        <v>&lt; 0</v>
      </c>
      <c r="BD88" s="107">
        <f t="shared" si="125"/>
        <v>39.184373350091292</v>
      </c>
      <c r="BE88" s="97" t="str">
        <f t="shared" si="126"/>
        <v>&lt; 0</v>
      </c>
      <c r="BF88" s="97">
        <f t="shared" si="127"/>
        <v>39.057874613049677</v>
      </c>
    </row>
    <row r="89" spans="1:66" x14ac:dyDescent="0.25">
      <c r="A89">
        <v>11</v>
      </c>
      <c r="B89" s="10" t="s">
        <v>103</v>
      </c>
      <c r="C89">
        <v>3383281</v>
      </c>
      <c r="D89" s="8">
        <v>3373853</v>
      </c>
      <c r="E89">
        <v>505733</v>
      </c>
      <c r="F89" s="8">
        <v>505733</v>
      </c>
      <c r="G89">
        <v>145975</v>
      </c>
      <c r="H89" s="8">
        <v>145975</v>
      </c>
      <c r="I89">
        <f t="shared" si="133"/>
        <v>6.6712138618599139</v>
      </c>
      <c r="AC89">
        <v>17</v>
      </c>
      <c r="AD89" s="10" t="s">
        <v>138</v>
      </c>
      <c r="AE89" s="8">
        <v>1846720</v>
      </c>
      <c r="AF89" s="63">
        <f t="shared" si="129"/>
        <v>1846720</v>
      </c>
      <c r="AG89" s="8">
        <f t="shared" si="130"/>
        <v>1786308.75</v>
      </c>
      <c r="AH89">
        <f t="shared" si="131"/>
        <v>2.7904082929727823</v>
      </c>
      <c r="AI89" s="8">
        <f t="shared" si="132"/>
        <v>2.8825574283764701</v>
      </c>
      <c r="AJ89">
        <f t="shared" si="145"/>
        <v>2.7410691355188606</v>
      </c>
      <c r="AK89" s="8">
        <f t="shared" si="146"/>
        <v>2.7507504343322591</v>
      </c>
      <c r="AL89" s="9">
        <f t="shared" si="118"/>
        <v>2.7410691355188606</v>
      </c>
      <c r="AM89" s="8">
        <f t="shared" si="119"/>
        <v>2.7507504343322591</v>
      </c>
      <c r="AN89">
        <f t="shared" si="147"/>
        <v>4.7968709871580062</v>
      </c>
      <c r="AO89" s="8">
        <f t="shared" si="147"/>
        <v>4.8138132600814529</v>
      </c>
      <c r="AP89">
        <f t="shared" si="148"/>
        <v>28.781225922948039</v>
      </c>
      <c r="AQ89" s="8">
        <f t="shared" si="148"/>
        <v>28.882879560488718</v>
      </c>
      <c r="AR89">
        <v>12.5</v>
      </c>
      <c r="AS89" s="8">
        <f t="shared" si="149"/>
        <v>75</v>
      </c>
      <c r="AT89">
        <f t="shared" si="150"/>
        <v>3.7581999706827216</v>
      </c>
      <c r="AU89">
        <f t="shared" si="121"/>
        <v>75.163999413654437</v>
      </c>
      <c r="AW89">
        <f t="shared" si="121"/>
        <v>0</v>
      </c>
      <c r="AX89">
        <f t="shared" si="144"/>
        <v>3.7714737172092923</v>
      </c>
      <c r="AY89">
        <f t="shared" si="122"/>
        <v>75.429474344185849</v>
      </c>
      <c r="BA89">
        <f t="shared" si="123"/>
        <v>0</v>
      </c>
      <c r="BC89" s="97" t="str">
        <f t="shared" si="124"/>
        <v>&lt; 0</v>
      </c>
      <c r="BD89" s="107">
        <f t="shared" si="125"/>
        <v>46.218774077051961</v>
      </c>
      <c r="BE89" s="97" t="str">
        <f t="shared" si="126"/>
        <v>&lt; 0</v>
      </c>
      <c r="BF89" s="97">
        <f t="shared" si="127"/>
        <v>46.117120439511282</v>
      </c>
    </row>
    <row r="90" spans="1:66" x14ac:dyDescent="0.25">
      <c r="A90">
        <v>12</v>
      </c>
      <c r="B90" s="10" t="s">
        <v>104</v>
      </c>
      <c r="C90">
        <v>1942122</v>
      </c>
      <c r="D90" s="8">
        <v>1942122</v>
      </c>
      <c r="E90">
        <v>39090</v>
      </c>
      <c r="F90" s="8">
        <v>292687</v>
      </c>
      <c r="G90">
        <v>442279</v>
      </c>
      <c r="H90" s="8">
        <v>442279</v>
      </c>
      <c r="I90">
        <f t="shared" si="133"/>
        <v>6.6354911560814109</v>
      </c>
      <c r="AC90">
        <v>18</v>
      </c>
      <c r="AD90" s="10" t="s">
        <v>139</v>
      </c>
      <c r="AE90" s="8">
        <v>2082174</v>
      </c>
      <c r="AF90" s="63">
        <f t="shared" si="129"/>
        <v>2082174</v>
      </c>
      <c r="AG90" s="8">
        <f t="shared" si="130"/>
        <v>2021762.75</v>
      </c>
      <c r="AH90">
        <f t="shared" si="131"/>
        <v>3.1919977942271869</v>
      </c>
      <c r="AI90" s="8">
        <f t="shared" si="132"/>
        <v>3.2855653206928106</v>
      </c>
      <c r="AJ90">
        <f t="shared" si="145"/>
        <v>3.1426586367732652</v>
      </c>
      <c r="AK90" s="8">
        <f t="shared" si="146"/>
        <v>3.1537583266485996</v>
      </c>
      <c r="AL90" s="9">
        <f t="shared" si="118"/>
        <v>3.1426586367732652</v>
      </c>
      <c r="AM90" s="8">
        <f t="shared" si="119"/>
        <v>3.1537583266485996</v>
      </c>
      <c r="AN90">
        <f t="shared" si="147"/>
        <v>5.4996526143532138</v>
      </c>
      <c r="AO90" s="8">
        <f t="shared" si="147"/>
        <v>5.5190770716350492</v>
      </c>
      <c r="AP90">
        <f t="shared" si="148"/>
        <v>32.997915686119285</v>
      </c>
      <c r="AQ90" s="8">
        <f t="shared" si="148"/>
        <v>33.114462429810295</v>
      </c>
      <c r="AR90">
        <v>12.5</v>
      </c>
      <c r="AS90" s="8">
        <f t="shared" si="149"/>
        <v>75</v>
      </c>
      <c r="AT90">
        <f t="shared" si="150"/>
        <v>4.3088076267552502</v>
      </c>
      <c r="AU90">
        <f t="shared" si="121"/>
        <v>86.176152535105004</v>
      </c>
      <c r="AW90">
        <f t="shared" si="121"/>
        <v>0</v>
      </c>
      <c r="AX90">
        <f t="shared" si="144"/>
        <v>4.3240260879109815</v>
      </c>
      <c r="AY90">
        <f t="shared" si="122"/>
        <v>86.480521758219624</v>
      </c>
      <c r="BA90">
        <f t="shared" si="123"/>
        <v>0</v>
      </c>
      <c r="BC90" s="97" t="str">
        <f t="shared" si="124"/>
        <v>&lt; 0</v>
      </c>
      <c r="BD90" s="107">
        <f t="shared" si="125"/>
        <v>42.002084313880715</v>
      </c>
      <c r="BE90" s="97" t="str">
        <f t="shared" si="126"/>
        <v>&lt; 0</v>
      </c>
      <c r="BF90" s="97">
        <f t="shared" si="127"/>
        <v>41.885537570189705</v>
      </c>
    </row>
    <row r="91" spans="1:66" x14ac:dyDescent="0.25">
      <c r="A91" s="7">
        <v>13</v>
      </c>
      <c r="B91" s="20" t="s">
        <v>105</v>
      </c>
      <c r="C91" s="7">
        <v>2182455</v>
      </c>
      <c r="D91" s="6">
        <v>2174874</v>
      </c>
      <c r="E91" s="7">
        <v>328221</v>
      </c>
      <c r="F91" s="6">
        <v>328860</v>
      </c>
      <c r="G91" s="7">
        <v>341764</v>
      </c>
      <c r="H91" s="6">
        <v>341764</v>
      </c>
      <c r="I91">
        <f t="shared" si="133"/>
        <v>6.6133734719941613</v>
      </c>
      <c r="AC91" s="7">
        <v>19</v>
      </c>
      <c r="AD91" s="20" t="s">
        <v>140</v>
      </c>
      <c r="AE91" s="6">
        <v>2181819</v>
      </c>
      <c r="AF91" s="63">
        <f t="shared" si="129"/>
        <v>2181819</v>
      </c>
      <c r="AG91" s="8">
        <f t="shared" si="130"/>
        <v>2121407.75</v>
      </c>
      <c r="AH91">
        <f t="shared" si="131"/>
        <v>3.3619519502512731</v>
      </c>
      <c r="AI91" s="8">
        <f t="shared" si="132"/>
        <v>3.45611974503838</v>
      </c>
      <c r="AJ91">
        <f t="shared" si="145"/>
        <v>3.3126127927973514</v>
      </c>
      <c r="AK91" s="8">
        <f t="shared" si="146"/>
        <v>3.324312750994169</v>
      </c>
      <c r="AL91" s="9">
        <f t="shared" si="118"/>
        <v>3.3126127927973514</v>
      </c>
      <c r="AM91" s="8">
        <f t="shared" si="119"/>
        <v>3.324312750994169</v>
      </c>
      <c r="AN91">
        <f t="shared" si="147"/>
        <v>5.7970723873953647</v>
      </c>
      <c r="AO91" s="8">
        <f t="shared" si="147"/>
        <v>5.8175473142397962</v>
      </c>
      <c r="AP91">
        <f t="shared" si="148"/>
        <v>34.78243432437219</v>
      </c>
      <c r="AQ91" s="8">
        <f t="shared" si="148"/>
        <v>34.905283885438777</v>
      </c>
      <c r="AR91">
        <v>12.5</v>
      </c>
      <c r="AS91" s="8">
        <f t="shared" si="149"/>
        <v>75</v>
      </c>
      <c r="AT91">
        <f t="shared" si="150"/>
        <v>4.5418268147467353</v>
      </c>
      <c r="AU91">
        <f t="shared" si="121"/>
        <v>90.836536294934703</v>
      </c>
      <c r="AW91">
        <f t="shared" si="121"/>
        <v>0</v>
      </c>
      <c r="AX91">
        <f t="shared" si="144"/>
        <v>4.5578682862961006</v>
      </c>
      <c r="AY91">
        <f t="shared" si="122"/>
        <v>91.157365725922006</v>
      </c>
      <c r="BA91">
        <f t="shared" si="123"/>
        <v>0</v>
      </c>
      <c r="BC91" s="97" t="str">
        <f t="shared" si="124"/>
        <v>&lt; 0</v>
      </c>
      <c r="BD91" s="107">
        <f t="shared" si="125"/>
        <v>40.21756567562781</v>
      </c>
      <c r="BE91" s="97" t="str">
        <f t="shared" si="126"/>
        <v>&lt; 0</v>
      </c>
      <c r="BF91" s="97">
        <f t="shared" si="127"/>
        <v>40.094716114561223</v>
      </c>
    </row>
    <row r="92" spans="1:66" x14ac:dyDescent="0.25">
      <c r="A92">
        <v>14</v>
      </c>
      <c r="B92" s="10" t="s">
        <v>106</v>
      </c>
      <c r="D92" s="8">
        <v>88960</v>
      </c>
      <c r="F92" s="8"/>
      <c r="G92">
        <v>136007</v>
      </c>
      <c r="H92" s="8">
        <v>141211</v>
      </c>
      <c r="AC92" s="7">
        <v>20</v>
      </c>
      <c r="AD92" s="2" t="s">
        <v>134</v>
      </c>
      <c r="AE92" s="2">
        <v>95715</v>
      </c>
      <c r="AF92" s="63">
        <f t="shared" si="129"/>
        <v>95715</v>
      </c>
      <c r="AG92" s="8">
        <f t="shared" si="130"/>
        <v>35303.75</v>
      </c>
      <c r="AH92">
        <f t="shared" si="131"/>
        <v>-0.19609957966462951</v>
      </c>
      <c r="AI92" s="8">
        <f t="shared" si="132"/>
        <v>-0.1144986186024461</v>
      </c>
      <c r="AK92" s="8"/>
      <c r="AL92" s="9">
        <f t="shared" si="118"/>
        <v>0</v>
      </c>
      <c r="AM92" s="8">
        <f t="shared" si="119"/>
        <v>0</v>
      </c>
      <c r="AO92" s="8"/>
      <c r="AQ92" s="8"/>
      <c r="AR92">
        <v>0</v>
      </c>
      <c r="AS92" s="8">
        <f t="shared" si="149"/>
        <v>0</v>
      </c>
      <c r="AT92">
        <f t="shared" si="150"/>
        <v>0</v>
      </c>
      <c r="AU92">
        <f t="shared" si="121"/>
        <v>0</v>
      </c>
      <c r="AW92">
        <f t="shared" si="121"/>
        <v>0</v>
      </c>
      <c r="AX92">
        <f t="shared" si="144"/>
        <v>0</v>
      </c>
      <c r="AY92">
        <f t="shared" si="122"/>
        <v>0</v>
      </c>
      <c r="BA92">
        <f t="shared" si="123"/>
        <v>0</v>
      </c>
      <c r="BC92" s="97"/>
      <c r="BD92" s="107"/>
      <c r="BE92" s="97"/>
      <c r="BF92" s="97"/>
    </row>
    <row r="93" spans="1:66" x14ac:dyDescent="0.25">
      <c r="A93">
        <v>15</v>
      </c>
      <c r="B93" s="10" t="s">
        <v>107</v>
      </c>
      <c r="D93" s="8">
        <v>232604</v>
      </c>
      <c r="F93" s="8"/>
      <c r="G93">
        <v>340542</v>
      </c>
      <c r="H93" s="8">
        <v>342757</v>
      </c>
      <c r="AC93">
        <v>21</v>
      </c>
      <c r="AD93" s="88" t="s">
        <v>141</v>
      </c>
      <c r="AE93" s="88">
        <v>156682</v>
      </c>
      <c r="AF93" s="90">
        <f t="shared" si="129"/>
        <v>156682</v>
      </c>
      <c r="AG93" s="88">
        <f t="shared" si="130"/>
        <v>96270.75</v>
      </c>
      <c r="AH93" s="89">
        <f t="shared" si="131"/>
        <v>-9.2114482265658604E-2</v>
      </c>
      <c r="AI93" s="88">
        <f t="shared" si="132"/>
        <v>-1.0146251809567974E-2</v>
      </c>
      <c r="AJ93" s="89">
        <f>IF(AVERAGE($AH$93:$AH$94)&gt;0,IF(AH93-MAX($AH$93:$AH$94)&lt;=0,0,AH93-MAX($AH$93:$AH$94)),AH93)</f>
        <v>-9.2114482265658604E-2</v>
      </c>
      <c r="AK93" s="88">
        <f>IF(AVERAGE($AI$93:$AI$94)&gt;0,IF(AI93-MAX($AI$93:$AI$94)&lt;=0,0,AI93-MAX($AI$93:$AI$94)),AI93)</f>
        <v>-1.0146251809567974E-2</v>
      </c>
      <c r="AL93" s="92">
        <f t="shared" si="118"/>
        <v>0</v>
      </c>
      <c r="AM93" s="88">
        <f t="shared" si="119"/>
        <v>0</v>
      </c>
      <c r="AN93" s="89">
        <f t="shared" si="147"/>
        <v>0</v>
      </c>
      <c r="AO93" s="88">
        <f t="shared" si="147"/>
        <v>0</v>
      </c>
      <c r="AP93" s="89">
        <f t="shared" si="148"/>
        <v>0</v>
      </c>
      <c r="AQ93" s="88">
        <f t="shared" si="148"/>
        <v>0</v>
      </c>
      <c r="AR93" s="89">
        <v>0</v>
      </c>
      <c r="AS93" s="88">
        <f t="shared" si="149"/>
        <v>0</v>
      </c>
      <c r="AT93" s="89">
        <f t="shared" si="150"/>
        <v>0</v>
      </c>
      <c r="AU93" s="89">
        <f t="shared" si="121"/>
        <v>0</v>
      </c>
      <c r="AV93" s="89"/>
      <c r="AW93" s="89">
        <f t="shared" si="121"/>
        <v>0</v>
      </c>
      <c r="AX93" s="89">
        <f t="shared" si="144"/>
        <v>0</v>
      </c>
      <c r="AY93" s="89">
        <f t="shared" si="122"/>
        <v>0</v>
      </c>
      <c r="AZ93" s="89"/>
      <c r="BA93" s="89">
        <f t="shared" si="123"/>
        <v>0</v>
      </c>
      <c r="BB93" s="89"/>
      <c r="BC93" s="102">
        <f t="shared" si="124"/>
        <v>0</v>
      </c>
      <c r="BD93" s="106">
        <f t="shared" si="125"/>
        <v>0</v>
      </c>
      <c r="BE93" s="102">
        <f t="shared" si="126"/>
        <v>0</v>
      </c>
      <c r="BF93" s="102">
        <f t="shared" si="127"/>
        <v>0</v>
      </c>
    </row>
    <row r="94" spans="1:66" x14ac:dyDescent="0.25">
      <c r="A94">
        <v>16</v>
      </c>
      <c r="B94" s="10" t="s">
        <v>108</v>
      </c>
      <c r="C94">
        <v>1448094</v>
      </c>
      <c r="D94" s="8">
        <v>1448094</v>
      </c>
      <c r="F94" s="8">
        <v>212995</v>
      </c>
      <c r="G94">
        <v>257193</v>
      </c>
      <c r="H94" s="8">
        <v>257193</v>
      </c>
      <c r="I94">
        <f t="shared" si="133"/>
        <v>6.798722974717716</v>
      </c>
      <c r="AC94">
        <v>22</v>
      </c>
      <c r="AD94" s="88" t="s">
        <v>142</v>
      </c>
      <c r="AE94" s="88">
        <v>31295</v>
      </c>
      <c r="AF94" s="90">
        <f t="shared" si="129"/>
        <v>31295</v>
      </c>
      <c r="AG94" s="88">
        <f t="shared" si="130"/>
        <v>0</v>
      </c>
      <c r="AH94" s="89">
        <f t="shared" si="131"/>
        <v>0</v>
      </c>
      <c r="AI94" s="88">
        <f t="shared" si="132"/>
        <v>0</v>
      </c>
      <c r="AJ94" s="89">
        <f t="shared" ref="AJ94:AJ98" si="151">IF(AVERAGE($AH$93:$AH$94)&gt;0,IF(AH94-MAX($AH$93:$AH$94)&lt;=0,0,AH94-MAX($AH$93:$AH$94)),AH94)</f>
        <v>0</v>
      </c>
      <c r="AK94" s="88">
        <f t="shared" ref="AK94:AK98" si="152">IF(AVERAGE($AI$93:$AI$94)&gt;0,IF(AI94-MAX($AI$93:$AI$94)&lt;=0,0,AI94-MAX($AI$93:$AI$94)),AI94)</f>
        <v>0</v>
      </c>
      <c r="AL94" s="92">
        <f t="shared" si="118"/>
        <v>0</v>
      </c>
      <c r="AM94" s="88">
        <f t="shared" si="119"/>
        <v>0</v>
      </c>
      <c r="AN94" s="89">
        <f t="shared" si="147"/>
        <v>0</v>
      </c>
      <c r="AO94" s="88">
        <f t="shared" si="147"/>
        <v>0</v>
      </c>
      <c r="AP94" s="89">
        <f t="shared" si="148"/>
        <v>0</v>
      </c>
      <c r="AQ94" s="88">
        <f t="shared" si="148"/>
        <v>0</v>
      </c>
      <c r="AR94" s="89">
        <v>0</v>
      </c>
      <c r="AS94" s="88">
        <f t="shared" si="149"/>
        <v>0</v>
      </c>
      <c r="AT94" s="89">
        <f t="shared" si="150"/>
        <v>0</v>
      </c>
      <c r="AU94" s="89">
        <f t="shared" si="121"/>
        <v>0</v>
      </c>
      <c r="AV94" s="89"/>
      <c r="AW94" s="89">
        <f t="shared" si="121"/>
        <v>0</v>
      </c>
      <c r="AX94" s="89">
        <f t="shared" si="144"/>
        <v>0</v>
      </c>
      <c r="AY94" s="89">
        <f t="shared" si="122"/>
        <v>0</v>
      </c>
      <c r="AZ94" s="89"/>
      <c r="BA94" s="89">
        <f t="shared" si="123"/>
        <v>0</v>
      </c>
      <c r="BB94" s="89"/>
      <c r="BC94" s="102">
        <f t="shared" si="124"/>
        <v>0</v>
      </c>
      <c r="BD94" s="106">
        <f t="shared" si="125"/>
        <v>0</v>
      </c>
      <c r="BE94" s="102">
        <f t="shared" si="126"/>
        <v>0</v>
      </c>
      <c r="BF94" s="102">
        <f t="shared" si="127"/>
        <v>0</v>
      </c>
    </row>
    <row r="95" spans="1:66" x14ac:dyDescent="0.25">
      <c r="A95">
        <v>17</v>
      </c>
      <c r="B95" s="10" t="s">
        <v>109</v>
      </c>
      <c r="C95">
        <v>1954193</v>
      </c>
      <c r="D95" s="8">
        <v>1949849</v>
      </c>
      <c r="E95">
        <v>287613</v>
      </c>
      <c r="F95" s="8">
        <v>288234</v>
      </c>
      <c r="H95" s="8">
        <v>69200</v>
      </c>
      <c r="I95">
        <f t="shared" si="133"/>
        <v>6.7648126175260375</v>
      </c>
      <c r="AC95">
        <v>23</v>
      </c>
      <c r="AD95" s="10" t="s">
        <v>143</v>
      </c>
      <c r="AE95" s="8">
        <v>1899653</v>
      </c>
      <c r="AF95" s="63">
        <f t="shared" si="129"/>
        <v>1899653</v>
      </c>
      <c r="AG95" s="8">
        <f t="shared" si="130"/>
        <v>1839241.75</v>
      </c>
      <c r="AH95">
        <f t="shared" si="131"/>
        <v>2.8806906286727463</v>
      </c>
      <c r="AI95" s="8">
        <f t="shared" si="132"/>
        <v>2.9731586361027387</v>
      </c>
      <c r="AJ95">
        <f t="shared" si="151"/>
        <v>2.8806906286727463</v>
      </c>
      <c r="AK95" s="8">
        <f t="shared" si="152"/>
        <v>2.9731586361027387</v>
      </c>
      <c r="AL95" s="9">
        <f t="shared" si="118"/>
        <v>2.8806906286727463</v>
      </c>
      <c r="AM95" s="8">
        <f t="shared" si="119"/>
        <v>2.9731586361027387</v>
      </c>
      <c r="AN95">
        <f t="shared" si="147"/>
        <v>5.0412086001773062</v>
      </c>
      <c r="AO95" s="8">
        <f t="shared" si="147"/>
        <v>5.2030276131797928</v>
      </c>
      <c r="AP95">
        <f t="shared" si="148"/>
        <v>30.247251601063837</v>
      </c>
      <c r="AQ95" s="8">
        <f t="shared" si="148"/>
        <v>31.218165679078759</v>
      </c>
      <c r="AR95">
        <v>12.5</v>
      </c>
      <c r="AS95" s="8">
        <f t="shared" si="149"/>
        <v>75</v>
      </c>
      <c r="AT95">
        <f t="shared" si="150"/>
        <v>3.9496309290187233</v>
      </c>
      <c r="AU95">
        <f t="shared" ref="AU95:AW98" si="153">AT95*$AS$1</f>
        <v>78.992618580374469</v>
      </c>
      <c r="AW95">
        <f t="shared" si="153"/>
        <v>0</v>
      </c>
      <c r="AX95">
        <f t="shared" si="144"/>
        <v>4.0764111179272771</v>
      </c>
      <c r="AY95">
        <f t="shared" si="122"/>
        <v>81.528222358545548</v>
      </c>
      <c r="BA95">
        <f t="shared" si="123"/>
        <v>0</v>
      </c>
      <c r="BC95" s="97" t="str">
        <f t="shared" si="124"/>
        <v>&lt; 0</v>
      </c>
      <c r="BD95" s="107">
        <f t="shared" si="125"/>
        <v>44.752748398936163</v>
      </c>
      <c r="BE95" s="97" t="str">
        <f t="shared" si="126"/>
        <v>&lt; 0</v>
      </c>
      <c r="BF95" s="97">
        <f t="shared" si="127"/>
        <v>43.781834320921241</v>
      </c>
    </row>
    <row r="96" spans="1:66" x14ac:dyDescent="0.25">
      <c r="A96">
        <v>18</v>
      </c>
      <c r="B96" s="10" t="s">
        <v>110</v>
      </c>
      <c r="C96">
        <v>718257</v>
      </c>
      <c r="D96" s="8">
        <v>720683</v>
      </c>
      <c r="F96" s="8">
        <v>103142</v>
      </c>
      <c r="G96">
        <v>242029</v>
      </c>
      <c r="H96" s="8">
        <v>243265</v>
      </c>
      <c r="I96">
        <f t="shared" si="133"/>
        <v>6.9872893680556905</v>
      </c>
      <c r="AC96">
        <v>24</v>
      </c>
      <c r="AD96" s="10" t="s">
        <v>144</v>
      </c>
      <c r="AE96" s="8">
        <v>1871546</v>
      </c>
      <c r="AF96" s="63">
        <f t="shared" si="129"/>
        <v>1871546</v>
      </c>
      <c r="AG96" s="8">
        <f t="shared" si="130"/>
        <v>1811134.75</v>
      </c>
      <c r="AH96">
        <f t="shared" si="131"/>
        <v>2.8327514298833543</v>
      </c>
      <c r="AI96" s="8">
        <f t="shared" si="132"/>
        <v>2.9250501188155602</v>
      </c>
      <c r="AJ96">
        <f t="shared" si="151"/>
        <v>2.8327514298833543</v>
      </c>
      <c r="AK96" s="8">
        <f t="shared" si="152"/>
        <v>2.9250501188155602</v>
      </c>
      <c r="AL96" s="9">
        <f t="shared" si="118"/>
        <v>2.8327514298833543</v>
      </c>
      <c r="AM96" s="8">
        <f t="shared" si="119"/>
        <v>2.9250501188155602</v>
      </c>
      <c r="AN96">
        <f t="shared" si="147"/>
        <v>4.9573150022958696</v>
      </c>
      <c r="AO96" s="8">
        <f t="shared" si="147"/>
        <v>5.1188377079272307</v>
      </c>
      <c r="AP96">
        <f t="shared" si="148"/>
        <v>29.743890013775218</v>
      </c>
      <c r="AQ96" s="8">
        <f t="shared" si="148"/>
        <v>30.713026247563384</v>
      </c>
      <c r="AR96">
        <v>12.5</v>
      </c>
      <c r="AS96" s="8">
        <f t="shared" si="149"/>
        <v>75</v>
      </c>
      <c r="AT96">
        <f t="shared" si="150"/>
        <v>3.883902891316112</v>
      </c>
      <c r="AU96">
        <f t="shared" si="153"/>
        <v>77.678057826322245</v>
      </c>
      <c r="AW96">
        <f t="shared" si="153"/>
        <v>0</v>
      </c>
      <c r="AX96">
        <f t="shared" si="144"/>
        <v>4.0104509325691504</v>
      </c>
      <c r="AY96">
        <f t="shared" si="122"/>
        <v>80.209018651383005</v>
      </c>
      <c r="BA96">
        <f t="shared" si="123"/>
        <v>0</v>
      </c>
      <c r="BC96" s="97" t="str">
        <f t="shared" si="124"/>
        <v>&lt; 0</v>
      </c>
      <c r="BD96" s="107">
        <f t="shared" si="125"/>
        <v>45.256109986224786</v>
      </c>
      <c r="BE96" s="97" t="str">
        <f t="shared" si="126"/>
        <v>&lt; 0</v>
      </c>
      <c r="BF96" s="97">
        <f t="shared" si="127"/>
        <v>44.286973752436616</v>
      </c>
    </row>
    <row r="97" spans="1:58" x14ac:dyDescent="0.25">
      <c r="A97" s="7">
        <v>19</v>
      </c>
      <c r="B97" s="20" t="s">
        <v>111</v>
      </c>
      <c r="C97" s="7">
        <v>699793</v>
      </c>
      <c r="D97" s="6">
        <v>699793</v>
      </c>
      <c r="E97" s="7">
        <v>0</v>
      </c>
      <c r="F97" s="6">
        <v>105074</v>
      </c>
      <c r="G97" s="7">
        <v>0</v>
      </c>
      <c r="H97" s="6">
        <v>89619</v>
      </c>
      <c r="I97">
        <f t="shared" si="133"/>
        <v>6.6600015227363576</v>
      </c>
      <c r="AC97">
        <v>25</v>
      </c>
      <c r="AD97" s="10" t="s">
        <v>145</v>
      </c>
      <c r="AE97" s="8">
        <v>1597957</v>
      </c>
      <c r="AF97" s="63">
        <f t="shared" si="129"/>
        <v>1597957</v>
      </c>
      <c r="AG97" s="8">
        <f t="shared" si="130"/>
        <v>1537545.75</v>
      </c>
      <c r="AH97">
        <f t="shared" si="131"/>
        <v>2.3661190088639987</v>
      </c>
      <c r="AI97" s="8">
        <f t="shared" si="132"/>
        <v>2.4567695788759742</v>
      </c>
      <c r="AJ97">
        <f t="shared" si="151"/>
        <v>2.3661190088639987</v>
      </c>
      <c r="AK97" s="8">
        <f t="shared" si="152"/>
        <v>2.4567695788759742</v>
      </c>
      <c r="AL97" s="9">
        <f t="shared" si="118"/>
        <v>2.3661190088639987</v>
      </c>
      <c r="AM97" s="8">
        <f t="shared" si="119"/>
        <v>2.4567695788759742</v>
      </c>
      <c r="AN97">
        <f t="shared" si="147"/>
        <v>4.1407082655119982</v>
      </c>
      <c r="AO97" s="8">
        <f t="shared" si="147"/>
        <v>4.2993467630329549</v>
      </c>
      <c r="AP97">
        <f t="shared" si="148"/>
        <v>24.844249593071989</v>
      </c>
      <c r="AQ97" s="8">
        <f t="shared" si="148"/>
        <v>25.796080578197731</v>
      </c>
      <c r="AR97">
        <v>12.5</v>
      </c>
      <c r="AS97" s="8">
        <f t="shared" si="149"/>
        <v>75</v>
      </c>
      <c r="AT97">
        <f t="shared" si="150"/>
        <v>3.2441167844025456</v>
      </c>
      <c r="AU97">
        <f t="shared" si="153"/>
        <v>64.882335688050915</v>
      </c>
      <c r="AW97">
        <f t="shared" si="153"/>
        <v>0</v>
      </c>
      <c r="AX97">
        <f t="shared" si="144"/>
        <v>3.3684051378580628</v>
      </c>
      <c r="AY97">
        <f t="shared" si="122"/>
        <v>67.368102757161253</v>
      </c>
      <c r="BA97">
        <f t="shared" si="123"/>
        <v>0</v>
      </c>
      <c r="BC97" s="97" t="str">
        <f t="shared" si="124"/>
        <v>&lt; 0</v>
      </c>
      <c r="BD97" s="107">
        <f t="shared" si="125"/>
        <v>50.155750406928007</v>
      </c>
      <c r="BE97" s="97" t="str">
        <f t="shared" si="126"/>
        <v>&lt; 0</v>
      </c>
      <c r="BF97" s="97">
        <f t="shared" si="127"/>
        <v>49.203919421802269</v>
      </c>
    </row>
    <row r="98" spans="1:58" x14ac:dyDescent="0.25">
      <c r="A98" s="7">
        <v>20</v>
      </c>
      <c r="B98" s="6" t="s">
        <v>118</v>
      </c>
      <c r="C98" s="7"/>
      <c r="D98" s="6">
        <v>40579</v>
      </c>
      <c r="E98" s="7"/>
      <c r="F98" s="6"/>
      <c r="G98" s="7">
        <v>202515</v>
      </c>
      <c r="H98" s="66">
        <v>203812</v>
      </c>
      <c r="AC98">
        <v>26</v>
      </c>
      <c r="AD98" s="10" t="s">
        <v>146</v>
      </c>
      <c r="AE98" s="8">
        <v>1860703</v>
      </c>
      <c r="AF98" s="63">
        <f t="shared" si="129"/>
        <v>1860703</v>
      </c>
      <c r="AG98" s="8">
        <f t="shared" si="130"/>
        <v>1800291.75</v>
      </c>
      <c r="AH98">
        <f t="shared" si="131"/>
        <v>2.8142576478193355</v>
      </c>
      <c r="AI98" s="8">
        <f t="shared" si="132"/>
        <v>2.906491017775076</v>
      </c>
      <c r="AJ98">
        <f t="shared" si="151"/>
        <v>2.8142576478193355</v>
      </c>
      <c r="AK98" s="8">
        <f t="shared" si="152"/>
        <v>2.906491017775076</v>
      </c>
      <c r="AL98" s="9">
        <f t="shared" si="118"/>
        <v>2.8142576478193355</v>
      </c>
      <c r="AM98" s="8">
        <f t="shared" si="119"/>
        <v>2.906491017775076</v>
      </c>
      <c r="AN98">
        <f t="shared" si="147"/>
        <v>4.9249508836838372</v>
      </c>
      <c r="AO98" s="8">
        <f t="shared" si="147"/>
        <v>5.0863592811063834</v>
      </c>
      <c r="AP98">
        <f t="shared" si="148"/>
        <v>29.549705302103021</v>
      </c>
      <c r="AQ98" s="8">
        <f t="shared" si="148"/>
        <v>30.518155686638302</v>
      </c>
      <c r="AR98">
        <v>12.5</v>
      </c>
      <c r="AS98" s="8">
        <f t="shared" si="149"/>
        <v>75</v>
      </c>
      <c r="AT98">
        <f t="shared" si="150"/>
        <v>3.8585466059491433</v>
      </c>
      <c r="AU98">
        <f t="shared" si="153"/>
        <v>77.170932118982861</v>
      </c>
      <c r="AW98">
        <f t="shared" si="153"/>
        <v>0</v>
      </c>
      <c r="AX98">
        <f t="shared" si="144"/>
        <v>3.9850050902580474</v>
      </c>
      <c r="AY98">
        <f t="shared" si="122"/>
        <v>79.700101805160955</v>
      </c>
      <c r="BA98">
        <f t="shared" si="123"/>
        <v>0</v>
      </c>
      <c r="BC98" s="97" t="str">
        <f t="shared" si="124"/>
        <v>&lt; 0</v>
      </c>
      <c r="BD98" s="107">
        <f t="shared" si="125"/>
        <v>45.450294697896979</v>
      </c>
      <c r="BE98" s="97" t="str">
        <f t="shared" si="126"/>
        <v>&lt; 0</v>
      </c>
      <c r="BF98" s="97">
        <f t="shared" si="127"/>
        <v>44.481844313361698</v>
      </c>
    </row>
    <row r="99" spans="1:58" x14ac:dyDescent="0.25">
      <c r="A99">
        <v>21</v>
      </c>
      <c r="B99" s="10" t="s">
        <v>112</v>
      </c>
      <c r="D99" s="8">
        <v>118898</v>
      </c>
      <c r="F99" s="8">
        <v>16006</v>
      </c>
      <c r="G99">
        <v>168514</v>
      </c>
      <c r="H99" s="8">
        <v>170843</v>
      </c>
      <c r="I99">
        <f t="shared" si="133"/>
        <v>7.4283393727352243</v>
      </c>
    </row>
    <row r="100" spans="1:58" x14ac:dyDescent="0.25">
      <c r="A100">
        <v>22</v>
      </c>
      <c r="B100" s="10" t="s">
        <v>113</v>
      </c>
      <c r="D100" s="8">
        <v>18766</v>
      </c>
      <c r="F100" s="8"/>
      <c r="G100">
        <v>328659</v>
      </c>
      <c r="H100" s="8">
        <v>328659</v>
      </c>
    </row>
    <row r="101" spans="1:58" x14ac:dyDescent="0.25">
      <c r="A101">
        <v>23</v>
      </c>
      <c r="B101" s="10" t="s">
        <v>114</v>
      </c>
      <c r="C101">
        <v>761878</v>
      </c>
      <c r="D101" s="8">
        <v>766173</v>
      </c>
      <c r="F101" s="8">
        <v>115566</v>
      </c>
      <c r="G101">
        <v>191423</v>
      </c>
      <c r="H101" s="8">
        <v>191748</v>
      </c>
      <c r="I101">
        <f t="shared" si="133"/>
        <v>6.6297440423654015</v>
      </c>
    </row>
    <row r="102" spans="1:58" x14ac:dyDescent="0.25">
      <c r="A102">
        <v>24</v>
      </c>
      <c r="B102" s="10" t="s">
        <v>115</v>
      </c>
      <c r="C102">
        <v>694324</v>
      </c>
      <c r="D102" s="8">
        <v>694324</v>
      </c>
      <c r="F102" s="8">
        <v>101227</v>
      </c>
      <c r="G102">
        <v>126647</v>
      </c>
      <c r="H102" s="8">
        <v>124899</v>
      </c>
      <c r="I102">
        <f t="shared" si="133"/>
        <v>6.8590790994497519</v>
      </c>
    </row>
    <row r="103" spans="1:58" x14ac:dyDescent="0.25">
      <c r="A103">
        <v>25</v>
      </c>
      <c r="B103" s="10" t="s">
        <v>116</v>
      </c>
      <c r="C103">
        <v>545029</v>
      </c>
      <c r="D103" s="8">
        <v>545029</v>
      </c>
      <c r="F103" s="8">
        <v>78863</v>
      </c>
      <c r="G103">
        <v>146319</v>
      </c>
      <c r="H103" s="8">
        <v>147921</v>
      </c>
      <c r="I103">
        <f t="shared" si="133"/>
        <v>6.9110863142411523</v>
      </c>
    </row>
    <row r="104" spans="1:58" x14ac:dyDescent="0.25">
      <c r="A104">
        <v>26</v>
      </c>
      <c r="B104" s="10" t="s">
        <v>117</v>
      </c>
      <c r="C104">
        <v>440088</v>
      </c>
      <c r="D104" s="8">
        <v>440541</v>
      </c>
      <c r="F104" s="8">
        <v>65666</v>
      </c>
      <c r="G104">
        <v>143473</v>
      </c>
      <c r="H104" s="8">
        <v>148035</v>
      </c>
      <c r="I104">
        <f t="shared" si="133"/>
        <v>6.7088143026832761</v>
      </c>
    </row>
    <row r="108" spans="1:58" x14ac:dyDescent="0.25">
      <c r="A108" t="s">
        <v>119</v>
      </c>
    </row>
    <row r="109" spans="1:58" x14ac:dyDescent="0.25">
      <c r="A109" t="s">
        <v>120</v>
      </c>
    </row>
    <row r="110" spans="1:58" x14ac:dyDescent="0.25">
      <c r="A110" t="s">
        <v>2</v>
      </c>
    </row>
    <row r="111" spans="1:58" x14ac:dyDescent="0.25">
      <c r="A111" t="s">
        <v>4</v>
      </c>
    </row>
    <row r="112" spans="1:58" x14ac:dyDescent="0.25">
      <c r="A112" s="1"/>
      <c r="B112" s="2"/>
      <c r="C112" t="s">
        <v>8</v>
      </c>
      <c r="E112" t="s">
        <v>9</v>
      </c>
      <c r="F112" s="8"/>
      <c r="G112" t="s">
        <v>6</v>
      </c>
      <c r="H112" s="8"/>
      <c r="I112" s="63" t="s">
        <v>210</v>
      </c>
    </row>
    <row r="113" spans="1:9" x14ac:dyDescent="0.25">
      <c r="A113" s="5" t="s">
        <v>11</v>
      </c>
      <c r="B113" s="6" t="s">
        <v>12</v>
      </c>
      <c r="C113" s="7" t="s">
        <v>16</v>
      </c>
      <c r="D113" s="6" t="s">
        <v>17</v>
      </c>
      <c r="E113" s="7" t="s">
        <v>18</v>
      </c>
      <c r="F113" s="6" t="s">
        <v>19</v>
      </c>
      <c r="G113" s="7" t="s">
        <v>14</v>
      </c>
      <c r="H113" s="6" t="s">
        <v>15</v>
      </c>
      <c r="I113" s="23" t="s">
        <v>211</v>
      </c>
    </row>
    <row r="114" spans="1:9" x14ac:dyDescent="0.25">
      <c r="A114">
        <v>1</v>
      </c>
      <c r="B114" s="4" t="s">
        <v>121</v>
      </c>
      <c r="D114" s="4">
        <v>15880</v>
      </c>
      <c r="F114" s="4"/>
      <c r="H114" s="64">
        <v>66842</v>
      </c>
    </row>
    <row r="115" spans="1:9" x14ac:dyDescent="0.25">
      <c r="A115">
        <v>2</v>
      </c>
      <c r="B115" s="8" t="s">
        <v>122</v>
      </c>
      <c r="D115" s="8">
        <v>24957</v>
      </c>
      <c r="F115" s="8"/>
      <c r="G115">
        <v>257615</v>
      </c>
      <c r="H115" s="65">
        <v>258956</v>
      </c>
    </row>
    <row r="116" spans="1:9" x14ac:dyDescent="0.25">
      <c r="A116">
        <v>3</v>
      </c>
      <c r="B116" s="8" t="s">
        <v>123</v>
      </c>
      <c r="C116">
        <v>387228</v>
      </c>
      <c r="D116" s="8">
        <v>387228</v>
      </c>
      <c r="F116" s="8">
        <v>58783</v>
      </c>
      <c r="G116">
        <v>433475</v>
      </c>
      <c r="H116" s="8">
        <v>433210</v>
      </c>
      <c r="I116">
        <f t="shared" ref="I116:I139" si="154">D116/F116</f>
        <v>6.5874147287481071</v>
      </c>
    </row>
    <row r="117" spans="1:9" x14ac:dyDescent="0.25">
      <c r="A117">
        <v>4</v>
      </c>
      <c r="B117" s="8" t="s">
        <v>124</v>
      </c>
      <c r="C117">
        <v>369283</v>
      </c>
      <c r="D117" s="8">
        <v>369283</v>
      </c>
      <c r="F117" s="8">
        <v>54144</v>
      </c>
      <c r="G117">
        <v>618660</v>
      </c>
      <c r="H117" s="8">
        <v>616216</v>
      </c>
      <c r="I117">
        <f t="shared" si="154"/>
        <v>6.8203863770685578</v>
      </c>
    </row>
    <row r="118" spans="1:9" x14ac:dyDescent="0.25">
      <c r="A118">
        <v>5</v>
      </c>
      <c r="B118" s="8" t="s">
        <v>125</v>
      </c>
      <c r="C118">
        <v>1914527</v>
      </c>
      <c r="D118" s="8">
        <v>1914527</v>
      </c>
      <c r="E118">
        <v>287527</v>
      </c>
      <c r="F118" s="8">
        <v>287527</v>
      </c>
      <c r="G118">
        <v>582537</v>
      </c>
      <c r="H118" s="8">
        <v>579625</v>
      </c>
      <c r="I118">
        <f t="shared" si="154"/>
        <v>6.6585990185269557</v>
      </c>
    </row>
    <row r="119" spans="1:9" x14ac:dyDescent="0.25">
      <c r="A119">
        <v>6</v>
      </c>
      <c r="B119" s="8" t="s">
        <v>126</v>
      </c>
      <c r="C119">
        <v>2044957</v>
      </c>
      <c r="D119" s="8">
        <v>2039245</v>
      </c>
      <c r="E119">
        <v>300311</v>
      </c>
      <c r="F119" s="8">
        <v>301209</v>
      </c>
      <c r="G119">
        <v>140113</v>
      </c>
      <c r="H119" s="8">
        <v>141087</v>
      </c>
      <c r="I119">
        <f t="shared" si="154"/>
        <v>6.7701994296319166</v>
      </c>
    </row>
    <row r="120" spans="1:9" x14ac:dyDescent="0.25">
      <c r="A120">
        <v>7</v>
      </c>
      <c r="B120" s="8" t="s">
        <v>127</v>
      </c>
      <c r="C120">
        <v>4260749</v>
      </c>
      <c r="D120" s="8">
        <v>4252537</v>
      </c>
      <c r="E120">
        <v>637012</v>
      </c>
      <c r="F120" s="8">
        <v>637012</v>
      </c>
      <c r="G120">
        <v>586570</v>
      </c>
      <c r="H120" s="8">
        <v>585610</v>
      </c>
      <c r="I120">
        <f t="shared" si="154"/>
        <v>6.6757565006624677</v>
      </c>
    </row>
    <row r="121" spans="1:9" x14ac:dyDescent="0.25">
      <c r="A121">
        <v>8</v>
      </c>
      <c r="B121" s="8" t="s">
        <v>128</v>
      </c>
      <c r="C121">
        <v>4619125</v>
      </c>
      <c r="D121" s="8">
        <v>4610723</v>
      </c>
      <c r="E121">
        <v>690732</v>
      </c>
      <c r="F121" s="8">
        <v>690732</v>
      </c>
      <c r="G121">
        <v>541864</v>
      </c>
      <c r="H121" s="8">
        <v>541864</v>
      </c>
      <c r="I121">
        <f t="shared" si="154"/>
        <v>6.6751258085625107</v>
      </c>
    </row>
    <row r="122" spans="1:9" x14ac:dyDescent="0.25">
      <c r="A122">
        <v>9</v>
      </c>
      <c r="B122" s="6" t="s">
        <v>129</v>
      </c>
      <c r="C122" s="7"/>
      <c r="D122" s="6">
        <v>105093</v>
      </c>
      <c r="E122" s="7"/>
      <c r="F122" s="6"/>
      <c r="G122" s="7">
        <v>760465</v>
      </c>
      <c r="H122" s="66">
        <v>758785</v>
      </c>
    </row>
    <row r="123" spans="1:9" x14ac:dyDescent="0.25">
      <c r="A123">
        <v>10</v>
      </c>
      <c r="B123" s="10" t="s">
        <v>130</v>
      </c>
      <c r="C123">
        <v>2289482</v>
      </c>
      <c r="D123" s="8">
        <v>2287282</v>
      </c>
      <c r="E123">
        <v>347571</v>
      </c>
      <c r="F123" s="8">
        <v>347571</v>
      </c>
      <c r="G123">
        <v>415536</v>
      </c>
      <c r="H123" s="8">
        <v>411565</v>
      </c>
      <c r="I123">
        <f t="shared" si="154"/>
        <v>6.5807619162703448</v>
      </c>
    </row>
    <row r="124" spans="1:9" x14ac:dyDescent="0.25">
      <c r="A124">
        <v>11</v>
      </c>
      <c r="B124" s="10" t="s">
        <v>131</v>
      </c>
      <c r="C124">
        <v>2168216</v>
      </c>
      <c r="D124" s="8">
        <v>2168216</v>
      </c>
      <c r="E124">
        <v>324966</v>
      </c>
      <c r="F124" s="8">
        <v>325270</v>
      </c>
      <c r="G124">
        <v>252761</v>
      </c>
      <c r="H124" s="8">
        <v>254359</v>
      </c>
      <c r="I124">
        <f t="shared" si="154"/>
        <v>6.6658960248409018</v>
      </c>
    </row>
    <row r="125" spans="1:9" x14ac:dyDescent="0.25">
      <c r="A125">
        <v>12</v>
      </c>
      <c r="B125" s="10" t="s">
        <v>132</v>
      </c>
      <c r="C125">
        <v>2430899</v>
      </c>
      <c r="D125" s="8">
        <v>2424455</v>
      </c>
      <c r="E125">
        <v>368191</v>
      </c>
      <c r="F125" s="8">
        <v>368191</v>
      </c>
      <c r="G125">
        <v>647942</v>
      </c>
      <c r="H125" s="8">
        <v>647086</v>
      </c>
      <c r="I125">
        <f t="shared" si="154"/>
        <v>6.5847752932581187</v>
      </c>
    </row>
    <row r="126" spans="1:9" x14ac:dyDescent="0.25">
      <c r="A126" s="7">
        <v>13</v>
      </c>
      <c r="B126" s="20" t="s">
        <v>133</v>
      </c>
      <c r="C126" s="7">
        <v>2770487</v>
      </c>
      <c r="D126" s="6">
        <v>2767769</v>
      </c>
      <c r="E126" s="7">
        <v>410263</v>
      </c>
      <c r="F126" s="6">
        <v>411032</v>
      </c>
      <c r="G126" s="7">
        <v>616703</v>
      </c>
      <c r="H126" s="6">
        <v>615079</v>
      </c>
      <c r="I126">
        <f t="shared" si="154"/>
        <v>6.733706864672337</v>
      </c>
    </row>
    <row r="127" spans="1:9" x14ac:dyDescent="0.25">
      <c r="A127">
        <v>14</v>
      </c>
      <c r="B127" s="10" t="s">
        <v>135</v>
      </c>
      <c r="C127">
        <v>238332</v>
      </c>
      <c r="D127" s="8">
        <v>239617</v>
      </c>
      <c r="F127" s="8">
        <v>35258</v>
      </c>
      <c r="G127">
        <v>323078</v>
      </c>
      <c r="H127" s="8">
        <v>323078</v>
      </c>
      <c r="I127">
        <f t="shared" si="154"/>
        <v>6.796103012082364</v>
      </c>
    </row>
    <row r="128" spans="1:9" x14ac:dyDescent="0.25">
      <c r="A128">
        <v>15</v>
      </c>
      <c r="B128" s="10" t="s">
        <v>136</v>
      </c>
      <c r="D128" s="8">
        <v>53381</v>
      </c>
      <c r="F128" s="8"/>
      <c r="G128">
        <v>659269</v>
      </c>
      <c r="H128" s="8">
        <v>656531</v>
      </c>
    </row>
    <row r="129" spans="1:9" x14ac:dyDescent="0.25">
      <c r="A129">
        <v>16</v>
      </c>
      <c r="B129" s="10" t="s">
        <v>137</v>
      </c>
      <c r="C129">
        <v>2244300</v>
      </c>
      <c r="D129" s="8">
        <v>2239511</v>
      </c>
      <c r="E129">
        <v>337853</v>
      </c>
      <c r="F129" s="8">
        <v>337853</v>
      </c>
      <c r="G129">
        <v>273275</v>
      </c>
      <c r="H129" s="8">
        <v>273275</v>
      </c>
      <c r="I129">
        <f t="shared" si="154"/>
        <v>6.6286550659606398</v>
      </c>
    </row>
    <row r="130" spans="1:9" x14ac:dyDescent="0.25">
      <c r="A130">
        <v>17</v>
      </c>
      <c r="B130" s="10" t="s">
        <v>138</v>
      </c>
      <c r="C130">
        <v>1850022</v>
      </c>
      <c r="D130" s="8">
        <v>1846720</v>
      </c>
      <c r="E130">
        <v>272939</v>
      </c>
      <c r="F130" s="8">
        <v>274660</v>
      </c>
      <c r="G130">
        <v>192917</v>
      </c>
      <c r="H130" s="8">
        <v>192917</v>
      </c>
      <c r="I130">
        <f t="shared" si="154"/>
        <v>6.7236583412218742</v>
      </c>
    </row>
    <row r="131" spans="1:9" x14ac:dyDescent="0.25">
      <c r="A131">
        <v>18</v>
      </c>
      <c r="B131" s="10" t="s">
        <v>139</v>
      </c>
      <c r="C131">
        <v>2084957</v>
      </c>
      <c r="D131" s="8">
        <v>2082174</v>
      </c>
      <c r="E131">
        <v>81800</v>
      </c>
      <c r="F131" s="8">
        <v>311155</v>
      </c>
      <c r="G131">
        <v>912281</v>
      </c>
      <c r="H131" s="8">
        <v>912281</v>
      </c>
      <c r="I131">
        <f t="shared" si="154"/>
        <v>6.6917581269785158</v>
      </c>
    </row>
    <row r="132" spans="1:9" x14ac:dyDescent="0.25">
      <c r="A132" s="7">
        <v>19</v>
      </c>
      <c r="B132" s="20" t="s">
        <v>140</v>
      </c>
      <c r="C132" s="7">
        <v>2181819</v>
      </c>
      <c r="D132" s="6">
        <v>2181819</v>
      </c>
      <c r="E132" s="7">
        <v>321609</v>
      </c>
      <c r="F132" s="6">
        <v>321609</v>
      </c>
      <c r="G132" s="7">
        <v>985562</v>
      </c>
      <c r="H132" s="6">
        <v>985562</v>
      </c>
      <c r="I132">
        <f t="shared" si="154"/>
        <v>6.7840732069065233</v>
      </c>
    </row>
    <row r="133" spans="1:9" x14ac:dyDescent="0.25">
      <c r="A133" s="7">
        <v>20</v>
      </c>
      <c r="B133" s="2" t="s">
        <v>134</v>
      </c>
      <c r="C133" s="21"/>
      <c r="D133" s="2">
        <v>95715</v>
      </c>
      <c r="E133" s="21"/>
      <c r="F133" s="2"/>
      <c r="G133" s="21">
        <v>817504</v>
      </c>
      <c r="H133" s="67">
        <v>812153</v>
      </c>
    </row>
    <row r="134" spans="1:9" x14ac:dyDescent="0.25">
      <c r="A134">
        <v>21</v>
      </c>
      <c r="B134" s="10" t="s">
        <v>141</v>
      </c>
      <c r="C134">
        <v>155631</v>
      </c>
      <c r="D134" s="8">
        <v>156682</v>
      </c>
      <c r="F134" s="8">
        <v>23900</v>
      </c>
      <c r="G134">
        <v>332839</v>
      </c>
      <c r="H134" s="8">
        <v>332839</v>
      </c>
      <c r="I134">
        <f t="shared" si="154"/>
        <v>6.5557322175732216</v>
      </c>
    </row>
    <row r="135" spans="1:9" x14ac:dyDescent="0.25">
      <c r="A135">
        <v>22</v>
      </c>
      <c r="B135" s="10" t="s">
        <v>142</v>
      </c>
      <c r="D135" s="8">
        <v>31295</v>
      </c>
      <c r="F135" s="8"/>
      <c r="G135">
        <v>474556</v>
      </c>
      <c r="H135" s="8">
        <v>474556</v>
      </c>
    </row>
    <row r="136" spans="1:9" x14ac:dyDescent="0.25">
      <c r="A136">
        <v>23</v>
      </c>
      <c r="B136" s="10" t="s">
        <v>143</v>
      </c>
      <c r="C136">
        <v>1905470</v>
      </c>
      <c r="D136" s="8">
        <v>1899653</v>
      </c>
      <c r="E136">
        <v>287476</v>
      </c>
      <c r="F136" s="8">
        <v>287831</v>
      </c>
      <c r="G136">
        <v>523655</v>
      </c>
      <c r="H136" s="8">
        <v>523655</v>
      </c>
      <c r="I136">
        <f t="shared" si="154"/>
        <v>6.5998902133543638</v>
      </c>
    </row>
    <row r="137" spans="1:9" x14ac:dyDescent="0.25">
      <c r="A137">
        <v>24</v>
      </c>
      <c r="B137" s="10" t="s">
        <v>144</v>
      </c>
      <c r="C137">
        <v>1871546</v>
      </c>
      <c r="D137" s="8">
        <v>1871546</v>
      </c>
      <c r="E137">
        <v>283997</v>
      </c>
      <c r="F137" s="8">
        <v>284569</v>
      </c>
      <c r="G137">
        <v>610927</v>
      </c>
      <c r="H137" s="8">
        <v>609151</v>
      </c>
      <c r="I137">
        <f t="shared" si="154"/>
        <v>6.5767739985732812</v>
      </c>
    </row>
    <row r="138" spans="1:9" x14ac:dyDescent="0.25">
      <c r="A138">
        <v>25</v>
      </c>
      <c r="B138" s="10" t="s">
        <v>145</v>
      </c>
      <c r="C138">
        <v>1597957</v>
      </c>
      <c r="D138" s="8">
        <v>1597957</v>
      </c>
      <c r="E138">
        <v>239411</v>
      </c>
      <c r="F138" s="8">
        <v>239509</v>
      </c>
      <c r="G138">
        <v>585725</v>
      </c>
      <c r="H138" s="8">
        <v>585333</v>
      </c>
      <c r="I138">
        <f t="shared" si="154"/>
        <v>6.6718035647929721</v>
      </c>
    </row>
    <row r="139" spans="1:9" x14ac:dyDescent="0.25">
      <c r="A139">
        <v>26</v>
      </c>
      <c r="B139" s="10" t="s">
        <v>146</v>
      </c>
      <c r="C139">
        <v>1863148</v>
      </c>
      <c r="D139" s="8">
        <v>1860703</v>
      </c>
      <c r="E139">
        <v>274244</v>
      </c>
      <c r="F139" s="8">
        <v>275397</v>
      </c>
      <c r="G139">
        <v>579331</v>
      </c>
      <c r="H139" s="8">
        <v>579331</v>
      </c>
      <c r="I139">
        <f t="shared" si="154"/>
        <v>6.7564388864076221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</vt:lpstr>
      <vt:lpstr>Processing_final</vt:lpstr>
      <vt:lpstr>Processing1</vt:lpstr>
      <vt:lpstr>Proces_final_wo_drift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2021-08-11T06:55:02Z</dcterms:created>
  <dcterms:modified xsi:type="dcterms:W3CDTF">2021-09-11T18:31:40Z</dcterms:modified>
</cp:coreProperties>
</file>