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tudium Geo\M.Sc\OSLO\MA_PFC\GC-MS\Part_Exp_C\"/>
    </mc:Choice>
  </mc:AlternateContent>
  <xr:revisionPtr revIDLastSave="0" documentId="13_ncr:1_{DB043F69-1DC8-4F81-8FFE-1CBA482B027B}" xr6:coauthVersionLast="46" xr6:coauthVersionMax="46" xr10:uidLastSave="{00000000-0000-0000-0000-000000000000}"/>
  <bookViews>
    <workbookView xWindow="-120" yWindow="-120" windowWidth="20730" windowHeight="11160" activeTab="2" xr2:uid="{DFBD8005-3961-44CC-B739-3774A52CAEB5}"/>
  </bookViews>
  <sheets>
    <sheet name="raw data" sheetId="1" r:id="rId1"/>
    <sheet name="1st processing" sheetId="2" r:id="rId2"/>
    <sheet name="Processing_f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1" i="3" l="1"/>
  <c r="AZ15" i="3"/>
  <c r="AZ21" i="3"/>
  <c r="AZ26" i="3"/>
  <c r="BD26" i="3"/>
  <c r="BG26" i="3" s="1"/>
  <c r="BC26" i="3"/>
  <c r="BH27" i="3"/>
  <c r="BG27" i="3"/>
  <c r="BK29" i="3"/>
  <c r="BJ29" i="3"/>
  <c r="BK22" i="3"/>
  <c r="BJ22" i="3"/>
  <c r="BJ21" i="3"/>
  <c r="BK21" i="3"/>
  <c r="BK12" i="3"/>
  <c r="BJ12" i="3"/>
  <c r="BK11" i="3"/>
  <c r="BJ11" i="3"/>
  <c r="BG8" i="3"/>
  <c r="BG9" i="3"/>
  <c r="BG10" i="3"/>
  <c r="BG11" i="3"/>
  <c r="BG12" i="3"/>
  <c r="BG13" i="3"/>
  <c r="BG15" i="3"/>
  <c r="BG16" i="3"/>
  <c r="BG17" i="3"/>
  <c r="BG20" i="3"/>
  <c r="BG21" i="3"/>
  <c r="BG22" i="3"/>
  <c r="BG23" i="3"/>
  <c r="BG24" i="3"/>
  <c r="BG25" i="3"/>
  <c r="BG28" i="3"/>
  <c r="BG29" i="3"/>
  <c r="BG30" i="3"/>
  <c r="BG31" i="3"/>
  <c r="BD8" i="3"/>
  <c r="BD11" i="3"/>
  <c r="BD12" i="3"/>
  <c r="BD16" i="3"/>
  <c r="BD7" i="3"/>
  <c r="BF7" i="3"/>
  <c r="BC8" i="3"/>
  <c r="BC9" i="3"/>
  <c r="BC10" i="3"/>
  <c r="BC11" i="3"/>
  <c r="BC12" i="3"/>
  <c r="BC13" i="3"/>
  <c r="BC14" i="3"/>
  <c r="BC15" i="3"/>
  <c r="BC16" i="3"/>
  <c r="BC17" i="3"/>
  <c r="BC20" i="3"/>
  <c r="BC22" i="3"/>
  <c r="BC25" i="3"/>
  <c r="BC27" i="3"/>
  <c r="BC31" i="3"/>
  <c r="BC7" i="3"/>
  <c r="BB15" i="3"/>
  <c r="BE7" i="3"/>
  <c r="BA8" i="3"/>
  <c r="BA9" i="3"/>
  <c r="BD9" i="3" s="1"/>
  <c r="BA10" i="3"/>
  <c r="BD10" i="3" s="1"/>
  <c r="BA11" i="3"/>
  <c r="BA12" i="3"/>
  <c r="BA13" i="3"/>
  <c r="BD13" i="3" s="1"/>
  <c r="BA14" i="3"/>
  <c r="BD14" i="3" s="1"/>
  <c r="BA15" i="3"/>
  <c r="BD15" i="3" s="1"/>
  <c r="BA16" i="3"/>
  <c r="BA17" i="3"/>
  <c r="BD17" i="3" s="1"/>
  <c r="BA20" i="3"/>
  <c r="BD20" i="3" s="1"/>
  <c r="BA25" i="3"/>
  <c r="BD25" i="3" s="1"/>
  <c r="BA7" i="3"/>
  <c r="AY7" i="3"/>
  <c r="AY8" i="3"/>
  <c r="AY9" i="3"/>
  <c r="AY10" i="3"/>
  <c r="AY11" i="3"/>
  <c r="AY12" i="3"/>
  <c r="AY13" i="3"/>
  <c r="AY14" i="3"/>
  <c r="AY15" i="3"/>
  <c r="AY16" i="3"/>
  <c r="AY17" i="3"/>
  <c r="AY20" i="3"/>
  <c r="AY25" i="3"/>
  <c r="AW8" i="3"/>
  <c r="AW7" i="3"/>
  <c r="AW9" i="3"/>
  <c r="AW10" i="3"/>
  <c r="AW11" i="3"/>
  <c r="AW12" i="3"/>
  <c r="AW13" i="3"/>
  <c r="AW14" i="3"/>
  <c r="AW15" i="3"/>
  <c r="AW16" i="3"/>
  <c r="AW17" i="3"/>
  <c r="AW20" i="3"/>
  <c r="AW25" i="3"/>
  <c r="AX8" i="3"/>
  <c r="AX7" i="3"/>
  <c r="AU14" i="3"/>
  <c r="AE7" i="3"/>
  <c r="AR21" i="3"/>
  <c r="AR22" i="3"/>
  <c r="AS22" i="3" s="1"/>
  <c r="AT22" i="3" s="1"/>
  <c r="AW22" i="3" s="1"/>
  <c r="AR23" i="3"/>
  <c r="AR24" i="3"/>
  <c r="AR25" i="3"/>
  <c r="AR26" i="3"/>
  <c r="AS26" i="3" s="1"/>
  <c r="AU26" i="3" s="1"/>
  <c r="AR27" i="3"/>
  <c r="AS27" i="3" s="1"/>
  <c r="AT27" i="3" s="1"/>
  <c r="AW27" i="3" s="1"/>
  <c r="AR28" i="3"/>
  <c r="AR29" i="3"/>
  <c r="AR30" i="3"/>
  <c r="AS30" i="3" s="1"/>
  <c r="AU30" i="3" s="1"/>
  <c r="AR31" i="3"/>
  <c r="AS31" i="3" s="1"/>
  <c r="AT31" i="3" s="1"/>
  <c r="AW31" i="3" s="1"/>
  <c r="AR20" i="3"/>
  <c r="AS20" i="3" s="1"/>
  <c r="AT20" i="3" s="1"/>
  <c r="AR17" i="3"/>
  <c r="AR8" i="3"/>
  <c r="AR9" i="3"/>
  <c r="AR10" i="3"/>
  <c r="AR11" i="3"/>
  <c r="AR12" i="3"/>
  <c r="AR13" i="3"/>
  <c r="AR14" i="3"/>
  <c r="AS14" i="3" s="1"/>
  <c r="AT14" i="3" s="1"/>
  <c r="AR15" i="3"/>
  <c r="AR16" i="3"/>
  <c r="AS16" i="3" s="1"/>
  <c r="AU16" i="3" s="1"/>
  <c r="AR7" i="3"/>
  <c r="AE22" i="3"/>
  <c r="AE15" i="3"/>
  <c r="AE14" i="3"/>
  <c r="AE8" i="3"/>
  <c r="BK30" i="3" l="1"/>
  <c r="BJ30" i="3"/>
  <c r="AY31" i="3"/>
  <c r="BA31" i="3" s="1"/>
  <c r="BD31" i="3" s="1"/>
  <c r="AY27" i="3"/>
  <c r="BA27" i="3" s="1"/>
  <c r="BD27" i="3" s="1"/>
  <c r="AY22" i="3"/>
  <c r="BA22" i="3" s="1"/>
  <c r="BD22" i="3" s="1"/>
  <c r="AT30" i="3"/>
  <c r="BC30" i="3" s="1"/>
  <c r="AT26" i="3"/>
  <c r="AU22" i="3"/>
  <c r="AU31" i="3"/>
  <c r="AU27" i="3"/>
  <c r="AT16" i="3"/>
  <c r="AS28" i="3"/>
  <c r="AU20" i="3"/>
  <c r="AS23" i="3"/>
  <c r="AS17" i="3"/>
  <c r="AS10" i="3"/>
  <c r="AS13" i="3"/>
  <c r="AS12" i="3"/>
  <c r="AS8" i="3"/>
  <c r="AS15" i="3"/>
  <c r="AS21" i="3"/>
  <c r="AS29" i="3"/>
  <c r="AS25" i="3"/>
  <c r="AS7" i="3"/>
  <c r="AS9" i="3"/>
  <c r="AS11" i="3"/>
  <c r="AS24" i="3"/>
  <c r="AW30" i="3" l="1"/>
  <c r="AY30" i="3"/>
  <c r="AW26" i="3"/>
  <c r="AY26" i="3"/>
  <c r="AU13" i="3"/>
  <c r="AT13" i="3"/>
  <c r="AT7" i="3"/>
  <c r="AU7" i="3"/>
  <c r="AU15" i="3"/>
  <c r="AT15" i="3"/>
  <c r="AT10" i="3"/>
  <c r="AU10" i="3"/>
  <c r="AT28" i="3"/>
  <c r="BC28" i="3" s="1"/>
  <c r="AU28" i="3"/>
  <c r="AU9" i="3"/>
  <c r="AT9" i="3"/>
  <c r="AT24" i="3"/>
  <c r="BC24" i="3" s="1"/>
  <c r="AU24" i="3"/>
  <c r="AU25" i="3"/>
  <c r="AT25" i="3"/>
  <c r="AU8" i="3"/>
  <c r="AT8" i="3"/>
  <c r="AU17" i="3"/>
  <c r="AT17" i="3"/>
  <c r="AU21" i="3"/>
  <c r="AT21" i="3"/>
  <c r="BC21" i="3" s="1"/>
  <c r="AU11" i="3"/>
  <c r="AT11" i="3"/>
  <c r="AU29" i="3"/>
  <c r="AT29" i="3"/>
  <c r="BC29" i="3" s="1"/>
  <c r="AU12" i="3"/>
  <c r="AT12" i="3"/>
  <c r="AT23" i="3"/>
  <c r="BC23" i="3" s="1"/>
  <c r="AU23" i="3"/>
  <c r="BA26" i="3" l="1"/>
  <c r="BA30" i="3"/>
  <c r="BD30" i="3" s="1"/>
  <c r="AY29" i="3"/>
  <c r="AW29" i="3"/>
  <c r="AW21" i="3"/>
  <c r="BA21" i="3" s="1"/>
  <c r="BD21" i="3" s="1"/>
  <c r="AW23" i="3"/>
  <c r="AY23" i="3"/>
  <c r="AW24" i="3"/>
  <c r="AY24" i="3"/>
  <c r="AY28" i="3"/>
  <c r="AW28" i="3"/>
  <c r="BA23" i="3" l="1"/>
  <c r="BD23" i="3" s="1"/>
  <c r="BA24" i="3"/>
  <c r="BD24" i="3" s="1"/>
  <c r="BA28" i="3"/>
  <c r="BD28" i="3" s="1"/>
  <c r="BA29" i="3"/>
  <c r="BD29" i="3" s="1"/>
  <c r="AG8" i="3" l="1"/>
  <c r="BM10" i="3"/>
  <c r="AV24" i="3"/>
  <c r="AV25" i="3"/>
  <c r="AV26" i="3"/>
  <c r="AV27" i="3"/>
  <c r="AV28" i="3"/>
  <c r="AV29" i="3"/>
  <c r="AV30" i="3"/>
  <c r="AV31" i="3"/>
  <c r="AV15" i="3"/>
  <c r="AV16" i="3"/>
  <c r="AV17" i="3"/>
  <c r="AV20" i="3"/>
  <c r="AV21" i="3"/>
  <c r="AV22" i="3"/>
  <c r="AV23" i="3"/>
  <c r="AV14" i="3"/>
  <c r="AV8" i="3"/>
  <c r="AV9" i="3"/>
  <c r="AV10" i="3"/>
  <c r="AV11" i="3"/>
  <c r="AV12" i="3"/>
  <c r="AV13" i="3"/>
  <c r="AV7" i="3"/>
  <c r="AG7" i="3"/>
  <c r="O23" i="3"/>
  <c r="O24" i="3"/>
  <c r="O25" i="3"/>
  <c r="O26" i="3"/>
  <c r="O27" i="3"/>
  <c r="O28" i="3"/>
  <c r="O29" i="3"/>
  <c r="O30" i="3"/>
  <c r="O31" i="3"/>
  <c r="O22" i="3"/>
  <c r="O8" i="3"/>
  <c r="O9" i="3"/>
  <c r="O10" i="3"/>
  <c r="O11" i="3"/>
  <c r="O12" i="3"/>
  <c r="O13" i="3"/>
  <c r="O14" i="3"/>
  <c r="O15" i="3"/>
  <c r="O7" i="3"/>
  <c r="BO10" i="3"/>
  <c r="BN10" i="3"/>
  <c r="P24" i="3" l="1"/>
  <c r="P28" i="3"/>
  <c r="P22" i="3"/>
  <c r="P27" i="3"/>
  <c r="P31" i="3"/>
  <c r="P25" i="3"/>
  <c r="P29" i="3"/>
  <c r="P23" i="3"/>
  <c r="P26" i="3"/>
  <c r="P30" i="3"/>
  <c r="P11" i="3"/>
  <c r="P15" i="3"/>
  <c r="P14" i="3"/>
  <c r="P8" i="3"/>
  <c r="P12" i="3"/>
  <c r="P7" i="3"/>
  <c r="P10" i="3"/>
  <c r="P9" i="3"/>
  <c r="P13" i="3"/>
  <c r="AE26" i="3" l="1"/>
  <c r="AE27" i="3"/>
  <c r="AE28" i="3"/>
  <c r="AE29" i="3"/>
  <c r="AE30" i="3"/>
  <c r="AE31" i="3"/>
  <c r="AE25" i="3"/>
  <c r="AE24" i="3"/>
  <c r="AE21" i="3"/>
  <c r="AG22" i="3"/>
  <c r="AE23" i="3"/>
  <c r="AE20" i="3"/>
  <c r="AG15" i="3"/>
  <c r="AE16" i="3"/>
  <c r="AE17" i="3"/>
  <c r="AG14" i="3"/>
  <c r="AE9" i="3"/>
  <c r="AE10" i="3"/>
  <c r="AE11" i="3"/>
  <c r="AE12" i="3"/>
  <c r="AE13" i="3"/>
  <c r="AG29" i="3" l="1"/>
  <c r="AG13" i="3"/>
  <c r="AG9" i="3"/>
  <c r="AG27" i="3"/>
  <c r="AG12" i="3"/>
  <c r="AG20" i="3"/>
  <c r="AG24" i="3"/>
  <c r="AG31" i="3"/>
  <c r="AG26" i="3"/>
  <c r="AG10" i="3"/>
  <c r="AG11" i="3"/>
  <c r="AG28" i="3"/>
  <c r="AG30" i="3"/>
  <c r="AG25" i="3"/>
  <c r="AG16" i="3"/>
  <c r="AG17" i="3"/>
  <c r="AG21" i="3"/>
  <c r="AG23" i="3"/>
  <c r="AH24" i="3"/>
  <c r="AH25" i="3"/>
  <c r="AH26" i="3"/>
  <c r="AH27" i="3"/>
  <c r="AH28" i="3"/>
  <c r="AH29" i="3"/>
  <c r="AH30" i="3"/>
  <c r="AH31" i="3"/>
  <c r="AH23" i="3"/>
  <c r="AH22" i="3"/>
  <c r="AH21" i="3"/>
  <c r="AH20" i="3"/>
  <c r="AH15" i="3"/>
  <c r="AH16" i="3"/>
  <c r="AH17" i="3"/>
  <c r="AH14" i="3"/>
  <c r="AH8" i="3"/>
  <c r="AH9" i="3"/>
  <c r="AH10" i="3"/>
  <c r="AH11" i="3"/>
  <c r="AH12" i="3"/>
  <c r="AH13" i="3"/>
  <c r="AH7" i="3"/>
  <c r="R23" i="3"/>
  <c r="R24" i="3"/>
  <c r="R25" i="3"/>
  <c r="R26" i="3"/>
  <c r="R27" i="3"/>
  <c r="R28" i="3"/>
  <c r="R29" i="3"/>
  <c r="R30" i="3"/>
  <c r="R31" i="3"/>
  <c r="R8" i="3"/>
  <c r="R9" i="3"/>
  <c r="R10" i="3"/>
  <c r="R11" i="3"/>
  <c r="R12" i="3"/>
  <c r="R13" i="3"/>
  <c r="R14" i="3"/>
  <c r="R15" i="3"/>
  <c r="R7" i="3"/>
  <c r="H39" i="3"/>
  <c r="H40" i="3"/>
  <c r="H41" i="3"/>
  <c r="H42" i="3"/>
  <c r="H43" i="3"/>
  <c r="H44" i="3"/>
  <c r="H47" i="3"/>
  <c r="H48" i="3"/>
  <c r="H49" i="3"/>
  <c r="H50" i="3"/>
  <c r="H51" i="3"/>
  <c r="H52" i="3"/>
  <c r="H53" i="3"/>
  <c r="H55" i="3"/>
  <c r="H56" i="3"/>
  <c r="H57" i="3"/>
  <c r="H58" i="3"/>
  <c r="H59" i="3"/>
  <c r="H11" i="3"/>
  <c r="H12" i="3"/>
  <c r="H13" i="3"/>
  <c r="H14" i="3"/>
  <c r="H15" i="3"/>
  <c r="H16" i="3"/>
  <c r="H18" i="3"/>
  <c r="H19" i="3"/>
  <c r="H21" i="3"/>
  <c r="H22" i="3"/>
  <c r="H23" i="3"/>
  <c r="H24" i="3"/>
  <c r="H26" i="3"/>
  <c r="H27" i="3"/>
  <c r="H28" i="3"/>
  <c r="BT36" i="3"/>
  <c r="R22" i="3"/>
  <c r="BT35" i="3"/>
  <c r="BT34" i="3"/>
  <c r="BO12" i="3"/>
  <c r="BW10" i="3" s="1"/>
  <c r="BN12" i="3"/>
  <c r="BV12" i="3" s="1"/>
  <c r="BM12" i="3"/>
  <c r="BO11" i="3"/>
  <c r="BU12" i="3" s="1"/>
  <c r="BN11" i="3"/>
  <c r="BT20" i="3" s="1"/>
  <c r="BM11" i="3"/>
  <c r="BS12" i="3"/>
  <c r="BR21" i="3"/>
  <c r="Z8" i="3"/>
  <c r="Z14" i="3" s="1"/>
  <c r="AI25" i="3" s="1"/>
  <c r="X8" i="3"/>
  <c r="X14" i="3" s="1"/>
  <c r="Y7" i="3"/>
  <c r="Y8" i="3" s="1"/>
  <c r="BU6" i="3"/>
  <c r="Z6" i="3"/>
  <c r="Y6" i="3"/>
  <c r="X6" i="3"/>
  <c r="BU5" i="3"/>
  <c r="BT5" i="3"/>
  <c r="BS5" i="3"/>
  <c r="I5" i="3"/>
  <c r="J5" i="3" s="1"/>
  <c r="L2" i="3" s="1"/>
  <c r="S23" i="3" s="1"/>
  <c r="J4" i="3"/>
  <c r="J3" i="3"/>
  <c r="S28" i="3" l="1"/>
  <c r="AX24" i="3"/>
  <c r="AX28" i="3"/>
  <c r="AI27" i="3"/>
  <c r="S7" i="3"/>
  <c r="S27" i="3"/>
  <c r="AX11" i="3"/>
  <c r="AX12" i="3"/>
  <c r="AX26" i="3"/>
  <c r="AX13" i="3"/>
  <c r="T27" i="3"/>
  <c r="U27" i="3" s="1"/>
  <c r="S12" i="3"/>
  <c r="T12" i="3" s="1"/>
  <c r="U12" i="3" s="1"/>
  <c r="AI29" i="3"/>
  <c r="AX25" i="3"/>
  <c r="AX30" i="3"/>
  <c r="AI12" i="3"/>
  <c r="AI7" i="3"/>
  <c r="T23" i="3"/>
  <c r="U23" i="3" s="1"/>
  <c r="S26" i="3"/>
  <c r="T26" i="3" s="1"/>
  <c r="U26" i="3" s="1"/>
  <c r="AK3" i="3"/>
  <c r="AZ8" i="3" s="1"/>
  <c r="S11" i="3"/>
  <c r="T11" i="3" s="1"/>
  <c r="U11" i="3" s="1"/>
  <c r="AX10" i="3"/>
  <c r="AX29" i="3"/>
  <c r="AX27" i="3"/>
  <c r="AX9" i="3"/>
  <c r="AX31" i="3"/>
  <c r="AI10" i="3"/>
  <c r="BU9" i="3"/>
  <c r="BT10" i="3"/>
  <c r="BW11" i="3"/>
  <c r="S15" i="3"/>
  <c r="T15" i="3" s="1"/>
  <c r="U15" i="3" s="1"/>
  <c r="S10" i="3"/>
  <c r="T10" i="3" s="1"/>
  <c r="U10" i="3" s="1"/>
  <c r="S31" i="3"/>
  <c r="T31" i="3" s="1"/>
  <c r="U31" i="3" s="1"/>
  <c r="S25" i="3"/>
  <c r="T25" i="3" s="1"/>
  <c r="U25" i="3" s="1"/>
  <c r="AI13" i="3"/>
  <c r="AI8" i="3"/>
  <c r="AI26" i="3"/>
  <c r="AI24" i="3"/>
  <c r="AI9" i="3"/>
  <c r="AI28" i="3"/>
  <c r="AI31" i="3"/>
  <c r="BU7" i="3"/>
  <c r="T7" i="3"/>
  <c r="U7" i="3" s="1"/>
  <c r="T28" i="3"/>
  <c r="U28" i="3" s="1"/>
  <c r="S14" i="3"/>
  <c r="T14" i="3" s="1"/>
  <c r="U14" i="3" s="1"/>
  <c r="S8" i="3"/>
  <c r="T8" i="3" s="1"/>
  <c r="U8" i="3" s="1"/>
  <c r="S29" i="3"/>
  <c r="T29" i="3" s="1"/>
  <c r="U29" i="3" s="1"/>
  <c r="S24" i="3"/>
  <c r="T24" i="3" s="1"/>
  <c r="U24" i="3" s="1"/>
  <c r="AI30" i="3"/>
  <c r="AI11" i="3"/>
  <c r="Z9" i="3"/>
  <c r="Z10" i="3" s="1"/>
  <c r="BU10" i="3"/>
  <c r="X9" i="3"/>
  <c r="X10" i="3" s="1"/>
  <c r="BU8" i="3"/>
  <c r="S13" i="3"/>
  <c r="T13" i="3" s="1"/>
  <c r="U13" i="3" s="1"/>
  <c r="S9" i="3"/>
  <c r="T9" i="3" s="1"/>
  <c r="U9" i="3" s="1"/>
  <c r="S30" i="3"/>
  <c r="T30" i="3" s="1"/>
  <c r="U30" i="3" s="1"/>
  <c r="BW8" i="3"/>
  <c r="BT6" i="3"/>
  <c r="BS7" i="3"/>
  <c r="BT7" i="3"/>
  <c r="BT9" i="3"/>
  <c r="BS11" i="3"/>
  <c r="BR7" i="3"/>
  <c r="BV8" i="3"/>
  <c r="BV17" i="3"/>
  <c r="BR5" i="3"/>
  <c r="BT18" i="3"/>
  <c r="BV11" i="3"/>
  <c r="BV14" i="3"/>
  <c r="BS6" i="3"/>
  <c r="BS8" i="3"/>
  <c r="BW12" i="3"/>
  <c r="BV21" i="3"/>
  <c r="BV5" i="3"/>
  <c r="BV6" i="3"/>
  <c r="BV7" i="3"/>
  <c r="BV9" i="3"/>
  <c r="BV10" i="3"/>
  <c r="BW13" i="3"/>
  <c r="BV15" i="3"/>
  <c r="BV18" i="3"/>
  <c r="BW5" i="3"/>
  <c r="BW6" i="3"/>
  <c r="BW7" i="3"/>
  <c r="BW9" i="3"/>
  <c r="BV16" i="3"/>
  <c r="BV19" i="3"/>
  <c r="S22" i="3"/>
  <c r="T22" i="3" s="1"/>
  <c r="U22" i="3" s="1"/>
  <c r="Y9" i="3"/>
  <c r="Y10" i="3" s="1"/>
  <c r="Y14" i="3"/>
  <c r="AX21" i="3" s="1"/>
  <c r="BR17" i="3"/>
  <c r="BR6" i="3"/>
  <c r="BR8" i="3"/>
  <c r="BS20" i="3"/>
  <c r="BS18" i="3"/>
  <c r="BS16" i="3"/>
  <c r="BS14" i="3"/>
  <c r="BS21" i="3"/>
  <c r="BS19" i="3"/>
  <c r="BS17" i="3"/>
  <c r="BS15" i="3"/>
  <c r="BT13" i="3"/>
  <c r="BT21" i="3"/>
  <c r="BT19" i="3"/>
  <c r="BT12" i="3"/>
  <c r="BT11" i="3"/>
  <c r="BR14" i="3"/>
  <c r="BR16" i="3"/>
  <c r="BT17" i="3"/>
  <c r="BR12" i="3"/>
  <c r="BR20" i="3"/>
  <c r="BR13" i="3"/>
  <c r="BR9" i="3"/>
  <c r="BR10" i="3"/>
  <c r="BU21" i="3"/>
  <c r="BU19" i="3"/>
  <c r="BU17" i="3"/>
  <c r="BU15" i="3"/>
  <c r="BU20" i="3"/>
  <c r="BU18" i="3"/>
  <c r="BU16" i="3"/>
  <c r="BU14" i="3"/>
  <c r="BU11" i="3"/>
  <c r="BS13" i="3"/>
  <c r="BT14" i="3"/>
  <c r="BR15" i="3"/>
  <c r="BT16" i="3"/>
  <c r="BR19" i="3"/>
  <c r="BT8" i="3"/>
  <c r="BS9" i="3"/>
  <c r="BS10" i="3"/>
  <c r="BR11" i="3"/>
  <c r="BW20" i="3"/>
  <c r="BW18" i="3"/>
  <c r="BW16" i="3"/>
  <c r="BW14" i="3"/>
  <c r="BW21" i="3"/>
  <c r="BW19" i="3"/>
  <c r="BW17" i="3"/>
  <c r="BW15" i="3"/>
  <c r="BU13" i="3"/>
  <c r="BT15" i="3"/>
  <c r="BR18" i="3"/>
  <c r="BV13" i="3"/>
  <c r="BV20" i="3"/>
  <c r="AX14" i="3" l="1"/>
  <c r="AX22" i="3"/>
  <c r="AX15" i="3"/>
  <c r="AX23" i="3"/>
  <c r="AI14" i="3"/>
  <c r="AX17" i="3"/>
  <c r="AX20" i="3"/>
  <c r="AX16" i="3"/>
  <c r="AI23" i="3"/>
  <c r="AI16" i="3"/>
  <c r="AI22" i="3"/>
  <c r="AI20" i="3"/>
  <c r="AI17" i="3"/>
  <c r="AI15" i="3"/>
  <c r="AI21" i="3"/>
  <c r="BQ34" i="3"/>
  <c r="BR36" i="3"/>
  <c r="BR34" i="3"/>
  <c r="BR35" i="3"/>
  <c r="BQ36" i="3"/>
  <c r="BT40" i="3" l="1"/>
  <c r="AF49" i="2" l="1"/>
  <c r="BF5" i="2" l="1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F4" i="2"/>
  <c r="BE4" i="2"/>
  <c r="BD4" i="2"/>
  <c r="BC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AX11" i="2"/>
  <c r="AW11" i="2"/>
  <c r="AX10" i="2"/>
  <c r="AW10" i="2"/>
  <c r="AX9" i="2"/>
  <c r="AW9" i="2"/>
  <c r="AV11" i="2"/>
  <c r="AV10" i="2"/>
  <c r="AV9" i="2"/>
  <c r="AB6" i="2"/>
  <c r="E4" i="2" l="1"/>
  <c r="F4" i="2" s="1"/>
  <c r="H1" i="2" s="1"/>
  <c r="F3" i="2"/>
  <c r="F2" i="2"/>
  <c r="AC7" i="2"/>
  <c r="AC13" i="2" s="1"/>
  <c r="AA7" i="2"/>
  <c r="AA13" i="2" s="1"/>
  <c r="AB7" i="2"/>
  <c r="AC5" i="2"/>
  <c r="AB5" i="2"/>
  <c r="AA5" i="2"/>
  <c r="AA8" i="2" s="1"/>
  <c r="AA9" i="2" s="1"/>
  <c r="AC8" i="2" l="1"/>
  <c r="AC9" i="2" s="1"/>
  <c r="AB8" i="2"/>
  <c r="AB9" i="2" s="1"/>
  <c r="AB13" i="2"/>
  <c r="P26" i="2" l="1"/>
  <c r="L26" i="2"/>
  <c r="Q26" i="2" s="1"/>
  <c r="M9" i="2"/>
  <c r="J72" i="2"/>
  <c r="J71" i="2"/>
  <c r="M71" i="2" s="1"/>
  <c r="Y71" i="2" s="1"/>
  <c r="J70" i="2"/>
  <c r="J69" i="2"/>
  <c r="M69" i="2" s="1"/>
  <c r="Y69" i="2" s="1"/>
  <c r="J68" i="2"/>
  <c r="J67" i="2"/>
  <c r="M67" i="2" s="1"/>
  <c r="Y67" i="2" s="1"/>
  <c r="J66" i="2"/>
  <c r="M66" i="2" s="1"/>
  <c r="Y66" i="2" s="1"/>
  <c r="AF45" i="2"/>
  <c r="AF44" i="2"/>
  <c r="AF43" i="2"/>
  <c r="L61" i="2"/>
  <c r="Q61" i="2" s="1"/>
  <c r="M61" i="2"/>
  <c r="Y61" i="2" s="1"/>
  <c r="L62" i="2"/>
  <c r="Q62" i="2" s="1"/>
  <c r="M62" i="2"/>
  <c r="Y62" i="2" s="1"/>
  <c r="L63" i="2"/>
  <c r="Q63" i="2" s="1"/>
  <c r="M63" i="2"/>
  <c r="Y63" i="2" s="1"/>
  <c r="L64" i="2"/>
  <c r="Q64" i="2" s="1"/>
  <c r="M64" i="2"/>
  <c r="Y64" i="2" s="1"/>
  <c r="L65" i="2"/>
  <c r="Q65" i="2" s="1"/>
  <c r="M65" i="2"/>
  <c r="Y65" i="2" s="1"/>
  <c r="L66" i="2"/>
  <c r="Q66" i="2" s="1"/>
  <c r="L67" i="2"/>
  <c r="Q67" i="2" s="1"/>
  <c r="L68" i="2"/>
  <c r="Q68" i="2" s="1"/>
  <c r="M68" i="2"/>
  <c r="Y68" i="2" s="1"/>
  <c r="L69" i="2"/>
  <c r="Q69" i="2" s="1"/>
  <c r="L70" i="2"/>
  <c r="Q70" i="2" s="1"/>
  <c r="M70" i="2"/>
  <c r="Y70" i="2" s="1"/>
  <c r="L71" i="2"/>
  <c r="Q71" i="2" s="1"/>
  <c r="L72" i="2"/>
  <c r="Q72" i="2" s="1"/>
  <c r="M72" i="2"/>
  <c r="Y72" i="2" s="1"/>
  <c r="L60" i="2"/>
  <c r="Q60" i="2" s="1"/>
  <c r="M60" i="2"/>
  <c r="Y60" i="2" s="1"/>
  <c r="L27" i="2"/>
  <c r="Q27" i="2" s="1"/>
  <c r="M27" i="2"/>
  <c r="Y27" i="2" s="1"/>
  <c r="L28" i="2"/>
  <c r="Q28" i="2" s="1"/>
  <c r="M28" i="2"/>
  <c r="Y28" i="2" s="1"/>
  <c r="L29" i="2"/>
  <c r="Q29" i="2" s="1"/>
  <c r="M29" i="2"/>
  <c r="Y29" i="2" s="1"/>
  <c r="L30" i="2"/>
  <c r="Q30" i="2" s="1"/>
  <c r="M30" i="2"/>
  <c r="Y30" i="2" s="1"/>
  <c r="L31" i="2"/>
  <c r="Q31" i="2" s="1"/>
  <c r="M31" i="2"/>
  <c r="Y31" i="2" s="1"/>
  <c r="L32" i="2"/>
  <c r="Q32" i="2" s="1"/>
  <c r="M32" i="2"/>
  <c r="Y32" i="2" s="1"/>
  <c r="L33" i="2"/>
  <c r="Q33" i="2" s="1"/>
  <c r="M33" i="2"/>
  <c r="Y33" i="2" s="1"/>
  <c r="L34" i="2"/>
  <c r="Q34" i="2" s="1"/>
  <c r="M34" i="2"/>
  <c r="Y34" i="2" s="1"/>
  <c r="L35" i="2"/>
  <c r="Q35" i="2" s="1"/>
  <c r="M35" i="2"/>
  <c r="Y35" i="2" s="1"/>
  <c r="M26" i="2"/>
  <c r="Y26" i="2" s="1"/>
  <c r="M25" i="2"/>
  <c r="Y25" i="2" s="1"/>
  <c r="L25" i="2"/>
  <c r="Q25" i="2" s="1"/>
  <c r="P61" i="2"/>
  <c r="X61" i="2"/>
  <c r="P62" i="2"/>
  <c r="X62" i="2"/>
  <c r="P63" i="2"/>
  <c r="X63" i="2"/>
  <c r="P64" i="2"/>
  <c r="X64" i="2"/>
  <c r="P65" i="2"/>
  <c r="X65" i="2"/>
  <c r="P66" i="2"/>
  <c r="X66" i="2"/>
  <c r="P67" i="2"/>
  <c r="X67" i="2"/>
  <c r="P68" i="2"/>
  <c r="X68" i="2"/>
  <c r="P69" i="2"/>
  <c r="X69" i="2"/>
  <c r="P70" i="2"/>
  <c r="X70" i="2"/>
  <c r="P71" i="2"/>
  <c r="X71" i="2"/>
  <c r="P72" i="2"/>
  <c r="X72" i="2"/>
  <c r="P60" i="2"/>
  <c r="X60" i="2"/>
  <c r="L47" i="2"/>
  <c r="L48" i="2"/>
  <c r="L49" i="2"/>
  <c r="L50" i="2"/>
  <c r="L51" i="2"/>
  <c r="L52" i="2"/>
  <c r="L46" i="2"/>
  <c r="L45" i="2"/>
  <c r="P34" i="2"/>
  <c r="X34" i="2"/>
  <c r="P35" i="2"/>
  <c r="X35" i="2"/>
  <c r="L9" i="2"/>
  <c r="R25" i="2" l="1"/>
  <c r="Z61" i="2"/>
  <c r="AC61" i="2" s="1"/>
  <c r="M10" i="2"/>
  <c r="Z34" i="2"/>
  <c r="AC34" i="2" s="1"/>
  <c r="Z35" i="2"/>
  <c r="AC35" i="2" s="1"/>
  <c r="R72" i="2"/>
  <c r="S72" i="2" s="1"/>
  <c r="V72" i="2" s="1"/>
  <c r="R71" i="2"/>
  <c r="S71" i="2" s="1"/>
  <c r="V71" i="2" s="1"/>
  <c r="R70" i="2"/>
  <c r="S70" i="2" s="1"/>
  <c r="V70" i="2" s="1"/>
  <c r="R69" i="2"/>
  <c r="S69" i="2" s="1"/>
  <c r="V69" i="2" s="1"/>
  <c r="Z63" i="2"/>
  <c r="AC63" i="2" s="1"/>
  <c r="R34" i="2"/>
  <c r="U34" i="2" s="1"/>
  <c r="R60" i="2"/>
  <c r="U60" i="2" s="1"/>
  <c r="Z66" i="2"/>
  <c r="AC66" i="2" s="1"/>
  <c r="R66" i="2"/>
  <c r="Z65" i="2"/>
  <c r="AA65" i="2" s="1"/>
  <c r="R65" i="2"/>
  <c r="Z64" i="2"/>
  <c r="AA64" i="2" s="1"/>
  <c r="R64" i="2"/>
  <c r="R62" i="2"/>
  <c r="U62" i="2" s="1"/>
  <c r="Z60" i="2"/>
  <c r="AC60" i="2" s="1"/>
  <c r="R68" i="2"/>
  <c r="R67" i="2"/>
  <c r="S67" i="2" s="1"/>
  <c r="V67" i="2" s="1"/>
  <c r="Z62" i="2"/>
  <c r="AC62" i="2" s="1"/>
  <c r="R35" i="2"/>
  <c r="U35" i="2" s="1"/>
  <c r="R63" i="2"/>
  <c r="U63" i="2" s="1"/>
  <c r="R61" i="2"/>
  <c r="S61" i="2" s="1"/>
  <c r="V61" i="2" s="1"/>
  <c r="Z72" i="2"/>
  <c r="AC72" i="2" s="1"/>
  <c r="Z71" i="2"/>
  <c r="AC71" i="2" s="1"/>
  <c r="Z70" i="2"/>
  <c r="AC70" i="2" s="1"/>
  <c r="Z69" i="2"/>
  <c r="AC69" i="2" s="1"/>
  <c r="Z68" i="2"/>
  <c r="AC68" i="2" s="1"/>
  <c r="Z67" i="2"/>
  <c r="AC67" i="2" s="1"/>
  <c r="AA61" i="2" l="1"/>
  <c r="AD61" i="2" s="1"/>
  <c r="AE61" i="2" s="1"/>
  <c r="U69" i="2"/>
  <c r="W69" i="2" s="1"/>
  <c r="S60" i="2"/>
  <c r="V60" i="2" s="1"/>
  <c r="U70" i="2"/>
  <c r="W70" i="2" s="1"/>
  <c r="AA34" i="2"/>
  <c r="AD34" i="2" s="1"/>
  <c r="AE34" i="2" s="1"/>
  <c r="U71" i="2"/>
  <c r="W71" i="2" s="1"/>
  <c r="S34" i="2"/>
  <c r="V34" i="2" s="1"/>
  <c r="AA62" i="2"/>
  <c r="AD62" i="2" s="1"/>
  <c r="AE62" i="2" s="1"/>
  <c r="S62" i="2"/>
  <c r="V62" i="2" s="1"/>
  <c r="U67" i="2"/>
  <c r="W67" i="2" s="1"/>
  <c r="U61" i="2"/>
  <c r="AA35" i="2"/>
  <c r="AD35" i="2" s="1"/>
  <c r="AE35" i="2" s="1"/>
  <c r="S35" i="2"/>
  <c r="V35" i="2" s="1"/>
  <c r="AA66" i="2"/>
  <c r="AD66" i="2" s="1"/>
  <c r="AE66" i="2" s="1"/>
  <c r="AA63" i="2"/>
  <c r="AD63" i="2" s="1"/>
  <c r="AE63" i="2" s="1"/>
  <c r="AA69" i="2"/>
  <c r="AD69" i="2" s="1"/>
  <c r="AE69" i="2" s="1"/>
  <c r="AA60" i="2"/>
  <c r="AD60" i="2" s="1"/>
  <c r="U72" i="2"/>
  <c r="W72" i="2" s="1"/>
  <c r="S68" i="2"/>
  <c r="V68" i="2" s="1"/>
  <c r="U68" i="2"/>
  <c r="U64" i="2"/>
  <c r="S64" i="2"/>
  <c r="V64" i="2" s="1"/>
  <c r="U66" i="2"/>
  <c r="S66" i="2"/>
  <c r="V66" i="2" s="1"/>
  <c r="U65" i="2"/>
  <c r="S65" i="2"/>
  <c r="V65" i="2" s="1"/>
  <c r="AA70" i="2"/>
  <c r="AD70" i="2" s="1"/>
  <c r="AE70" i="2" s="1"/>
  <c r="S63" i="2"/>
  <c r="V63" i="2" s="1"/>
  <c r="AA68" i="2"/>
  <c r="AD68" i="2" s="1"/>
  <c r="AE68" i="2" s="1"/>
  <c r="AA72" i="2"/>
  <c r="AD72" i="2" s="1"/>
  <c r="AE72" i="2" s="1"/>
  <c r="AA67" i="2"/>
  <c r="AD67" i="2" s="1"/>
  <c r="AE67" i="2" s="1"/>
  <c r="AA71" i="2"/>
  <c r="AD71" i="2" s="1"/>
  <c r="AE71" i="2" s="1"/>
  <c r="AF72" i="2" l="1"/>
  <c r="AF61" i="2"/>
  <c r="AD45" i="2"/>
  <c r="W66" i="2"/>
  <c r="W68" i="2"/>
  <c r="AC45" i="2" l="1"/>
  <c r="W73" i="2"/>
  <c r="M12" i="2" l="1"/>
  <c r="L10" i="2"/>
  <c r="N10" i="2" s="1"/>
  <c r="O10" i="2" s="1"/>
  <c r="L7" i="2"/>
  <c r="Z30" i="2"/>
  <c r="Z26" i="2"/>
  <c r="AC26" i="2" s="1"/>
  <c r="R26" i="2"/>
  <c r="U26" i="2" s="1"/>
  <c r="R27" i="2"/>
  <c r="R29" i="2"/>
  <c r="R32" i="2"/>
  <c r="N9" i="2"/>
  <c r="O9" i="2" s="1"/>
  <c r="L8" i="2"/>
  <c r="L11" i="2"/>
  <c r="L12" i="2"/>
  <c r="L13" i="2"/>
  <c r="L14" i="2"/>
  <c r="L6" i="2"/>
  <c r="Z32" i="2"/>
  <c r="Z25" i="2"/>
  <c r="Z27" i="2"/>
  <c r="Z31" i="2"/>
  <c r="R33" i="2"/>
  <c r="Z29" i="2"/>
  <c r="Z33" i="2"/>
  <c r="R28" i="2"/>
  <c r="R30" i="2"/>
  <c r="R31" i="2"/>
  <c r="Z28" i="2"/>
  <c r="X26" i="2"/>
  <c r="P25" i="2"/>
  <c r="M46" i="2"/>
  <c r="N46" i="2" s="1"/>
  <c r="O46" i="2" s="1"/>
  <c r="M47" i="2"/>
  <c r="M48" i="2"/>
  <c r="M49" i="2"/>
  <c r="M50" i="2"/>
  <c r="M51" i="2"/>
  <c r="M52" i="2"/>
  <c r="M45" i="2"/>
  <c r="N52" i="2" l="1"/>
  <c r="O52" i="2" s="1"/>
  <c r="N50" i="2"/>
  <c r="O50" i="2" s="1"/>
  <c r="N48" i="2"/>
  <c r="O48" i="2" s="1"/>
  <c r="N51" i="2"/>
  <c r="O51" i="2" s="1"/>
  <c r="N49" i="2"/>
  <c r="O49" i="2" s="1"/>
  <c r="N47" i="2"/>
  <c r="O47" i="2" s="1"/>
  <c r="AA26" i="2"/>
  <c r="AD26" i="2" s="1"/>
  <c r="AE26" i="2" s="1"/>
  <c r="S25" i="2"/>
  <c r="N45" i="2"/>
  <c r="O45" i="2" s="1"/>
  <c r="X32" i="2" l="1"/>
  <c r="X33" i="2"/>
  <c r="X27" i="2"/>
  <c r="X28" i="2"/>
  <c r="X29" i="2"/>
  <c r="X30" i="2"/>
  <c r="X31" i="2"/>
  <c r="X25" i="2"/>
  <c r="P33" i="2"/>
  <c r="P32" i="2"/>
  <c r="P27" i="2"/>
  <c r="P28" i="2"/>
  <c r="P29" i="2"/>
  <c r="P30" i="2"/>
  <c r="P31" i="2"/>
  <c r="AC30" i="2"/>
  <c r="AC28" i="2"/>
  <c r="AC25" i="2"/>
  <c r="M13" i="2"/>
  <c r="M14" i="2"/>
  <c r="N14" i="2" s="1"/>
  <c r="O14" i="2" s="1"/>
  <c r="M7" i="2"/>
  <c r="M8" i="2"/>
  <c r="N8" i="2" s="1"/>
  <c r="O8" i="2" s="1"/>
  <c r="M11" i="2"/>
  <c r="N11" i="2" s="1"/>
  <c r="O11" i="2" s="1"/>
  <c r="N12" i="2"/>
  <c r="O12" i="2" s="1"/>
  <c r="M6" i="2"/>
  <c r="N6" i="2" s="1"/>
  <c r="O6" i="2" s="1"/>
  <c r="AA30" i="2" l="1"/>
  <c r="AD30" i="2" s="1"/>
  <c r="AE30" i="2" s="1"/>
  <c r="AA25" i="2"/>
  <c r="AD25" i="2" s="1"/>
  <c r="S31" i="2"/>
  <c r="V31" i="2" s="1"/>
  <c r="U33" i="2"/>
  <c r="U29" i="2"/>
  <c r="S26" i="2"/>
  <c r="V26" i="2" s="1"/>
  <c r="W26" i="2" s="1"/>
  <c r="AC33" i="2"/>
  <c r="AC32" i="2"/>
  <c r="AC31" i="2"/>
  <c r="AC29" i="2"/>
  <c r="AC27" i="2"/>
  <c r="U28" i="2"/>
  <c r="AA33" i="2"/>
  <c r="AD33" i="2" s="1"/>
  <c r="S33" i="2"/>
  <c r="V33" i="2" s="1"/>
  <c r="AA28" i="2"/>
  <c r="AD28" i="2" s="1"/>
  <c r="AE28" i="2" s="1"/>
  <c r="U30" i="2"/>
  <c r="S30" i="2"/>
  <c r="V30" i="2" s="1"/>
  <c r="U32" i="2"/>
  <c r="AA32" i="2"/>
  <c r="AD32" i="2" s="1"/>
  <c r="U25" i="2"/>
  <c r="N13" i="2"/>
  <c r="O13" i="2" s="1"/>
  <c r="S32" i="2"/>
  <c r="V32" i="2" s="1"/>
  <c r="N7" i="2"/>
  <c r="O7" i="2" s="1"/>
  <c r="AE33" i="2" l="1"/>
  <c r="AF36" i="2" s="1"/>
  <c r="U27" i="2"/>
  <c r="S27" i="2"/>
  <c r="V27" i="2" s="1"/>
  <c r="AA27" i="2"/>
  <c r="AD27" i="2" s="1"/>
  <c r="AE27" i="2" s="1"/>
  <c r="AF31" i="2" s="1"/>
  <c r="S29" i="2"/>
  <c r="V29" i="2" s="1"/>
  <c r="W29" i="2" s="1"/>
  <c r="AA29" i="2"/>
  <c r="AD29" i="2" s="1"/>
  <c r="AE29" i="2" s="1"/>
  <c r="AA31" i="2"/>
  <c r="AD31" i="2" s="1"/>
  <c r="AE31" i="2" s="1"/>
  <c r="W30" i="2"/>
  <c r="U31" i="2"/>
  <c r="W31" i="2" s="1"/>
  <c r="V25" i="2"/>
  <c r="S28" i="2"/>
  <c r="V28" i="2" s="1"/>
  <c r="W28" i="2" s="1"/>
  <c r="AD44" i="2" l="1"/>
  <c r="AD43" i="2"/>
  <c r="W27" i="2"/>
  <c r="AC43" i="2" s="1"/>
  <c r="BE9" i="3" l="1"/>
  <c r="AJ7" i="3"/>
  <c r="AK7" i="3" s="1"/>
  <c r="AM7" i="3" s="1"/>
  <c r="AJ8" i="3"/>
  <c r="AK8" i="3" s="1"/>
  <c r="AM8" i="3" s="1"/>
  <c r="BE20" i="3"/>
  <c r="BE24" i="3"/>
  <c r="AZ7" i="3"/>
  <c r="BB7" i="3" s="1"/>
  <c r="AZ24" i="3"/>
  <c r="BB24" i="3" s="1"/>
  <c r="BF24" i="3" s="1"/>
  <c r="AZ20" i="3"/>
  <c r="BB20" i="3" s="1"/>
  <c r="BF20" i="3" s="1"/>
  <c r="BE16" i="3"/>
  <c r="BE26" i="3"/>
  <c r="AL7" i="3"/>
  <c r="AZ31" i="3"/>
  <c r="BB31" i="3" s="1"/>
  <c r="BF31" i="3" s="1"/>
  <c r="BE13" i="3"/>
  <c r="AL8" i="3"/>
  <c r="BB26" i="3"/>
  <c r="BF26" i="3" s="1"/>
  <c r="BB8" i="3"/>
  <c r="BF8" i="3" s="1"/>
  <c r="AZ16" i="3"/>
  <c r="BB16" i="3" s="1"/>
  <c r="BF16" i="3" s="1"/>
  <c r="BH16" i="3" s="1"/>
  <c r="BE31" i="3"/>
  <c r="AZ12" i="3"/>
  <c r="BB12" i="3" s="1"/>
  <c r="BF12" i="3" s="1"/>
  <c r="AZ2" i="3"/>
  <c r="BE17" i="3"/>
  <c r="BE27" i="3"/>
  <c r="BE14" i="3"/>
  <c r="BE28" i="3"/>
  <c r="AZ23" i="3"/>
  <c r="BB23" i="3" s="1"/>
  <c r="BF23" i="3" s="1"/>
  <c r="BF15" i="3"/>
  <c r="BE11" i="3"/>
  <c r="AZ29" i="3"/>
  <c r="BB29" i="3" s="1"/>
  <c r="BF29" i="3" s="1"/>
  <c r="BE22" i="3"/>
  <c r="AZ22" i="3"/>
  <c r="BB22" i="3" s="1"/>
  <c r="BF22" i="3" s="1"/>
  <c r="AZ28" i="3"/>
  <c r="BB28" i="3" s="1"/>
  <c r="BF28" i="3" s="1"/>
  <c r="BE25" i="3"/>
  <c r="AZ10" i="3"/>
  <c r="BB10" i="3" s="1"/>
  <c r="BF10" i="3" s="1"/>
  <c r="BE12" i="3"/>
  <c r="BE30" i="3"/>
  <c r="AZ27" i="3"/>
  <c r="BB27" i="3" s="1"/>
  <c r="BF27" i="3" s="1"/>
  <c r="AZ25" i="3"/>
  <c r="BB25" i="3" s="1"/>
  <c r="BF25" i="3" s="1"/>
  <c r="AZ14" i="3"/>
  <c r="BB14" i="3" s="1"/>
  <c r="BF14" i="3" s="1"/>
  <c r="AZ17" i="3"/>
  <c r="BB17" i="3" s="1"/>
  <c r="BF17" i="3" s="1"/>
  <c r="BH17" i="3" s="1"/>
  <c r="BB21" i="3"/>
  <c r="BF21" i="3" s="1"/>
  <c r="BE15" i="3"/>
  <c r="BE29" i="3"/>
  <c r="BE10" i="3"/>
  <c r="BE23" i="3"/>
  <c r="AZ30" i="3"/>
  <c r="BB30" i="3" s="1"/>
  <c r="BF30" i="3" s="1"/>
  <c r="AZ13" i="3"/>
  <c r="BB13" i="3" s="1"/>
  <c r="BF13" i="3" s="1"/>
  <c r="BH13" i="3" s="1"/>
  <c r="AZ9" i="3"/>
  <c r="BB9" i="3" s="1"/>
  <c r="BF9" i="3" s="1"/>
  <c r="BE21" i="3"/>
  <c r="AZ11" i="3"/>
  <c r="BB11" i="3" s="1"/>
  <c r="BF11" i="3" s="1"/>
  <c r="BE8" i="3"/>
  <c r="AL12" i="3"/>
  <c r="AL30" i="3"/>
  <c r="AJ22" i="3"/>
  <c r="AK22" i="3" s="1"/>
  <c r="AM22" i="3" s="1"/>
  <c r="AL11" i="3"/>
  <c r="AJ15" i="3"/>
  <c r="AK15" i="3" s="1"/>
  <c r="AM15" i="3" s="1"/>
  <c r="AL17" i="3"/>
  <c r="AJ31" i="3"/>
  <c r="AK31" i="3" s="1"/>
  <c r="AM31" i="3" s="1"/>
  <c r="AJ20" i="3"/>
  <c r="AK20" i="3" s="1"/>
  <c r="AM20" i="3" s="1"/>
  <c r="AJ29" i="3"/>
  <c r="AK29" i="3" s="1"/>
  <c r="AM29" i="3" s="1"/>
  <c r="AJ21" i="3"/>
  <c r="AK21" i="3" s="1"/>
  <c r="AM21" i="3" s="1"/>
  <c r="AL26" i="3"/>
  <c r="AJ26" i="3"/>
  <c r="AK26" i="3" s="1"/>
  <c r="AM26" i="3" s="1"/>
  <c r="AJ10" i="3"/>
  <c r="AK10" i="3" s="1"/>
  <c r="AM10" i="3" s="1"/>
  <c r="AJ11" i="3"/>
  <c r="AK11" i="3" s="1"/>
  <c r="AM11" i="3" s="1"/>
  <c r="AL25" i="3"/>
  <c r="AL16" i="3"/>
  <c r="AJ24" i="3"/>
  <c r="AK24" i="3" s="1"/>
  <c r="AM24" i="3" s="1"/>
  <c r="AJ13" i="3"/>
  <c r="AK13" i="3" s="1"/>
  <c r="AM13" i="3" s="1"/>
  <c r="AJ28" i="3"/>
  <c r="AK28" i="3" s="1"/>
  <c r="AM28" i="3" s="1"/>
  <c r="AL15" i="3"/>
  <c r="AJ27" i="3"/>
  <c r="AK27" i="3" s="1"/>
  <c r="AM27" i="3" s="1"/>
  <c r="AL23" i="3"/>
  <c r="AJ17" i="3"/>
  <c r="AK17" i="3" s="1"/>
  <c r="AM17" i="3" s="1"/>
  <c r="AL10" i="3"/>
  <c r="AJ14" i="3"/>
  <c r="AK14" i="3" s="1"/>
  <c r="AM14" i="3" s="1"/>
  <c r="AL24" i="3"/>
  <c r="AL13" i="3"/>
  <c r="AL28" i="3"/>
  <c r="AJ25" i="3"/>
  <c r="AK25" i="3" s="1"/>
  <c r="AM25" i="3" s="1"/>
  <c r="AL22" i="3"/>
  <c r="AJ30" i="3"/>
  <c r="AK30" i="3" s="1"/>
  <c r="AM30" i="3" s="1"/>
  <c r="AL14" i="3"/>
  <c r="AL9" i="3"/>
  <c r="AL27" i="3"/>
  <c r="AJ23" i="3"/>
  <c r="AK23" i="3" s="1"/>
  <c r="AM23" i="3" s="1"/>
  <c r="AL20" i="3"/>
  <c r="AL21" i="3"/>
  <c r="AJ12" i="3"/>
  <c r="AK12" i="3" s="1"/>
  <c r="AM12" i="3" s="1"/>
  <c r="AJ16" i="3"/>
  <c r="AK16" i="3" s="1"/>
  <c r="AM16" i="3" s="1"/>
  <c r="AJ9" i="3"/>
  <c r="AK9" i="3" s="1"/>
  <c r="AM9" i="3" s="1"/>
  <c r="AL31" i="3"/>
  <c r="AL29" i="3"/>
  <c r="BH22" i="3" l="1"/>
  <c r="BH15" i="3"/>
  <c r="BH11" i="3"/>
  <c r="BH30" i="3"/>
  <c r="BH10" i="3"/>
  <c r="BH23" i="3"/>
  <c r="BH21" i="3"/>
  <c r="BH29" i="3"/>
  <c r="BH8" i="3"/>
  <c r="AN8" i="3"/>
  <c r="AN9" i="3"/>
  <c r="BH9" i="3"/>
  <c r="BH28" i="3"/>
  <c r="BH12" i="3"/>
  <c r="BH26" i="3"/>
  <c r="BH31" i="3"/>
  <c r="AN12" i="3"/>
  <c r="AN23" i="3"/>
  <c r="AN30" i="3"/>
  <c r="AN16" i="3"/>
  <c r="AN11" i="3"/>
  <c r="AN25" i="3"/>
  <c r="AN27" i="3"/>
  <c r="AN24" i="3"/>
  <c r="AN10" i="3"/>
  <c r="AN26" i="3"/>
  <c r="AN22" i="3"/>
  <c r="AN20" i="3"/>
  <c r="AN15" i="3"/>
  <c r="AN17" i="3"/>
  <c r="AN28" i="3"/>
  <c r="AN29" i="3"/>
  <c r="AN13" i="3"/>
  <c r="AN21" i="3"/>
  <c r="AN31" i="3"/>
  <c r="AO13" i="3" l="1"/>
  <c r="AP31" i="3"/>
  <c r="AO31" i="3"/>
  <c r="AO17" i="3"/>
  <c r="AP17" i="3"/>
  <c r="AP13" i="3"/>
  <c r="AP23" i="3"/>
  <c r="AO23" i="3"/>
</calcChain>
</file>

<file path=xl/sharedStrings.xml><?xml version="1.0" encoding="utf-8"?>
<sst xmlns="http://schemas.openxmlformats.org/spreadsheetml/2006/main" count="759" uniqueCount="203">
  <si>
    <t>Method: PCE_T-Ramp_DHSI_SIM</t>
  </si>
  <si>
    <t xml:space="preserve">Integration by </t>
  </si>
  <si>
    <t>Injection vol. 50ul</t>
  </si>
  <si>
    <t>ChemStation</t>
  </si>
  <si>
    <t>m/z 95</t>
  </si>
  <si>
    <t>m/z 150</t>
  </si>
  <si>
    <t>m/z 152</t>
  </si>
  <si>
    <t>m/z 164</t>
  </si>
  <si>
    <t>m/z 166</t>
  </si>
  <si>
    <t>Area</t>
  </si>
  <si>
    <t>Run no.</t>
  </si>
  <si>
    <t>Sample ID</t>
  </si>
  <si>
    <t>RT</t>
  </si>
  <si>
    <t>SIM_95</t>
  </si>
  <si>
    <t>SIM_150</t>
  </si>
  <si>
    <t>SIM_152</t>
  </si>
  <si>
    <t>SIM_164</t>
  </si>
  <si>
    <t>SIM_164_auto</t>
  </si>
  <si>
    <t>SIM_166</t>
  </si>
  <si>
    <t>SIM_166_auto</t>
  </si>
  <si>
    <t>15.07.21 GC-MS Measurement</t>
  </si>
  <si>
    <t>PE_C from 09.07.21, C_Std and R_Std from 27.06.21</t>
  </si>
  <si>
    <t>PE_C_PCE_15.07.21_empty</t>
  </si>
  <si>
    <t>PE_C_PCE_15.07.21_Blk.1</t>
  </si>
  <si>
    <t>PE_C_PCE_15.07.21_Blk.2</t>
  </si>
  <si>
    <t>PE_C_PCE_15.07.21_C_Std_2.1</t>
  </si>
  <si>
    <t>PE_C_PCE_15.07.21_C_Std_2.2</t>
  </si>
  <si>
    <t>PE_C_PCE_15.07.21_C_Std_3.1</t>
  </si>
  <si>
    <t>PE_C_PCE_15.07.21_C_Std_3.2</t>
  </si>
  <si>
    <t>PE_C_PCE_15.07.21_C_Std_4.1</t>
  </si>
  <si>
    <t>PE_C_PCE_15.07.21_C_Std_4.2</t>
  </si>
  <si>
    <t>PE_C_PCE_15.07.21_Blk.3</t>
  </si>
  <si>
    <t>PE_C_PCE_15.07.21_1.1.1</t>
  </si>
  <si>
    <t>PE_C_PCE_15.07.21_1.2.1</t>
  </si>
  <si>
    <t>PE_C_PCE_15.07.21_1.2.2</t>
  </si>
  <si>
    <t>PE_C_PCE_15.07.21_1.3.1</t>
  </si>
  <si>
    <t>PE_C_PCE_15.07.21_1.3.2</t>
  </si>
  <si>
    <t>PE_C_PCE_15.07.21_1.4.1</t>
  </si>
  <si>
    <t>PE_C_PCE_15.07.21_1.4.2</t>
  </si>
  <si>
    <t>PE_C_PCE_15.07.21_2.1.1</t>
  </si>
  <si>
    <t>PE_C_PCE_15.07.21_2.2.1</t>
  </si>
  <si>
    <t>PE_C_PCE_15.07.21_2.3.1</t>
  </si>
  <si>
    <t>PE_C_PCE_15.07.21_2.4.1</t>
  </si>
  <si>
    <t>Theoret. Init. Conc</t>
  </si>
  <si>
    <t>aq.</t>
  </si>
  <si>
    <t>Theoret Conc</t>
  </si>
  <si>
    <t>aq [ppm]</t>
  </si>
  <si>
    <t>Measured Signal area</t>
  </si>
  <si>
    <t>Henry K_H</t>
  </si>
  <si>
    <t>Calibration Standards</t>
  </si>
  <si>
    <t xml:space="preserve">Init. Conc. Aq. </t>
  </si>
  <si>
    <t>Init. Mass Aq.</t>
  </si>
  <si>
    <t>Eq. Mass Aq.</t>
  </si>
  <si>
    <t>Eq. Mass Gas</t>
  </si>
  <si>
    <t>Eq. Conc. Gas.</t>
  </si>
  <si>
    <t>GC-MS meas. averaged</t>
  </si>
  <si>
    <t>PCE [ppm]</t>
  </si>
  <si>
    <t>PCE [ug]</t>
  </si>
  <si>
    <t>GC-MS meas. Single</t>
  </si>
  <si>
    <t>PE_C_PCE_15.07.21_1.1</t>
  </si>
  <si>
    <t>PE_C_PCE_15.07.21_1.2</t>
  </si>
  <si>
    <t>PE_C_PCE_15.07.21_1.3</t>
  </si>
  <si>
    <t>PE_C_PCE_15.07.21_1.4</t>
  </si>
  <si>
    <t>PE_C_PCE_15.07.21_2.1</t>
  </si>
  <si>
    <t>PE_C_PCE_15.07.21_2.2</t>
  </si>
  <si>
    <t>PE_C_PCE_15.07.21_2.3</t>
  </si>
  <si>
    <t>PE_C_PCE_15.07.21_2.4</t>
  </si>
  <si>
    <t>PE_C_PCE_15.07.21_3.1</t>
  </si>
  <si>
    <t>PE_C_PCE_15.07.21_3.2</t>
  </si>
  <si>
    <t>PE_C_PCE_15.07.21_3.3</t>
  </si>
  <si>
    <t>PE_C_PCE_15.07.21_3.4</t>
  </si>
  <si>
    <t>init Conc</t>
  </si>
  <si>
    <t>PFOA [ppm]</t>
  </si>
  <si>
    <t>porewater vol.</t>
  </si>
  <si>
    <t>added  init [ml]</t>
  </si>
  <si>
    <t>PE_C</t>
  </si>
  <si>
    <t>Samples</t>
  </si>
  <si>
    <t>Calc. Conc.</t>
  </si>
  <si>
    <t>Incub. Conc</t>
  </si>
  <si>
    <t>w/ Eq. Conc. Gas</t>
  </si>
  <si>
    <t>by C_Stds. [ppm]</t>
  </si>
  <si>
    <t>Calc. Mass</t>
  </si>
  <si>
    <t>Total init. [ug]</t>
  </si>
  <si>
    <t>in Gas [ug]</t>
  </si>
  <si>
    <t>In Aq. [ug]</t>
  </si>
  <si>
    <t>Loss = Solid [ug]</t>
  </si>
  <si>
    <t xml:space="preserve">Porewater </t>
  </si>
  <si>
    <t>volume init.</t>
  </si>
  <si>
    <t>Aq. Phase [ppm]</t>
  </si>
  <si>
    <t>Solid [ppm]</t>
  </si>
  <si>
    <t>Kd</t>
  </si>
  <si>
    <t>Cs/Caq</t>
  </si>
  <si>
    <t>Calc. Conc. Eq.</t>
  </si>
  <si>
    <t>16.07.21 GC-MS Measurement</t>
  </si>
  <si>
    <t>PE_C_PCE_16.07.21_Blk.0</t>
  </si>
  <si>
    <t>PE_C_PCE_16.07.21_Blk.1</t>
  </si>
  <si>
    <t>PE_C_PCE_16.07.21_C_Std_2.1</t>
  </si>
  <si>
    <t>PE_C_PCE_16.07.21_C_Std_2.2</t>
  </si>
  <si>
    <t>PE_C_PCE_16.07.21_C_Std_3.1</t>
  </si>
  <si>
    <t>PE_C_PCE_16.07.21_C_Std_3.2</t>
  </si>
  <si>
    <t>PE_C_PCE_16.07.21_C_Std_4.1</t>
  </si>
  <si>
    <t>PE_C_PCE_16.07.21_C_Std_4.2</t>
  </si>
  <si>
    <t>PE_C_PCE_16.07.21_Blk.2</t>
  </si>
  <si>
    <t>PE_C_PCE_16.07.21_2.1.2</t>
  </si>
  <si>
    <t>PE_C_PCE_16.07.21_2.2.2</t>
  </si>
  <si>
    <t>PE_C_PCE_16.07.21_2.3.2</t>
  </si>
  <si>
    <t>PE_C_PCE_16.07.21_2.4.2</t>
  </si>
  <si>
    <t>PE_C_PCE_16.07.21_3.1.1</t>
  </si>
  <si>
    <t>PE_C_PCE_15607.21_3.2.1</t>
  </si>
  <si>
    <t>PE_C_PCE_16.07.21_3.2.2</t>
  </si>
  <si>
    <t>PE_C_PCE_16.07.21_3.3.1</t>
  </si>
  <si>
    <t>PE_C_PCE_16.07.21_3.3.2</t>
  </si>
  <si>
    <t>PE_C_PCE_16.07.21_3.4.1</t>
  </si>
  <si>
    <t>PE_C_PCE_16.07.21_3.4.2</t>
  </si>
  <si>
    <t>PE_C_PCE_16.07.21_Blk.3</t>
  </si>
  <si>
    <t>H [Pa*m^3/mol]</t>
  </si>
  <si>
    <t>K_H</t>
  </si>
  <si>
    <t>From DTSC</t>
  </si>
  <si>
    <t>Report</t>
  </si>
  <si>
    <t>PE_C_PCE_16.07.21_3.1.2</t>
  </si>
  <si>
    <t>Early Injected</t>
  </si>
  <si>
    <t>Low - Repeat?</t>
  </si>
  <si>
    <t>PE_C_PCE_16.07.21_3.3.3</t>
  </si>
  <si>
    <t>Kd Mean</t>
  </si>
  <si>
    <t>Corrected for Blank</t>
  </si>
  <si>
    <t>PE_C_3.i</t>
  </si>
  <si>
    <t>Soil 1</t>
  </si>
  <si>
    <t>Soil 2</t>
  </si>
  <si>
    <t>Soil 3</t>
  </si>
  <si>
    <t>-</t>
  </si>
  <si>
    <t>K_d</t>
  </si>
  <si>
    <t>Stat. Mean</t>
  </si>
  <si>
    <t xml:space="preserve">Graphical </t>
  </si>
  <si>
    <t>Exclusion of outliers (1 per soil)</t>
  </si>
  <si>
    <t>Theoretical</t>
  </si>
  <si>
    <t>Linear</t>
  </si>
  <si>
    <t>f_oc = 0.0285</t>
  </si>
  <si>
    <t>f_oc=0.0953</t>
  </si>
  <si>
    <t>f_oc=0.0082</t>
  </si>
  <si>
    <t>K_oc</t>
  </si>
  <si>
    <t>C_aq [ppm]</t>
  </si>
  <si>
    <t>C_s [ppm]</t>
  </si>
  <si>
    <t>f_oc</t>
  </si>
  <si>
    <t>Kd=Cs/Caq</t>
  </si>
  <si>
    <t>Source</t>
  </si>
  <si>
    <t>Chemspider- EPISuite</t>
  </si>
  <si>
    <t>EPA-Calculated</t>
  </si>
  <si>
    <t>EPA-Measured</t>
  </si>
  <si>
    <t>DTSC-report range-min</t>
  </si>
  <si>
    <t>DTSC-report range-max</t>
  </si>
  <si>
    <t>Average DTSC report</t>
  </si>
  <si>
    <t>Gas Volume</t>
  </si>
  <si>
    <t>Clay-soil</t>
  </si>
  <si>
    <t>Core top</t>
  </si>
  <si>
    <t>Core bottom</t>
  </si>
  <si>
    <t>Bulk density [g/ml]</t>
  </si>
  <si>
    <t>Mass soil [g]</t>
  </si>
  <si>
    <t>Bulk Vol soil [ml]</t>
  </si>
  <si>
    <t>Solid density [g/ml]</t>
  </si>
  <si>
    <t>Volume Solid [ml]</t>
  </si>
  <si>
    <t>Pore volume [ml]</t>
  </si>
  <si>
    <t>Porosity [%]</t>
  </si>
  <si>
    <t>Total vol vial [ml]</t>
  </si>
  <si>
    <t>Porewater vol [ml]</t>
  </si>
  <si>
    <t>Gas volume [ml]</t>
  </si>
  <si>
    <t>Gas volume computed</t>
  </si>
  <si>
    <t>Mean</t>
  </si>
  <si>
    <t>clay</t>
  </si>
  <si>
    <t>O horizon</t>
  </si>
  <si>
    <t>Sand</t>
  </si>
  <si>
    <t>Minimum</t>
  </si>
  <si>
    <t>Maximum</t>
  </si>
  <si>
    <t>164/166</t>
  </si>
  <si>
    <t>(auto/auto)</t>
  </si>
  <si>
    <t>C_s/C_aq</t>
  </si>
  <si>
    <t>Solid [ug]</t>
  </si>
  <si>
    <t>Kd [L/kg]</t>
  </si>
  <si>
    <t>at Eq. After Part.</t>
  </si>
  <si>
    <t>Sorption to</t>
  </si>
  <si>
    <t xml:space="preserve">Calc. Conc. </t>
  </si>
  <si>
    <t>Blank correction</t>
  </si>
  <si>
    <t>Std. Dev.</t>
  </si>
  <si>
    <t>Inst. Drift</t>
  </si>
  <si>
    <t>Correction</t>
  </si>
  <si>
    <t>Correction:</t>
  </si>
  <si>
    <t>Blank</t>
  </si>
  <si>
    <t>Drift Corrected</t>
  </si>
  <si>
    <t>Instr. Drift Correction</t>
  </si>
  <si>
    <t>Maybe too much?</t>
  </si>
  <si>
    <t>Here instru. Correction applied for both: samples and Calibration !!!</t>
  </si>
  <si>
    <t>Loss</t>
  </si>
  <si>
    <t xml:space="preserve">Correction for </t>
  </si>
  <si>
    <t>Max or Mean of Blank????</t>
  </si>
  <si>
    <t>Drift Correction</t>
  </si>
  <si>
    <t>Blank (mean)</t>
  </si>
  <si>
    <t>Just</t>
  </si>
  <si>
    <t>1st</t>
  </si>
  <si>
    <t>2nd</t>
  </si>
  <si>
    <t>Original data</t>
  </si>
  <si>
    <t>Calibration A</t>
  </si>
  <si>
    <t>Calibration B</t>
  </si>
  <si>
    <t>Original</t>
  </si>
  <si>
    <t>Excluded for correction reasons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</si>
</sst>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0" xfId="0" applyFill="1" applyBorder="1"/>
    <xf numFmtId="0" fontId="1" fillId="0" borderId="0" xfId="0" applyFont="1"/>
    <xf numFmtId="14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9" xfId="0" applyFill="1" applyBorder="1"/>
    <xf numFmtId="0" fontId="0" fillId="0" borderId="10" xfId="0" applyFill="1" applyBorder="1"/>
    <xf numFmtId="0" fontId="0" fillId="0" borderId="2" xfId="0" applyFill="1" applyBorder="1"/>
    <xf numFmtId="0" fontId="0" fillId="2" borderId="0" xfId="0" applyFill="1"/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26" xfId="0" applyFill="1" applyBorder="1"/>
    <xf numFmtId="0" fontId="0" fillId="3" borderId="0" xfId="0" applyFill="1"/>
    <xf numFmtId="0" fontId="0" fillId="0" borderId="9" xfId="0" applyBorder="1" applyAlignment="1">
      <alignment horizontal="right"/>
    </xf>
    <xf numFmtId="0" fontId="0" fillId="0" borderId="6" xfId="0" applyFill="1" applyBorder="1"/>
    <xf numFmtId="0" fontId="0" fillId="0" borderId="7" xfId="0" applyFill="1" applyBorder="1"/>
    <xf numFmtId="2" fontId="0" fillId="0" borderId="0" xfId="0" applyNumberFormat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2" fontId="0" fillId="5" borderId="0" xfId="0" applyNumberFormat="1" applyFill="1"/>
    <xf numFmtId="0" fontId="0" fillId="2" borderId="24" xfId="0" applyFill="1" applyBorder="1"/>
    <xf numFmtId="0" fontId="0" fillId="2" borderId="26" xfId="0" applyFill="1" applyBorder="1"/>
    <xf numFmtId="0" fontId="0" fillId="6" borderId="0" xfId="0" applyFill="1"/>
    <xf numFmtId="0" fontId="0" fillId="2" borderId="10" xfId="0" applyFill="1" applyBorder="1"/>
    <xf numFmtId="0" fontId="1" fillId="0" borderId="12" xfId="0" applyFont="1" applyBorder="1"/>
    <xf numFmtId="0" fontId="0" fillId="0" borderId="28" xfId="0" applyBorder="1"/>
    <xf numFmtId="0" fontId="0" fillId="0" borderId="0" xfId="0" applyFill="1"/>
    <xf numFmtId="0" fontId="1" fillId="0" borderId="0" xfId="0" applyFont="1" applyFill="1" applyBorder="1"/>
    <xf numFmtId="14" fontId="0" fillId="0" borderId="0" xfId="0" applyNumberFormat="1" applyFill="1" applyBorder="1"/>
    <xf numFmtId="0" fontId="1" fillId="2" borderId="28" xfId="0" applyFont="1" applyFill="1" applyBorder="1"/>
    <xf numFmtId="0" fontId="0" fillId="2" borderId="4" xfId="0" applyFill="1" applyBorder="1"/>
    <xf numFmtId="0" fontId="1" fillId="0" borderId="0" xfId="0" applyFont="1" applyBorder="1"/>
    <xf numFmtId="1" fontId="0" fillId="0" borderId="0" xfId="0" applyNumberFormat="1"/>
    <xf numFmtId="1" fontId="0" fillId="0" borderId="6" xfId="0" applyNumberFormat="1" applyBorder="1"/>
    <xf numFmtId="0" fontId="1" fillId="7" borderId="0" xfId="0" applyFont="1" applyFill="1"/>
    <xf numFmtId="0" fontId="1" fillId="6" borderId="19" xfId="0" applyFont="1" applyFill="1" applyBorder="1"/>
    <xf numFmtId="0" fontId="0" fillId="7" borderId="0" xfId="0" applyFill="1"/>
    <xf numFmtId="0" fontId="1" fillId="0" borderId="0" xfId="0" applyFont="1" applyAlignment="1">
      <alignment horizontal="right"/>
    </xf>
    <xf numFmtId="0" fontId="0" fillId="6" borderId="10" xfId="0" applyFill="1" applyBorder="1"/>
    <xf numFmtId="0" fontId="0" fillId="7" borderId="10" xfId="0" applyFill="1" applyBorder="1"/>
    <xf numFmtId="0" fontId="0" fillId="2" borderId="27" xfId="0" applyFill="1" applyBorder="1"/>
    <xf numFmtId="1" fontId="0" fillId="0" borderId="10" xfId="0" applyNumberFormat="1" applyBorder="1"/>
    <xf numFmtId="1" fontId="0" fillId="0" borderId="5" xfId="0" applyNumberFormat="1" applyBorder="1"/>
    <xf numFmtId="1" fontId="0" fillId="0" borderId="26" xfId="0" applyNumberFormat="1" applyBorder="1"/>
    <xf numFmtId="1" fontId="0" fillId="0" borderId="27" xfId="0" applyNumberFormat="1" applyBorder="1"/>
    <xf numFmtId="0" fontId="0" fillId="6" borderId="0" xfId="0" applyFill="1" applyBorder="1"/>
    <xf numFmtId="0" fontId="0" fillId="0" borderId="29" xfId="0" applyBorder="1"/>
    <xf numFmtId="0" fontId="0" fillId="8" borderId="5" xfId="0" applyFill="1" applyBorder="1"/>
    <xf numFmtId="0" fontId="0" fillId="8" borderId="29" xfId="0" applyFill="1" applyBorder="1"/>
    <xf numFmtId="0" fontId="0" fillId="8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C_Std</a:t>
            </a:r>
            <a:r>
              <a:rPr lang="en-US" baseline="0"/>
              <a:t> m/z 166 vs init. Conc. aq. [ppm]</a:t>
            </a:r>
          </a:p>
          <a:p>
            <a:pPr>
              <a:defRPr/>
            </a:pPr>
            <a:r>
              <a:rPr lang="en-US" baseline="0"/>
              <a:t>15.07.21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SIM_166_auto_C_Std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9663840861486344"/>
                  <c:y val="0.10218722611357599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data'!$O$8:$O$12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0.5</c:v>
                </c:pt>
              </c:numCache>
            </c:numRef>
          </c:xVal>
          <c:yVal>
            <c:numRef>
              <c:f>'raw data'!$N$8:$N$12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43709</c:v>
                </c:pt>
                <c:pt idx="3">
                  <c:v>45897</c:v>
                </c:pt>
                <c:pt idx="4">
                  <c:v>218103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D-4A9A-BA66-FE6A4F5F2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46880"/>
        <c:axId val="4785475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SIM_166_C_Std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'raw data'!$O$8:$O$12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'raw data'!$M$8:$M$12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217080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97D-4A9A-BA66-FE6A4F5F21B8}"/>
                  </c:ext>
                </c:extLst>
              </c15:ser>
            </c15:filteredScatterSeries>
          </c:ext>
        </c:extLst>
      </c:scatterChart>
      <c:valAx>
        <c:axId val="47854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Init. Conc. aq.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47536"/>
        <c:crosses val="autoZero"/>
        <c:crossBetween val="midCat"/>
      </c:valAx>
      <c:valAx>
        <c:axId val="4785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4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Blk_corrected_soil_1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2026182723064603"/>
                  <c:y val="6.2136481107184491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  <a:prstDash val="sysDash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Processing_final!$AL$7:$AL$13</c:f>
              <c:numCache>
                <c:formatCode>General</c:formatCode>
                <c:ptCount val="7"/>
                <c:pt idx="0">
                  <c:v>0</c:v>
                </c:pt>
                <c:pt idx="1">
                  <c:v>0.25567355552138482</c:v>
                </c:pt>
                <c:pt idx="2">
                  <c:v>0.23360549795945471</c:v>
                </c:pt>
                <c:pt idx="3">
                  <c:v>0.21683194781518361</c:v>
                </c:pt>
                <c:pt idx="4">
                  <c:v>0.22702637907541809</c:v>
                </c:pt>
                <c:pt idx="5">
                  <c:v>0.22096246776092068</c:v>
                </c:pt>
                <c:pt idx="6">
                  <c:v>0.22772899680583469</c:v>
                </c:pt>
              </c:numCache>
            </c:numRef>
          </c:xVal>
          <c:yVal>
            <c:numRef>
              <c:f>Processing_final!$AM$7:$AM$13</c:f>
              <c:numCache>
                <c:formatCode>General</c:formatCode>
                <c:ptCount val="7"/>
                <c:pt idx="0">
                  <c:v>0</c:v>
                </c:pt>
                <c:pt idx="1">
                  <c:v>9.8328828501656848E-2</c:v>
                </c:pt>
                <c:pt idx="2">
                  <c:v>0.17615514602589552</c:v>
                </c:pt>
                <c:pt idx="3">
                  <c:v>0.23530958840820962</c:v>
                </c:pt>
                <c:pt idx="4">
                  <c:v>0.19935739633097266</c:v>
                </c:pt>
                <c:pt idx="5">
                  <c:v>0.2207426898066899</c:v>
                </c:pt>
                <c:pt idx="6">
                  <c:v>0.19687950943802299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E-4099-AF93-BF53A1BECC7C}"/>
            </c:ext>
          </c:extLst>
        </c:ser>
        <c:ser>
          <c:idx val="1"/>
          <c:order val="1"/>
          <c:tx>
            <c:v>Blk+Drift_corrected_soil_1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4.2089925151081106E-2"/>
                  <c:y val="-6.5616766474482696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  <a:prstDash val="dash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Processing_final!$BE$7:$BE$13</c:f>
              <c:numCache>
                <c:formatCode>General</c:formatCode>
                <c:ptCount val="7"/>
                <c:pt idx="0">
                  <c:v>0</c:v>
                </c:pt>
                <c:pt idx="1">
                  <c:v>0.24471681989057764</c:v>
                </c:pt>
                <c:pt idx="2">
                  <c:v>0.22022887361312798</c:v>
                </c:pt>
                <c:pt idx="3">
                  <c:v>0.19853854896965364</c:v>
                </c:pt>
                <c:pt idx="4">
                  <c:v>0.2050530773629573</c:v>
                </c:pt>
                <c:pt idx="5">
                  <c:v>0.19679000271247396</c:v>
                </c:pt>
                <c:pt idx="6">
                  <c:v>0.2001169303512948</c:v>
                </c:pt>
              </c:numCache>
            </c:numRef>
          </c:xVal>
          <c:yVal>
            <c:numRef>
              <c:f>Processing_final!$BF$7:$BF$13</c:f>
              <c:numCache>
                <c:formatCode>General</c:formatCode>
                <c:ptCount val="7"/>
                <c:pt idx="0">
                  <c:v>0</c:v>
                </c:pt>
                <c:pt idx="1">
                  <c:v>0.13696940136763408</c:v>
                </c:pt>
                <c:pt idx="2">
                  <c:v>0.22332981968524032</c:v>
                </c:pt>
                <c:pt idx="3">
                  <c:v>0.2998240053728371</c:v>
                </c:pt>
                <c:pt idx="4">
                  <c:v>0.27684954312870397</c:v>
                </c:pt>
                <c:pt idx="5">
                  <c:v>0.30599051621481727</c:v>
                </c:pt>
                <c:pt idx="6">
                  <c:v>0.29425760650709076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E-4099-AF93-BF53A1BECC7C}"/>
            </c:ext>
          </c:extLst>
        </c:ser>
        <c:ser>
          <c:idx val="2"/>
          <c:order val="2"/>
          <c:tx>
            <c:v>Blk_corr_soil_2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2990605311596343"/>
                  <c:y val="-1.4528472838229591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4"/>
                  </a:solidFill>
                  <a:prstDash val="sysDash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(Processing_final!$AL$14:$AL$17,Processing_final!$AL$20:$AL$23)</c:f>
              <c:numCache>
                <c:formatCode>General</c:formatCode>
                <c:ptCount val="8"/>
                <c:pt idx="0">
                  <c:v>0</c:v>
                </c:pt>
                <c:pt idx="1">
                  <c:v>3.2027810411256512E-2</c:v>
                </c:pt>
                <c:pt idx="2">
                  <c:v>3.6103811037465641E-2</c:v>
                </c:pt>
                <c:pt idx="3">
                  <c:v>3.2819703527400129E-2</c:v>
                </c:pt>
                <c:pt idx="4">
                  <c:v>4.2469884534576284E-3</c:v>
                </c:pt>
                <c:pt idx="5">
                  <c:v>3.5183482929209232E-2</c:v>
                </c:pt>
                <c:pt idx="6">
                  <c:v>4.0112881276732723E-2</c:v>
                </c:pt>
                <c:pt idx="7">
                  <c:v>1.9094679415454605E-2</c:v>
                </c:pt>
              </c:numCache>
            </c:numRef>
          </c:xVal>
          <c:yVal>
            <c:numRef>
              <c:f>(Processing_final!$AM$14:$AM$17,Processing_final!$AM$20:$AM$23)</c:f>
              <c:numCache>
                <c:formatCode>General</c:formatCode>
                <c:ptCount val="8"/>
                <c:pt idx="0">
                  <c:v>0</c:v>
                </c:pt>
                <c:pt idx="1">
                  <c:v>0.63915532183269252</c:v>
                </c:pt>
                <c:pt idx="2">
                  <c:v>0.62504873846591003</c:v>
                </c:pt>
                <c:pt idx="3">
                  <c:v>0.63641466811722669</c:v>
                </c:pt>
                <c:pt idx="4">
                  <c:v>0</c:v>
                </c:pt>
                <c:pt idx="5">
                  <c:v>0.62823389135828989</c:v>
                </c:pt>
                <c:pt idx="6">
                  <c:v>0.61117379370023517</c:v>
                </c:pt>
                <c:pt idx="7">
                  <c:v>0.68391544512920888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1E-4099-AF93-BF53A1BECC7C}"/>
            </c:ext>
          </c:extLst>
        </c:ser>
        <c:ser>
          <c:idx val="3"/>
          <c:order val="3"/>
          <c:tx>
            <c:v>Blk+Drift_corr_soil_2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78488838211976E-2"/>
                  <c:y val="-7.9480519051563919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4"/>
                  </a:solidFill>
                  <a:prstDash val="dash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(Processing_final!$BE$14:$BE$17,Processing_final!$BE$20:$BE$23)</c:f>
              <c:numCache>
                <c:formatCode>General</c:formatCode>
                <c:ptCount val="8"/>
                <c:pt idx="0">
                  <c:v>0</c:v>
                </c:pt>
                <c:pt idx="1">
                  <c:v>2.5877842086245679E-2</c:v>
                </c:pt>
                <c:pt idx="2">
                  <c:v>2.8965531007004389E-2</c:v>
                </c:pt>
                <c:pt idx="3">
                  <c:v>2.5781458375454293E-2</c:v>
                </c:pt>
                <c:pt idx="4">
                  <c:v>0</c:v>
                </c:pt>
                <c:pt idx="5">
                  <c:v>2.373048853149435E-2</c:v>
                </c:pt>
                <c:pt idx="6">
                  <c:v>2.6075762131544746E-2</c:v>
                </c:pt>
                <c:pt idx="7">
                  <c:v>9.7911017660496941E-3</c:v>
                </c:pt>
              </c:numCache>
            </c:numRef>
          </c:xVal>
          <c:yVal>
            <c:numRef>
              <c:f>(Processing_final!$BF$14:$BF$17,Processing_final!$BF$20:$BF$23)</c:f>
              <c:numCache>
                <c:formatCode>General</c:formatCode>
                <c:ptCount val="8"/>
                <c:pt idx="0">
                  <c:v>0</c:v>
                </c:pt>
                <c:pt idx="1">
                  <c:v>0.66043967599151987</c:v>
                </c:pt>
                <c:pt idx="2">
                  <c:v>0.64975352916138962</c:v>
                </c:pt>
                <c:pt idx="3">
                  <c:v>0.66077324926006553</c:v>
                </c:pt>
                <c:pt idx="4">
                  <c:v>0</c:v>
                </c:pt>
                <c:pt idx="5">
                  <c:v>0.66787142704260571</c:v>
                </c:pt>
                <c:pt idx="6">
                  <c:v>0.65975469679867671</c:v>
                </c:pt>
                <c:pt idx="7">
                  <c:v>0.71611408927974363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1E-4099-AF93-BF53A1BECC7C}"/>
            </c:ext>
          </c:extLst>
        </c:ser>
        <c:ser>
          <c:idx val="4"/>
          <c:order val="4"/>
          <c:tx>
            <c:v>Blk_corr_soil_3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2267538243832071E-2"/>
                  <c:y val="9.6194311357034767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6"/>
                  </a:solidFill>
                  <a:prstDash val="sysDash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Processing_final!$AL$24:$AL$32</c:f>
              <c:numCache>
                <c:formatCode>General</c:formatCode>
                <c:ptCount val="9"/>
                <c:pt idx="0">
                  <c:v>4.9471032262439919E-3</c:v>
                </c:pt>
                <c:pt idx="1">
                  <c:v>3.5468736806712649E-3</c:v>
                </c:pt>
                <c:pt idx="2">
                  <c:v>0.18831813898552252</c:v>
                </c:pt>
                <c:pt idx="3">
                  <c:v>0.19381205675458127</c:v>
                </c:pt>
                <c:pt idx="4">
                  <c:v>0.17148402224856449</c:v>
                </c:pt>
                <c:pt idx="5">
                  <c:v>0.20828616868762109</c:v>
                </c:pt>
                <c:pt idx="6">
                  <c:v>0.16732530360151929</c:v>
                </c:pt>
                <c:pt idx="7">
                  <c:v>0.16446212013020325</c:v>
                </c:pt>
              </c:numCache>
            </c:numRef>
          </c:xVal>
          <c:yVal>
            <c:numRef>
              <c:f>Processing_final!$AM$24:$AM$32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9.3425546399503026E-2</c:v>
                </c:pt>
                <c:pt idx="3">
                  <c:v>7.427090693260005E-2</c:v>
                </c:pt>
                <c:pt idx="4">
                  <c:v>0.15211798600174919</c:v>
                </c:pt>
                <c:pt idx="5">
                  <c:v>2.3806664958975609E-2</c:v>
                </c:pt>
                <c:pt idx="6">
                  <c:v>0.16661743060156997</c:v>
                </c:pt>
                <c:pt idx="7">
                  <c:v>0.17659996937008343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1E-4099-AF93-BF53A1BECC7C}"/>
            </c:ext>
          </c:extLst>
        </c:ser>
        <c:ser>
          <c:idx val="5"/>
          <c:order val="5"/>
          <c:tx>
            <c:v>Blk+Drift_corr_soil_3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das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8.5531072794912802E-2"/>
                  <c:y val="-6.8206285404869338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6"/>
                  </a:solidFill>
                  <a:prstDash val="dash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Processing_final!$BE$24:$BE$32</c:f>
              <c:numCache>
                <c:formatCode>General</c:formatCode>
                <c:ptCount val="9"/>
                <c:pt idx="0">
                  <c:v>2.2900580716721361E-4</c:v>
                </c:pt>
                <c:pt idx="1">
                  <c:v>0</c:v>
                </c:pt>
                <c:pt idx="2">
                  <c:v>0.1107147375393369</c:v>
                </c:pt>
                <c:pt idx="3">
                  <c:v>0.10825883415496963</c:v>
                </c:pt>
                <c:pt idx="4">
                  <c:v>8.5928004681083303E-2</c:v>
                </c:pt>
                <c:pt idx="5">
                  <c:v>0.10096947984956491</c:v>
                </c:pt>
                <c:pt idx="6">
                  <c:v>7.5970492097181846E-2</c:v>
                </c:pt>
                <c:pt idx="7">
                  <c:v>7.1141506170167637E-2</c:v>
                </c:pt>
              </c:numCache>
            </c:numRef>
          </c:xVal>
          <c:yVal>
            <c:numRef>
              <c:f>Processing_final!$BF$24:$BF$32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0.36399114977978309</c:v>
                </c:pt>
                <c:pt idx="3">
                  <c:v>0.37255369947028588</c:v>
                </c:pt>
                <c:pt idx="4">
                  <c:v>0.45041052324332648</c:v>
                </c:pt>
                <c:pt idx="5">
                  <c:v>0.39796815952152648</c:v>
                </c:pt>
                <c:pt idx="6">
                  <c:v>0.4851275633501097</c:v>
                </c:pt>
                <c:pt idx="7">
                  <c:v>0.5019639064318433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1E-4099-AF93-BF53A1BEC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68208"/>
        <c:axId val="583068536"/>
      </c:scatterChart>
      <c:valAx>
        <c:axId val="58306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PCE</a:t>
                </a:r>
                <a:r>
                  <a:rPr lang="en-US" baseline="0"/>
                  <a:t> aqueous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68536"/>
        <c:crosses val="autoZero"/>
        <c:crossBetween val="midCat"/>
      </c:valAx>
      <c:valAx>
        <c:axId val="58306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PCE solid</a:t>
                </a:r>
                <a:r>
                  <a:rPr lang="en-US" baseline="0"/>
                  <a:t>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6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C_Std</a:t>
            </a:r>
            <a:r>
              <a:rPr lang="en-US" baseline="0"/>
              <a:t> m/z 166 vs init. Conc. aq. [ppm]</a:t>
            </a:r>
          </a:p>
          <a:p>
            <a:pPr>
              <a:defRPr/>
            </a:pPr>
            <a:r>
              <a:rPr lang="en-US" baseline="0"/>
              <a:t>16.07.21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SIM_166_auto_C_Std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9663840861486344"/>
                  <c:y val="0.10218722611357599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data'!$O$40:$O$47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'raw data'!$N$40:$N$47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40054</c:v>
                </c:pt>
                <c:pt idx="3">
                  <c:v>47478</c:v>
                </c:pt>
                <c:pt idx="4">
                  <c:v>250729</c:v>
                </c:pt>
                <c:pt idx="5">
                  <c:v>278296</c:v>
                </c:pt>
                <c:pt idx="6">
                  <c:v>563189</c:v>
                </c:pt>
                <c:pt idx="7">
                  <c:v>638327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24-4D7D-B527-283595CB4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46880"/>
        <c:axId val="4785475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SIM_166_C_Std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'raw data'!$O$40:$O$47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0.5</c:v>
                      </c:pt>
                      <c:pt idx="5">
                        <c:v>0.5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'raw data'!$M$40:$M$47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245292</c:v>
                      </c:pt>
                      <c:pt idx="5">
                        <c:v>274487</c:v>
                      </c:pt>
                      <c:pt idx="6">
                        <c:v>562767</c:v>
                      </c:pt>
                      <c:pt idx="7">
                        <c:v>635811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224-4D7D-B527-283595CB4875}"/>
                  </c:ext>
                </c:extLst>
              </c15:ser>
            </c15:filteredScatterSeries>
          </c:ext>
        </c:extLst>
      </c:scatterChart>
      <c:valAx>
        <c:axId val="47854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Init. Conc. aq.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47536"/>
        <c:crosses val="autoZero"/>
        <c:crossBetween val="midCat"/>
      </c:valAx>
      <c:valAx>
        <c:axId val="4785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4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15.07.21</a:t>
            </a:r>
          </a:p>
          <a:p>
            <a:pPr>
              <a:defRPr/>
            </a:pPr>
            <a:r>
              <a:rPr lang="en-US"/>
              <a:t>Signal area vs theoret. conc gas 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C_Std_SIM_166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55174978127734"/>
                  <c:y val="-1.4722222222222222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'1st processing'!$O$6:$O$14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1.6481836253369277E-2</c:v>
                </c:pt>
                <c:pt idx="4">
                  <c:v>1.6481836253369277E-2</c:v>
                </c:pt>
                <c:pt idx="5">
                  <c:v>8.2409181266846418E-2</c:v>
                </c:pt>
                <c:pt idx="6">
                  <c:v>8.2409181266846418E-2</c:v>
                </c:pt>
                <c:pt idx="7">
                  <c:v>0.16481836253369284</c:v>
                </c:pt>
                <c:pt idx="8">
                  <c:v>0.16481836253369284</c:v>
                </c:pt>
              </c:numCache>
            </c:numRef>
          </c:xVal>
          <c:yVal>
            <c:numRef>
              <c:f>'1st processing'!$I$6:$I$14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217080</c:v>
                </c:pt>
                <c:pt idx="6">
                  <c:v>218103</c:v>
                </c:pt>
                <c:pt idx="7">
                  <c:v>408045</c:v>
                </c:pt>
                <c:pt idx="8">
                  <c:v>391072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3-4BD7-B8A1-12F2D493C504}"/>
            </c:ext>
          </c:extLst>
        </c:ser>
        <c:ser>
          <c:idx val="1"/>
          <c:order val="1"/>
          <c:tx>
            <c:v>C_Std_SIM_166_auto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6013081952845503"/>
                  <c:y val="0.13654901960784313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'1st processing'!$O$6:$O$14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1.6481836253369277E-2</c:v>
                </c:pt>
                <c:pt idx="4">
                  <c:v>1.6481836253369277E-2</c:v>
                </c:pt>
                <c:pt idx="5">
                  <c:v>8.2409181266846418E-2</c:v>
                </c:pt>
                <c:pt idx="6">
                  <c:v>8.2409181266846418E-2</c:v>
                </c:pt>
                <c:pt idx="7">
                  <c:v>0.16481836253369284</c:v>
                </c:pt>
                <c:pt idx="8">
                  <c:v>0.16481836253369284</c:v>
                </c:pt>
              </c:numCache>
            </c:numRef>
          </c:xVal>
          <c:yVal>
            <c:numRef>
              <c:f>'1st processing'!$J$6:$J$14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3">
                  <c:v>43709</c:v>
                </c:pt>
                <c:pt idx="4">
                  <c:v>45897</c:v>
                </c:pt>
                <c:pt idx="5">
                  <c:v>218103</c:v>
                </c:pt>
                <c:pt idx="6">
                  <c:v>221592</c:v>
                </c:pt>
                <c:pt idx="7">
                  <c:v>409941</c:v>
                </c:pt>
                <c:pt idx="8">
                  <c:v>393500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3-4BD7-B8A1-12F2D493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15712"/>
        <c:axId val="191218336"/>
      </c:scatterChart>
      <c:valAx>
        <c:axId val="1912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conc.</a:t>
                </a:r>
                <a:r>
                  <a:rPr lang="en-US" baseline="0"/>
                  <a:t> eq.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8336"/>
        <c:crosses val="autoZero"/>
        <c:crossBetween val="midCat"/>
      </c:valAx>
      <c:valAx>
        <c:axId val="1912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15.07.21</a:t>
            </a:r>
          </a:p>
          <a:p>
            <a:pPr>
              <a:defRPr/>
            </a:pPr>
            <a:r>
              <a:rPr lang="en-US"/>
              <a:t>Signal area vs theoret. conc gas 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C_Std_SIM_166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55174978127734"/>
                  <c:y val="-1.4722222222222222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'1st processing'!$O$45:$O$52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1.6481836253369277E-2</c:v>
                </c:pt>
                <c:pt idx="3">
                  <c:v>1.6481836253369277E-2</c:v>
                </c:pt>
                <c:pt idx="4">
                  <c:v>8.2409181266846418E-2</c:v>
                </c:pt>
                <c:pt idx="5">
                  <c:v>8.2409181266846418E-2</c:v>
                </c:pt>
                <c:pt idx="6">
                  <c:v>0.16481836253369284</c:v>
                </c:pt>
                <c:pt idx="7">
                  <c:v>0.16481836253369284</c:v>
                </c:pt>
              </c:numCache>
            </c:numRef>
          </c:xVal>
          <c:yVal>
            <c:numRef>
              <c:f>'1st processing'!$I$45:$I$52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245292</c:v>
                </c:pt>
                <c:pt idx="5">
                  <c:v>274487</c:v>
                </c:pt>
                <c:pt idx="6">
                  <c:v>562767</c:v>
                </c:pt>
                <c:pt idx="7">
                  <c:v>635811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F-4C52-85E1-57CA2C9DC338}"/>
            </c:ext>
          </c:extLst>
        </c:ser>
        <c:ser>
          <c:idx val="1"/>
          <c:order val="1"/>
          <c:tx>
            <c:v>C_Std_SIM_166_auto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6013081952845503"/>
                  <c:y val="0.13654901960784313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'1st processing'!$O$45:$O$52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1.6481836253369277E-2</c:v>
                </c:pt>
                <c:pt idx="3">
                  <c:v>1.6481836253369277E-2</c:v>
                </c:pt>
                <c:pt idx="4">
                  <c:v>8.2409181266846418E-2</c:v>
                </c:pt>
                <c:pt idx="5">
                  <c:v>8.2409181266846418E-2</c:v>
                </c:pt>
                <c:pt idx="6">
                  <c:v>0.16481836253369284</c:v>
                </c:pt>
                <c:pt idx="7">
                  <c:v>0.16481836253369284</c:v>
                </c:pt>
              </c:numCache>
            </c:numRef>
          </c:xVal>
          <c:yVal>
            <c:numRef>
              <c:f>'1st processing'!$J$45:$J$52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40054</c:v>
                </c:pt>
                <c:pt idx="3">
                  <c:v>47478</c:v>
                </c:pt>
                <c:pt idx="4">
                  <c:v>250729</c:v>
                </c:pt>
                <c:pt idx="5">
                  <c:v>278296</c:v>
                </c:pt>
                <c:pt idx="6">
                  <c:v>563189</c:v>
                </c:pt>
                <c:pt idx="7">
                  <c:v>638327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F-4C52-85E1-57CA2C9DC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15712"/>
        <c:axId val="191218336"/>
      </c:scatterChart>
      <c:valAx>
        <c:axId val="1912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conc.</a:t>
                </a:r>
                <a:r>
                  <a:rPr lang="en-US" baseline="0"/>
                  <a:t> eq.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8336"/>
        <c:crosses val="autoZero"/>
        <c:crossBetween val="midCat"/>
      </c:valAx>
      <c:valAx>
        <c:axId val="1912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distribution</a:t>
            </a:r>
          </a:p>
          <a:p>
            <a:pPr>
              <a:defRPr/>
            </a:pPr>
            <a:r>
              <a:rPr lang="en-US"/>
              <a:t>Soil 1 to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PE_C_soil_1 SIM_166_auto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0339173228346458"/>
                  <c:y val="-5.0462962962962961E-3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('1st processing'!$AC$25,'1st processing'!$AC$27:$AC$31)</c:f>
              <c:numCache>
                <c:formatCode>General</c:formatCode>
                <c:ptCount val="6"/>
                <c:pt idx="0">
                  <c:v>0</c:v>
                </c:pt>
                <c:pt idx="1">
                  <c:v>0.23337390739584069</c:v>
                </c:pt>
                <c:pt idx="2">
                  <c:v>0.21683156111803847</c:v>
                </c:pt>
                <c:pt idx="3">
                  <c:v>0.22688547400836651</c:v>
                </c:pt>
                <c:pt idx="4">
                  <c:v>0.22090514665372121</c:v>
                </c:pt>
                <c:pt idx="5">
                  <c:v>0.22757840697112661</c:v>
                </c:pt>
              </c:numCache>
            </c:numRef>
          </c:xVal>
          <c:yVal>
            <c:numRef>
              <c:f>('1st processing'!$AD$25,'1st processing'!$AD$27:$AD$31)</c:f>
              <c:numCache>
                <c:formatCode>General</c:formatCode>
                <c:ptCount val="6"/>
                <c:pt idx="0">
                  <c:v>0</c:v>
                </c:pt>
                <c:pt idx="1">
                  <c:v>0.17697188491144827</c:v>
                </c:pt>
                <c:pt idx="2">
                  <c:v>0.23531095215373724</c:v>
                </c:pt>
                <c:pt idx="3">
                  <c:v>0.1998543192005254</c:v>
                </c:pt>
                <c:pt idx="4">
                  <c:v>0.22094484129543002</c:v>
                </c:pt>
                <c:pt idx="5">
                  <c:v>0.19741058709445145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19-48D0-A51F-6A9021360CAF}"/>
            </c:ext>
          </c:extLst>
        </c:ser>
        <c:ser>
          <c:idx val="1"/>
          <c:order val="1"/>
          <c:tx>
            <c:v>PE_C_soil_2 SIM_166_auto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('1st processing'!$AC$32:$AC$35,'1st processing'!$AC$60:$AC$62)</c:f>
              <c:numCache>
                <c:formatCode>General</c:formatCode>
                <c:ptCount val="7"/>
                <c:pt idx="0">
                  <c:v>0</c:v>
                </c:pt>
                <c:pt idx="1">
                  <c:v>3.4574733659813131E-2</c:v>
                </c:pt>
                <c:pt idx="2">
                  <c:v>3.8594551361334085E-2</c:v>
                </c:pt>
                <c:pt idx="3">
                  <c:v>3.5355711451013155E-2</c:v>
                </c:pt>
                <c:pt idx="4">
                  <c:v>0</c:v>
                </c:pt>
                <c:pt idx="5">
                  <c:v>3.1554620365014899E-2</c:v>
                </c:pt>
                <c:pt idx="6">
                  <c:v>3.6582510438531592E-2</c:v>
                </c:pt>
              </c:numCache>
            </c:numRef>
          </c:xVal>
          <c:yVal>
            <c:numRef>
              <c:f>('1st processing'!$AD$32:$AD$35,'1st processing'!$AD$60:$AD$62)</c:f>
              <c:numCache>
                <c:formatCode>General</c:formatCode>
                <c:ptCount val="7"/>
                <c:pt idx="0">
                  <c:v>0</c:v>
                </c:pt>
                <c:pt idx="1">
                  <c:v>0.63034070465536995</c:v>
                </c:pt>
                <c:pt idx="2">
                  <c:v>0.61642856412203728</c:v>
                </c:pt>
                <c:pt idx="3">
                  <c:v>0.62763782766160092</c:v>
                </c:pt>
                <c:pt idx="4">
                  <c:v>0</c:v>
                </c:pt>
                <c:pt idx="5">
                  <c:v>0.64079297978414562</c:v>
                </c:pt>
                <c:pt idx="6">
                  <c:v>0.62339201325214422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19-48D0-A51F-6A9021360CAF}"/>
            </c:ext>
          </c:extLst>
        </c:ser>
        <c:ser>
          <c:idx val="2"/>
          <c:order val="2"/>
          <c:tx>
            <c:v>PE_C_soil_3 SIM_166_auto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'1st processing'!$AC$64:$AC$71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0.18774897976056823</c:v>
                </c:pt>
                <c:pt idx="3">
                  <c:v>0.19335266862244424</c:v>
                </c:pt>
                <c:pt idx="4">
                  <c:v>0.17057850935606231</c:v>
                </c:pt>
                <c:pt idx="5">
                  <c:v>0.20811598020339242</c:v>
                </c:pt>
                <c:pt idx="6">
                  <c:v>0.1663366975303793</c:v>
                </c:pt>
                <c:pt idx="7">
                  <c:v>0.1634163062900732</c:v>
                </c:pt>
              </c:numCache>
            </c:numRef>
          </c:xVal>
          <c:yVal>
            <c:numRef>
              <c:f>'1st processing'!$AD$64:$AD$71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9.5409929896223836E-2</c:v>
                </c:pt>
                <c:pt idx="3">
                  <c:v>7.5872571612769862E-2</c:v>
                </c:pt>
                <c:pt idx="4">
                  <c:v>0.15527507238665947</c:v>
                </c:pt>
                <c:pt idx="5">
                  <c:v>2.4400030057226196E-2</c:v>
                </c:pt>
                <c:pt idx="6">
                  <c:v>0.17006422279313238</c:v>
                </c:pt>
                <c:pt idx="7">
                  <c:v>0.18024621743917688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19-48D0-A51F-6A9021360CAF}"/>
            </c:ext>
          </c:extLst>
        </c:ser>
        <c:ser>
          <c:idx val="3"/>
          <c:order val="3"/>
          <c:tx>
            <c:v>Theoret. Soil 1 Minimum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'1st processing'!$AZ$4:$AZ$8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xVal>
          <c:yVal>
            <c:numRef>
              <c:f>'1st processing'!$BA$4:$BA$8</c:f>
              <c:numCache>
                <c:formatCode>General</c:formatCode>
                <c:ptCount val="5"/>
                <c:pt idx="0">
                  <c:v>0</c:v>
                </c:pt>
                <c:pt idx="1">
                  <c:v>9.4050000000000009E-2</c:v>
                </c:pt>
                <c:pt idx="2">
                  <c:v>0.18810000000000002</c:v>
                </c:pt>
                <c:pt idx="3">
                  <c:v>0.28215000000000001</c:v>
                </c:pt>
                <c:pt idx="4">
                  <c:v>0.37620000000000003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19-48D0-A51F-6A9021360CAF}"/>
            </c:ext>
          </c:extLst>
        </c:ser>
        <c:ser>
          <c:idx val="4"/>
          <c:order val="4"/>
          <c:tx>
            <c:v>Theoret. Soil 2 Minimum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'1st processing'!$AZ$4:$AZ$6</c:f>
              <c:numCache>
                <c:formatCode>General</c:formatCode>
                <c:ptCount val="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</c:numCache>
            </c:numRef>
          </c:xVal>
          <c:yVal>
            <c:numRef>
              <c:f>'1st processing'!$BC$4:$BC$6</c:f>
              <c:numCache>
                <c:formatCode>General</c:formatCode>
                <c:ptCount val="3"/>
                <c:pt idx="0">
                  <c:v>0</c:v>
                </c:pt>
                <c:pt idx="1">
                  <c:v>0.31448999999999999</c:v>
                </c:pt>
                <c:pt idx="2">
                  <c:v>0.62897999999999998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19-48D0-A51F-6A9021360CAF}"/>
            </c:ext>
          </c:extLst>
        </c:ser>
        <c:ser>
          <c:idx val="5"/>
          <c:order val="5"/>
          <c:tx>
            <c:v>Theoret. Soil 3 Minimum</c:v>
          </c:tx>
          <c:spPr>
            <a:ln w="254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'1st processing'!$AZ$4:$AZ$8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xVal>
          <c:yVal>
            <c:numRef>
              <c:f>'1st processing'!$BE$4:$BE$8</c:f>
              <c:numCache>
                <c:formatCode>General</c:formatCode>
                <c:ptCount val="5"/>
                <c:pt idx="0">
                  <c:v>0</c:v>
                </c:pt>
                <c:pt idx="1">
                  <c:v>2.7059999999999997E-2</c:v>
                </c:pt>
                <c:pt idx="2">
                  <c:v>5.4119999999999994E-2</c:v>
                </c:pt>
                <c:pt idx="3">
                  <c:v>8.1179999999999988E-2</c:v>
                </c:pt>
                <c:pt idx="4">
                  <c:v>0.10823999999999999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19-48D0-A51F-6A9021360CAF}"/>
            </c:ext>
          </c:extLst>
        </c:ser>
        <c:ser>
          <c:idx val="6"/>
          <c:order val="6"/>
          <c:tx>
            <c:v>Theoret. Soil 1 Maximum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'1st processing'!$AZ$4:$AZ$7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'1st processing'!$BB$4:$BB$7</c:f>
              <c:numCache>
                <c:formatCode>General</c:formatCode>
                <c:ptCount val="4"/>
                <c:pt idx="0">
                  <c:v>0</c:v>
                </c:pt>
                <c:pt idx="1">
                  <c:v>0.62272500000000008</c:v>
                </c:pt>
                <c:pt idx="2">
                  <c:v>1.2454500000000002</c:v>
                </c:pt>
                <c:pt idx="3">
                  <c:v>1.8681750000000001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6F-4B70-87ED-7B1AF994EC79}"/>
            </c:ext>
          </c:extLst>
        </c:ser>
        <c:ser>
          <c:idx val="7"/>
          <c:order val="7"/>
          <c:tx>
            <c:v>Theoret. Soil 2 Maximum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'1st processing'!$AZ$4:$AZ$5</c:f>
              <c:numCache>
                <c:formatCode>General</c:formatCode>
                <c:ptCount val="2"/>
                <c:pt idx="0">
                  <c:v>0</c:v>
                </c:pt>
                <c:pt idx="1">
                  <c:v>0.05</c:v>
                </c:pt>
              </c:numCache>
            </c:numRef>
          </c:xVal>
          <c:yVal>
            <c:numRef>
              <c:f>'1st processing'!$BD$4:$BD$5</c:f>
              <c:numCache>
                <c:formatCode>General</c:formatCode>
                <c:ptCount val="2"/>
                <c:pt idx="0">
                  <c:v>0</c:v>
                </c:pt>
                <c:pt idx="1">
                  <c:v>2.0823049999999999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6F-4B70-87ED-7B1AF994EC79}"/>
            </c:ext>
          </c:extLst>
        </c:ser>
        <c:ser>
          <c:idx val="8"/>
          <c:order val="8"/>
          <c:tx>
            <c:v>Theoret. Soil 3 Maximum</c:v>
          </c:tx>
          <c:spPr>
            <a:ln w="254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'1st processing'!$AZ$4:$AZ$8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xVal>
          <c:yVal>
            <c:numRef>
              <c:f>'1st processing'!$BF$4:$BF$8</c:f>
              <c:numCache>
                <c:formatCode>General</c:formatCode>
                <c:ptCount val="5"/>
                <c:pt idx="0">
                  <c:v>0</c:v>
                </c:pt>
                <c:pt idx="1">
                  <c:v>0.17917</c:v>
                </c:pt>
                <c:pt idx="2">
                  <c:v>0.35833999999999999</c:v>
                </c:pt>
                <c:pt idx="3">
                  <c:v>0.53750999999999993</c:v>
                </c:pt>
                <c:pt idx="4">
                  <c:v>0.71667999999999998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6F-4B70-87ED-7B1AF994E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16888"/>
        <c:axId val="472020168"/>
      </c:scatterChart>
      <c:valAx>
        <c:axId val="47201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Aq. Conc.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20168"/>
        <c:crosses val="autoZero"/>
        <c:crossBetween val="midCat"/>
      </c:valAx>
      <c:valAx>
        <c:axId val="472020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Solid Conc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16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distribution</a:t>
            </a:r>
          </a:p>
          <a:p>
            <a:pPr>
              <a:defRPr/>
            </a:pPr>
            <a:r>
              <a:rPr lang="en-US"/>
              <a:t>Soil 1 to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PE_C_soil_1 SIM_166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0339173228346458"/>
                  <c:y val="-5.0462962962962961E-3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'1st processing'!$U$25:$U$31</c:f>
              <c:numCache>
                <c:formatCode>General</c:formatCode>
                <c:ptCount val="7"/>
                <c:pt idx="0">
                  <c:v>0</c:v>
                </c:pt>
                <c:pt idx="1">
                  <c:v>0.23402189245520438</c:v>
                </c:pt>
                <c:pt idx="2">
                  <c:v>0.2364456745426006</c:v>
                </c:pt>
                <c:pt idx="3">
                  <c:v>0.21839081805318147</c:v>
                </c:pt>
                <c:pt idx="4">
                  <c:v>0.22910882065642824</c:v>
                </c:pt>
                <c:pt idx="5">
                  <c:v>0.22187500480381356</c:v>
                </c:pt>
                <c:pt idx="6">
                  <c:v>0.23039031355060902</c:v>
                </c:pt>
              </c:numCache>
            </c:numRef>
          </c:xVal>
          <c:yVal>
            <c:numRef>
              <c:f>'1st processing'!$V$25:$V$31</c:f>
              <c:numCache>
                <c:formatCode>General</c:formatCode>
                <c:ptCount val="7"/>
                <c:pt idx="0">
                  <c:v>0</c:v>
                </c:pt>
                <c:pt idx="1">
                  <c:v>0.17468666833361954</c:v>
                </c:pt>
                <c:pt idx="2">
                  <c:v>0.16613883697991322</c:v>
                </c:pt>
                <c:pt idx="3">
                  <c:v>0.22981199851924722</c:v>
                </c:pt>
                <c:pt idx="4">
                  <c:v>0.19201335351005114</c:v>
                </c:pt>
                <c:pt idx="5">
                  <c:v>0.21752449094829443</c:v>
                </c:pt>
                <c:pt idx="6">
                  <c:v>0.18749397645986524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2-44E6-8C54-8DC1C29545B7}"/>
            </c:ext>
          </c:extLst>
        </c:ser>
        <c:ser>
          <c:idx val="2"/>
          <c:order val="1"/>
          <c:tx>
            <c:v>PE_C_soil_3 SIM_166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'1st processing'!$U$64:$U$72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0.22074253509336528</c:v>
                </c:pt>
                <c:pt idx="3">
                  <c:v>0.2266239160275608</c:v>
                </c:pt>
                <c:pt idx="4">
                  <c:v>0.20427286087105437</c:v>
                </c:pt>
                <c:pt idx="5">
                  <c:v>0.2414453384756087</c:v>
                </c:pt>
                <c:pt idx="6">
                  <c:v>0.1994279995951905</c:v>
                </c:pt>
                <c:pt idx="7">
                  <c:v>0.19719322705969625</c:v>
                </c:pt>
                <c:pt idx="8">
                  <c:v>0.14261873079486415</c:v>
                </c:pt>
              </c:numCache>
            </c:numRef>
          </c:xVal>
          <c:yVal>
            <c:numRef>
              <c:f>'1st processing'!$V$64:$V$72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-1.9622672282551788E-2</c:v>
                </c:pt>
                <c:pt idx="3">
                  <c:v>-4.01282087863013E-2</c:v>
                </c:pt>
                <c:pt idx="4">
                  <c:v>3.7799132179541318E-2</c:v>
                </c:pt>
                <c:pt idx="5">
                  <c:v>-9.1803354886578606E-2</c:v>
                </c:pt>
                <c:pt idx="6">
                  <c:v>5.4690824940030504E-2</c:v>
                </c:pt>
                <c:pt idx="7">
                  <c:v>6.2482398095531709E-2</c:v>
                </c:pt>
                <c:pt idx="8">
                  <c:v>0.2527573246566911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52-44E6-8C54-8DC1C29545B7}"/>
            </c:ext>
          </c:extLst>
        </c:ser>
        <c:ser>
          <c:idx val="1"/>
          <c:order val="2"/>
          <c:tx>
            <c:v>Theoret. Soil 1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'1st processing'!$AZ$4:$AZ$8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xVal>
          <c:yVal>
            <c:numRef>
              <c:f>'1st processing'!$BA$4:$BA$8</c:f>
              <c:numCache>
                <c:formatCode>General</c:formatCode>
                <c:ptCount val="5"/>
                <c:pt idx="0">
                  <c:v>0</c:v>
                </c:pt>
                <c:pt idx="1">
                  <c:v>9.4050000000000009E-2</c:v>
                </c:pt>
                <c:pt idx="2">
                  <c:v>0.18810000000000002</c:v>
                </c:pt>
                <c:pt idx="3">
                  <c:v>0.28215000000000001</c:v>
                </c:pt>
                <c:pt idx="4">
                  <c:v>0.37620000000000003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52-44E6-8C54-8DC1C29545B7}"/>
            </c:ext>
          </c:extLst>
        </c:ser>
        <c:ser>
          <c:idx val="3"/>
          <c:order val="3"/>
          <c:tx>
            <c:v>Theoret. Soil 3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'1st processing'!$AZ$4:$AZ$8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xVal>
          <c:yVal>
            <c:numRef>
              <c:f>'1st processing'!$BE$4:$BE$8</c:f>
              <c:numCache>
                <c:formatCode>General</c:formatCode>
                <c:ptCount val="5"/>
                <c:pt idx="0">
                  <c:v>0</c:v>
                </c:pt>
                <c:pt idx="1">
                  <c:v>2.7059999999999997E-2</c:v>
                </c:pt>
                <c:pt idx="2">
                  <c:v>5.4119999999999994E-2</c:v>
                </c:pt>
                <c:pt idx="3">
                  <c:v>8.1179999999999988E-2</c:v>
                </c:pt>
                <c:pt idx="4">
                  <c:v>0.10823999999999999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52-44E6-8C54-8DC1C2954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16888"/>
        <c:axId val="472020168"/>
      </c:scatterChart>
      <c:valAx>
        <c:axId val="47201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Aq. Conc.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20168"/>
        <c:crosses val="autoZero"/>
        <c:crossBetween val="midCat"/>
      </c:valAx>
      <c:valAx>
        <c:axId val="47202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Solid Conc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16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Instrumental Drift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Blank SIM_150 15.07.21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29679417351442"/>
                  <c:y val="9.9450845791846432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(Processing_final!$A$9:$A$10,Processing_final!$A$20)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13</c:v>
                </c:pt>
              </c:numCache>
            </c:numRef>
          </c:xVal>
          <c:yVal>
            <c:numRef>
              <c:f>(Processing_final!$G$9:$G$10,Processing_final!$G$20)</c:f>
              <c:numCache>
                <c:formatCode>General</c:formatCode>
                <c:ptCount val="3"/>
                <c:pt idx="0">
                  <c:v>542544</c:v>
                </c:pt>
                <c:pt idx="1">
                  <c:v>590909</c:v>
                </c:pt>
                <c:pt idx="2">
                  <c:v>661560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2-4D91-918F-3A4F851EE958}"/>
            </c:ext>
          </c:extLst>
        </c:ser>
        <c:ser>
          <c:idx val="1"/>
          <c:order val="1"/>
          <c:tx>
            <c:v>Blank SIM_150 16.07.21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979417365195747"/>
                  <c:y val="-8.8700422863808692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(Processing_final!$A$37:$A$38,Processing_final!$A$45,Processing_final!$A$54)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18</c:v>
                </c:pt>
              </c:numCache>
            </c:numRef>
          </c:xVal>
          <c:yVal>
            <c:numRef>
              <c:f>(Processing_final!$G$37:$G$38,Processing_final!$G$45,Processing_final!$G$54)</c:f>
              <c:numCache>
                <c:formatCode>General</c:formatCode>
                <c:ptCount val="4"/>
                <c:pt idx="0">
                  <c:v>394976</c:v>
                </c:pt>
                <c:pt idx="1">
                  <c:v>947039</c:v>
                </c:pt>
                <c:pt idx="2">
                  <c:v>986239</c:v>
                </c:pt>
                <c:pt idx="3">
                  <c:v>1976925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B2-4D91-918F-3A4F851EE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07120"/>
        <c:axId val="472106464"/>
      </c:scatterChart>
      <c:valAx>
        <c:axId val="47210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06464"/>
        <c:crosses val="autoZero"/>
        <c:crossBetween val="midCat"/>
      </c:valAx>
      <c:valAx>
        <c:axId val="4721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0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Gas Conc [ppm] 15.07.21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SIM_166_auto_15.07.21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42279090113736"/>
                  <c:y val="8.8425925925925929E-3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Processing_final!$U$7:$U$15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1.6481836253369277E-2</c:v>
                </c:pt>
                <c:pt idx="3">
                  <c:v>1.6481836253369277E-2</c:v>
                </c:pt>
                <c:pt idx="4">
                  <c:v>8.2409181266846418E-2</c:v>
                </c:pt>
                <c:pt idx="5">
                  <c:v>8.2409181266846418E-2</c:v>
                </c:pt>
                <c:pt idx="6">
                  <c:v>0.16481836253369284</c:v>
                </c:pt>
                <c:pt idx="7">
                  <c:v>0.16481836253369284</c:v>
                </c:pt>
                <c:pt idx="8">
                  <c:v>0</c:v>
                </c:pt>
              </c:numCache>
            </c:numRef>
          </c:xVal>
          <c:yVal>
            <c:numRef>
              <c:f>Processing_final!$N$7:$N$15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43709</c:v>
                </c:pt>
                <c:pt idx="3">
                  <c:v>45897</c:v>
                </c:pt>
                <c:pt idx="4">
                  <c:v>218103</c:v>
                </c:pt>
                <c:pt idx="5">
                  <c:v>221592</c:v>
                </c:pt>
                <c:pt idx="6">
                  <c:v>409941</c:v>
                </c:pt>
                <c:pt idx="7">
                  <c:v>393500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AE-482C-B240-A3F64A61CAAD}"/>
            </c:ext>
          </c:extLst>
        </c:ser>
        <c:ser>
          <c:idx val="1"/>
          <c:order val="1"/>
          <c:tx>
            <c:v>SIM_166_auto_15.07.21_drift-corr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85804564409974E-2"/>
                  <c:y val="0.32542330309015843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Processing_final!$U$7:$U$15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1.6481836253369277E-2</c:v>
                </c:pt>
                <c:pt idx="3">
                  <c:v>1.6481836253369277E-2</c:v>
                </c:pt>
                <c:pt idx="4">
                  <c:v>8.2409181266846418E-2</c:v>
                </c:pt>
                <c:pt idx="5">
                  <c:v>8.2409181266846418E-2</c:v>
                </c:pt>
                <c:pt idx="6">
                  <c:v>0.16481836253369284</c:v>
                </c:pt>
                <c:pt idx="7">
                  <c:v>0.16481836253369284</c:v>
                </c:pt>
                <c:pt idx="8">
                  <c:v>0</c:v>
                </c:pt>
              </c:numCache>
            </c:numRef>
          </c:xVal>
          <c:yVal>
            <c:numRef>
              <c:f>Processing_final!$O$7:$O$15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40905.096346686871</c:v>
                </c:pt>
                <c:pt idx="3">
                  <c:v>42274.763010182978</c:v>
                </c:pt>
                <c:pt idx="4">
                  <c:v>197768.47677218856</c:v>
                </c:pt>
                <c:pt idx="5">
                  <c:v>197857.68809164796</c:v>
                </c:pt>
                <c:pt idx="6">
                  <c:v>360516.64773378911</c:v>
                </c:pt>
                <c:pt idx="7">
                  <c:v>340919.99132801389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D2-457D-8159-01B287A67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07120"/>
        <c:axId val="472106464"/>
      </c:scatterChart>
      <c:valAx>
        <c:axId val="47210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06464"/>
        <c:crosses val="autoZero"/>
        <c:crossBetween val="midCat"/>
      </c:valAx>
      <c:valAx>
        <c:axId val="4721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0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Gas Conc [ppm] 16.07.21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SIM_166_auto_16.07.21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42279090113736"/>
                  <c:y val="8.8425925925925929E-3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Processing_final!$U$22:$U$31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1.6481836253369277E-2</c:v>
                </c:pt>
                <c:pt idx="3">
                  <c:v>1.6481836253369277E-2</c:v>
                </c:pt>
                <c:pt idx="4">
                  <c:v>8.2409181266846418E-2</c:v>
                </c:pt>
                <c:pt idx="5">
                  <c:v>8.2409181266846418E-2</c:v>
                </c:pt>
                <c:pt idx="6">
                  <c:v>0.16481836253369284</c:v>
                </c:pt>
                <c:pt idx="7">
                  <c:v>0.16481836253369284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Processing_final!$N$22:$N$31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40054</c:v>
                </c:pt>
                <c:pt idx="3">
                  <c:v>47478</c:v>
                </c:pt>
                <c:pt idx="4">
                  <c:v>250729</c:v>
                </c:pt>
                <c:pt idx="5">
                  <c:v>278296</c:v>
                </c:pt>
                <c:pt idx="6">
                  <c:v>563189</c:v>
                </c:pt>
                <c:pt idx="7">
                  <c:v>638327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4-40C3-8C22-06984C393478}"/>
            </c:ext>
          </c:extLst>
        </c:ser>
        <c:ser>
          <c:idx val="1"/>
          <c:order val="1"/>
          <c:tx>
            <c:v>SIM_166_16.07.21_drift-corr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182403587125816E-2"/>
                  <c:y val="0.17970503922642908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Processing_final!$U$22:$U$31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1.6481836253369277E-2</c:v>
                </c:pt>
                <c:pt idx="3">
                  <c:v>1.6481836253369277E-2</c:v>
                </c:pt>
                <c:pt idx="4">
                  <c:v>8.2409181266846418E-2</c:v>
                </c:pt>
                <c:pt idx="5">
                  <c:v>8.2409181266846418E-2</c:v>
                </c:pt>
                <c:pt idx="6">
                  <c:v>0.16481836253369284</c:v>
                </c:pt>
                <c:pt idx="7">
                  <c:v>0.16481836253369284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Processing_final!$O$22:$O$31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27090.223965504225</c:v>
                </c:pt>
                <c:pt idx="3">
                  <c:v>28984.386609718535</c:v>
                </c:pt>
                <c:pt idx="4">
                  <c:v>139482.35178596224</c:v>
                </c:pt>
                <c:pt idx="5">
                  <c:v>142199.49482224003</c:v>
                </c:pt>
                <c:pt idx="6">
                  <c:v>266082.54257094214</c:v>
                </c:pt>
                <c:pt idx="7">
                  <c:v>280446.62849108578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11-4052-A588-4BFA298E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07120"/>
        <c:axId val="472106464"/>
      </c:scatterChart>
      <c:valAx>
        <c:axId val="47210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06464"/>
        <c:crosses val="autoZero"/>
        <c:crossBetween val="midCat"/>
      </c:valAx>
      <c:valAx>
        <c:axId val="4721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0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330574</xdr:colOff>
      <xdr:row>0</xdr:row>
      <xdr:rowOff>191620</xdr:rowOff>
    </xdr:from>
    <xdr:to>
      <xdr:col>24</xdr:col>
      <xdr:colOff>470648</xdr:colOff>
      <xdr:row>17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03AB9E-50F1-467C-A04C-0B98B9D4D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25</xdr:col>
      <xdr:colOff>381000</xdr:colOff>
      <xdr:row>56</xdr:row>
      <xdr:rowOff>103909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FFCE9E2-2528-49EA-B50C-E36F6A3F7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742950</xdr:colOff>
      <xdr:row>0</xdr:row>
      <xdr:rowOff>85725</xdr:rowOff>
    </xdr:from>
    <xdr:to>
      <xdr:col>23</xdr:col>
      <xdr:colOff>495299</xdr:colOff>
      <xdr:row>17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DB5BD2-4D82-4986-B2D7-E4D786982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1035843</xdr:colOff>
      <xdr:row>36</xdr:row>
      <xdr:rowOff>130969</xdr:rowOff>
    </xdr:from>
    <xdr:to>
      <xdr:col>24</xdr:col>
      <xdr:colOff>26192</xdr:colOff>
      <xdr:row>53</xdr:row>
      <xdr:rowOff>130969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6E49386-F081-4DF2-9E85-E918C764F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707572</xdr:colOff>
      <xdr:row>0</xdr:row>
      <xdr:rowOff>0</xdr:rowOff>
    </xdr:from>
    <xdr:to>
      <xdr:col>44</xdr:col>
      <xdr:colOff>562195</xdr:colOff>
      <xdr:row>36</xdr:row>
      <xdr:rowOff>183677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9F30D2F-DFCE-4D36-A448-8898B469C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45</xdr:row>
      <xdr:rowOff>0</xdr:rowOff>
    </xdr:from>
    <xdr:to>
      <xdr:col>44</xdr:col>
      <xdr:colOff>616623</xdr:colOff>
      <xdr:row>81</xdr:row>
      <xdr:rowOff>183677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3E578A0-EEEA-4983-A19D-F01E0B06F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530678</xdr:colOff>
      <xdr:row>31</xdr:row>
      <xdr:rowOff>163287</xdr:rowOff>
    </xdr:from>
    <xdr:to>
      <xdr:col>17</xdr:col>
      <xdr:colOff>530679</xdr:colOff>
      <xdr:row>53</xdr:row>
      <xdr:rowOff>95250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A65455C-DE3F-49AC-A6CB-97E642592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103908</xdr:colOff>
      <xdr:row>15</xdr:row>
      <xdr:rowOff>34636</xdr:rowOff>
    </xdr:from>
    <xdr:to>
      <xdr:col>26</xdr:col>
      <xdr:colOff>181549</xdr:colOff>
      <xdr:row>29</xdr:row>
      <xdr:rowOff>110836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2774AF74-E9D9-410C-9169-8AD7D3E5A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94738</xdr:colOff>
      <xdr:row>29</xdr:row>
      <xdr:rowOff>173181</xdr:rowOff>
    </xdr:from>
    <xdr:to>
      <xdr:col>26</xdr:col>
      <xdr:colOff>161174</xdr:colOff>
      <xdr:row>44</xdr:row>
      <xdr:rowOff>58881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78B9797C-953A-418C-BCB8-CD1BFE9A9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160260</xdr:colOff>
      <xdr:row>24</xdr:row>
      <xdr:rowOff>68034</xdr:rowOff>
    </xdr:from>
    <xdr:to>
      <xdr:col>76</xdr:col>
      <xdr:colOff>13605</xdr:colOff>
      <xdr:row>49</xdr:row>
      <xdr:rowOff>128511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DA1377D-DBCE-462F-A205-8D535E6F1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38E13-3E9B-45F9-BB81-AEE4711DAFE6}">
  <dimension ref="A1:AD63"/>
  <sheetViews>
    <sheetView topLeftCell="A19" zoomScale="80" zoomScaleNormal="80" workbookViewId="0">
      <selection activeCell="F54" activeCellId="1" sqref="F40:F52 F54:F63"/>
    </sheetView>
  </sheetViews>
  <sheetFormatPr baseColWidth="10" defaultRowHeight="15" x14ac:dyDescent="0.25"/>
  <cols>
    <col min="2" max="2" width="33.85546875" bestFit="1" customWidth="1"/>
    <col min="14" max="14" width="13.140625" customWidth="1"/>
  </cols>
  <sheetData>
    <row r="1" spans="1:30" ht="15.75" thickBot="1" x14ac:dyDescent="0.3">
      <c r="A1" t="s">
        <v>20</v>
      </c>
    </row>
    <row r="2" spans="1:30" x14ac:dyDescent="0.25">
      <c r="A2" t="s">
        <v>21</v>
      </c>
      <c r="AA2" s="22" t="s">
        <v>75</v>
      </c>
      <c r="AB2" s="15" t="s">
        <v>71</v>
      </c>
      <c r="AC2" s="15"/>
      <c r="AD2" s="16" t="s">
        <v>73</v>
      </c>
    </row>
    <row r="3" spans="1:30" x14ac:dyDescent="0.25">
      <c r="A3" t="s">
        <v>0</v>
      </c>
      <c r="C3" t="s">
        <v>1</v>
      </c>
      <c r="AA3" s="23" t="s">
        <v>76</v>
      </c>
      <c r="AB3" s="10" t="s">
        <v>56</v>
      </c>
      <c r="AC3" s="10" t="s">
        <v>72</v>
      </c>
      <c r="AD3" s="18" t="s">
        <v>74</v>
      </c>
    </row>
    <row r="4" spans="1:30" x14ac:dyDescent="0.25">
      <c r="A4" t="s">
        <v>2</v>
      </c>
      <c r="C4" t="s">
        <v>3</v>
      </c>
      <c r="AA4" s="24" t="s">
        <v>59</v>
      </c>
      <c r="AB4" s="2">
        <v>0</v>
      </c>
      <c r="AC4" s="2">
        <v>0</v>
      </c>
      <c r="AD4" s="25">
        <v>8</v>
      </c>
    </row>
    <row r="5" spans="1:30" x14ac:dyDescent="0.25">
      <c r="A5" s="1"/>
      <c r="B5" s="7"/>
      <c r="C5" s="8" t="s">
        <v>4</v>
      </c>
      <c r="D5" s="3"/>
      <c r="E5" s="2" t="s">
        <v>5</v>
      </c>
      <c r="F5" s="2"/>
      <c r="G5" s="8" t="s">
        <v>6</v>
      </c>
      <c r="H5" s="3"/>
      <c r="I5" s="2" t="s">
        <v>7</v>
      </c>
      <c r="J5" s="2"/>
      <c r="K5" s="2"/>
      <c r="L5" s="8" t="s">
        <v>8</v>
      </c>
      <c r="M5" s="2"/>
      <c r="N5" s="3"/>
      <c r="O5" t="s">
        <v>43</v>
      </c>
      <c r="AA5" s="17" t="s">
        <v>60</v>
      </c>
      <c r="AB5" s="10">
        <v>2.5</v>
      </c>
      <c r="AC5" s="10">
        <v>12.5</v>
      </c>
      <c r="AD5" s="18">
        <v>8</v>
      </c>
    </row>
    <row r="6" spans="1:30" x14ac:dyDescent="0.25">
      <c r="A6" s="4" t="s">
        <v>10</v>
      </c>
      <c r="B6" s="6" t="s">
        <v>11</v>
      </c>
      <c r="C6" s="4" t="s">
        <v>12</v>
      </c>
      <c r="D6" s="5" t="s">
        <v>13</v>
      </c>
      <c r="E6" s="6" t="s">
        <v>12</v>
      </c>
      <c r="F6" s="6" t="s">
        <v>14</v>
      </c>
      <c r="G6" s="4" t="s">
        <v>12</v>
      </c>
      <c r="H6" s="5" t="s">
        <v>15</v>
      </c>
      <c r="I6" s="6" t="s">
        <v>12</v>
      </c>
      <c r="J6" s="6" t="s">
        <v>16</v>
      </c>
      <c r="K6" s="6" t="s">
        <v>17</v>
      </c>
      <c r="L6" s="4" t="s">
        <v>12</v>
      </c>
      <c r="M6" s="6" t="s">
        <v>18</v>
      </c>
      <c r="N6" s="5" t="s">
        <v>19</v>
      </c>
      <c r="O6" t="s">
        <v>44</v>
      </c>
      <c r="AA6" s="17" t="s">
        <v>61</v>
      </c>
      <c r="AB6" s="10">
        <v>2.5</v>
      </c>
      <c r="AC6" s="10">
        <v>12.5</v>
      </c>
      <c r="AD6" s="18">
        <v>8</v>
      </c>
    </row>
    <row r="7" spans="1:30" x14ac:dyDescent="0.25">
      <c r="A7">
        <v>1</v>
      </c>
      <c r="B7" t="s">
        <v>22</v>
      </c>
      <c r="C7" s="9"/>
      <c r="D7" s="11"/>
      <c r="G7" s="9"/>
      <c r="H7" s="11"/>
      <c r="L7" s="9"/>
      <c r="M7" s="10"/>
      <c r="N7" s="11"/>
      <c r="AA7" s="26" t="s">
        <v>62</v>
      </c>
      <c r="AB7" s="6">
        <v>2.5</v>
      </c>
      <c r="AC7" s="6">
        <v>12.5</v>
      </c>
      <c r="AD7" s="27">
        <v>8</v>
      </c>
    </row>
    <row r="8" spans="1:30" x14ac:dyDescent="0.25">
      <c r="A8">
        <v>2</v>
      </c>
      <c r="B8" t="s">
        <v>23</v>
      </c>
      <c r="C8" s="9">
        <v>3.5529999999999999</v>
      </c>
      <c r="D8" s="11">
        <v>916718</v>
      </c>
      <c r="E8">
        <v>13.151999999999999</v>
      </c>
      <c r="F8">
        <v>542544</v>
      </c>
      <c r="G8" s="9">
        <v>13.151999999999999</v>
      </c>
      <c r="H8" s="11">
        <v>346254</v>
      </c>
      <c r="I8" s="12">
        <v>0</v>
      </c>
      <c r="J8" s="12">
        <v>0</v>
      </c>
      <c r="K8" s="12">
        <v>0</v>
      </c>
      <c r="L8" s="9">
        <v>0</v>
      </c>
      <c r="M8" s="12">
        <v>0</v>
      </c>
      <c r="N8" s="11">
        <v>0</v>
      </c>
      <c r="O8">
        <v>0</v>
      </c>
      <c r="AA8" s="24" t="s">
        <v>63</v>
      </c>
      <c r="AB8" s="2">
        <v>0</v>
      </c>
      <c r="AC8" s="2">
        <v>0</v>
      </c>
      <c r="AD8" s="25">
        <v>6</v>
      </c>
    </row>
    <row r="9" spans="1:30" x14ac:dyDescent="0.25">
      <c r="A9">
        <v>3</v>
      </c>
      <c r="B9" t="s">
        <v>24</v>
      </c>
      <c r="C9" s="9">
        <v>3.5579999999999998</v>
      </c>
      <c r="D9" s="11">
        <v>1309489</v>
      </c>
      <c r="E9">
        <v>13.153</v>
      </c>
      <c r="F9">
        <v>590909</v>
      </c>
      <c r="G9" s="9">
        <v>13.154</v>
      </c>
      <c r="H9" s="11">
        <v>378208</v>
      </c>
      <c r="I9" s="12">
        <v>0</v>
      </c>
      <c r="J9" s="12">
        <v>0</v>
      </c>
      <c r="K9" s="12">
        <v>0</v>
      </c>
      <c r="L9" s="9">
        <v>0</v>
      </c>
      <c r="M9" s="12">
        <v>0</v>
      </c>
      <c r="N9" s="11">
        <v>0</v>
      </c>
      <c r="O9">
        <v>0</v>
      </c>
      <c r="AA9" s="17" t="s">
        <v>64</v>
      </c>
      <c r="AB9" s="10">
        <v>2.5</v>
      </c>
      <c r="AC9" s="10">
        <v>12.5</v>
      </c>
      <c r="AD9" s="18">
        <v>6</v>
      </c>
    </row>
    <row r="10" spans="1:30" x14ac:dyDescent="0.25">
      <c r="A10">
        <v>4</v>
      </c>
      <c r="B10" t="s">
        <v>25</v>
      </c>
      <c r="C10" s="9">
        <v>3.5609999999999999</v>
      </c>
      <c r="D10" s="11">
        <v>1148292</v>
      </c>
      <c r="E10">
        <v>13.154</v>
      </c>
      <c r="F10">
        <v>605417</v>
      </c>
      <c r="G10" s="9">
        <v>13.154999999999999</v>
      </c>
      <c r="H10" s="11">
        <v>384135</v>
      </c>
      <c r="I10">
        <v>6.9779999999999998</v>
      </c>
      <c r="J10">
        <v>0</v>
      </c>
      <c r="K10">
        <v>35094</v>
      </c>
      <c r="L10" s="9">
        <v>6.98</v>
      </c>
      <c r="M10" s="12">
        <v>0</v>
      </c>
      <c r="N10" s="11">
        <v>43709</v>
      </c>
      <c r="O10">
        <v>0.1</v>
      </c>
      <c r="AA10" s="17" t="s">
        <v>65</v>
      </c>
      <c r="AB10" s="10">
        <v>2.5</v>
      </c>
      <c r="AC10" s="10">
        <v>12.5</v>
      </c>
      <c r="AD10" s="18">
        <v>6</v>
      </c>
    </row>
    <row r="11" spans="1:30" x14ac:dyDescent="0.25">
      <c r="A11">
        <v>5</v>
      </c>
      <c r="B11" t="s">
        <v>26</v>
      </c>
      <c r="C11" s="9">
        <v>3.56</v>
      </c>
      <c r="D11" s="11">
        <v>1199525</v>
      </c>
      <c r="E11">
        <v>13.154</v>
      </c>
      <c r="F11">
        <v>627937</v>
      </c>
      <c r="G11" s="9">
        <v>13.154</v>
      </c>
      <c r="H11" s="11">
        <v>400258</v>
      </c>
      <c r="I11">
        <v>6.9779999999999998</v>
      </c>
      <c r="J11">
        <v>0</v>
      </c>
      <c r="K11">
        <v>34572</v>
      </c>
      <c r="L11" s="9">
        <v>6.9790000000000001</v>
      </c>
      <c r="M11" s="12">
        <v>0</v>
      </c>
      <c r="N11" s="11">
        <v>45897</v>
      </c>
      <c r="O11">
        <v>0.1</v>
      </c>
      <c r="AA11" s="26" t="s">
        <v>66</v>
      </c>
      <c r="AB11" s="6">
        <v>2.5</v>
      </c>
      <c r="AC11" s="6">
        <v>12.5</v>
      </c>
      <c r="AD11" s="27">
        <v>6</v>
      </c>
    </row>
    <row r="12" spans="1:30" x14ac:dyDescent="0.25">
      <c r="A12">
        <v>6</v>
      </c>
      <c r="B12" t="s">
        <v>27</v>
      </c>
      <c r="C12" s="9">
        <v>3.5590000000000002</v>
      </c>
      <c r="D12" s="11">
        <v>1422465</v>
      </c>
      <c r="E12">
        <v>13.154</v>
      </c>
      <c r="F12">
        <v>687693</v>
      </c>
      <c r="G12" s="9">
        <v>13.154</v>
      </c>
      <c r="H12" s="11">
        <v>431228</v>
      </c>
      <c r="I12">
        <v>6.9770000000000003</v>
      </c>
      <c r="J12">
        <v>0</v>
      </c>
      <c r="K12">
        <v>171596</v>
      </c>
      <c r="L12" s="9">
        <v>6.9790000000000001</v>
      </c>
      <c r="M12" s="10">
        <v>217080</v>
      </c>
      <c r="N12" s="11">
        <v>218103</v>
      </c>
      <c r="O12">
        <v>0.5</v>
      </c>
      <c r="AA12" s="17" t="s">
        <v>67</v>
      </c>
      <c r="AB12" s="10">
        <v>0</v>
      </c>
      <c r="AC12" s="10">
        <v>0</v>
      </c>
      <c r="AD12" s="18">
        <v>6</v>
      </c>
    </row>
    <row r="13" spans="1:30" x14ac:dyDescent="0.25">
      <c r="A13">
        <v>7</v>
      </c>
      <c r="B13" t="s">
        <v>28</v>
      </c>
      <c r="C13" s="9">
        <v>3.5590000000000002</v>
      </c>
      <c r="D13" s="11">
        <v>1476700</v>
      </c>
      <c r="E13">
        <v>13.154</v>
      </c>
      <c r="F13">
        <v>609976</v>
      </c>
      <c r="G13" s="9">
        <v>13.154999999999999</v>
      </c>
      <c r="H13" s="11">
        <v>394569</v>
      </c>
      <c r="I13">
        <v>6.9770000000000003</v>
      </c>
      <c r="K13">
        <v>167459</v>
      </c>
      <c r="L13" s="9">
        <v>6.9779999999999998</v>
      </c>
      <c r="M13" s="10">
        <v>218103</v>
      </c>
      <c r="N13" s="11">
        <v>221592</v>
      </c>
      <c r="O13">
        <v>0.5</v>
      </c>
      <c r="AA13" s="17" t="s">
        <v>68</v>
      </c>
      <c r="AB13" s="10">
        <v>2.5</v>
      </c>
      <c r="AC13" s="10">
        <v>12.5</v>
      </c>
      <c r="AD13" s="18">
        <v>6</v>
      </c>
    </row>
    <row r="14" spans="1:30" x14ac:dyDescent="0.25">
      <c r="A14">
        <v>8</v>
      </c>
      <c r="B14" t="s">
        <v>29</v>
      </c>
      <c r="C14" s="9">
        <v>3.5579999999999998</v>
      </c>
      <c r="D14" s="11">
        <v>1319552</v>
      </c>
      <c r="E14">
        <v>13.154</v>
      </c>
      <c r="F14">
        <v>627062</v>
      </c>
      <c r="G14" s="9">
        <v>13.154999999999999</v>
      </c>
      <c r="H14" s="11">
        <v>406082</v>
      </c>
      <c r="I14">
        <v>6.9779999999999998</v>
      </c>
      <c r="J14">
        <v>318878</v>
      </c>
      <c r="K14">
        <v>323230</v>
      </c>
      <c r="L14" s="9">
        <v>6.9779999999999998</v>
      </c>
      <c r="M14" s="10">
        <v>408045</v>
      </c>
      <c r="N14" s="11">
        <v>409941</v>
      </c>
      <c r="O14">
        <v>1</v>
      </c>
      <c r="AA14" s="17" t="s">
        <v>69</v>
      </c>
      <c r="AB14" s="10">
        <v>2.5</v>
      </c>
      <c r="AC14" s="10">
        <v>12.5</v>
      </c>
      <c r="AD14" s="18">
        <v>6</v>
      </c>
    </row>
    <row r="15" spans="1:30" ht="15.75" thickBot="1" x14ac:dyDescent="0.3">
      <c r="A15">
        <v>9</v>
      </c>
      <c r="B15" t="s">
        <v>30</v>
      </c>
      <c r="C15" s="9">
        <v>3.5550000000000002</v>
      </c>
      <c r="D15" s="11">
        <v>1193771</v>
      </c>
      <c r="E15">
        <v>13.154</v>
      </c>
      <c r="F15">
        <v>670760</v>
      </c>
      <c r="G15" s="9">
        <v>13.154</v>
      </c>
      <c r="H15" s="11">
        <v>429532</v>
      </c>
      <c r="I15">
        <v>6.9749999999999996</v>
      </c>
      <c r="J15">
        <v>302456</v>
      </c>
      <c r="K15">
        <v>305663</v>
      </c>
      <c r="L15" s="9">
        <v>6.976</v>
      </c>
      <c r="M15" s="10">
        <v>391072</v>
      </c>
      <c r="N15" s="11">
        <v>393500</v>
      </c>
      <c r="O15">
        <v>1</v>
      </c>
      <c r="AA15" s="19" t="s">
        <v>70</v>
      </c>
      <c r="AB15" s="20">
        <v>2.5</v>
      </c>
      <c r="AC15" s="20">
        <v>12.5</v>
      </c>
      <c r="AD15" s="21">
        <v>6</v>
      </c>
    </row>
    <row r="16" spans="1:30" x14ac:dyDescent="0.25">
      <c r="A16">
        <v>10</v>
      </c>
      <c r="B16" t="s">
        <v>32</v>
      </c>
      <c r="C16" s="9">
        <v>0</v>
      </c>
      <c r="D16" s="11">
        <v>0</v>
      </c>
      <c r="E16" s="12">
        <v>0</v>
      </c>
      <c r="F16" s="12">
        <v>0</v>
      </c>
      <c r="G16" s="9">
        <v>0</v>
      </c>
      <c r="H16" s="11">
        <v>0</v>
      </c>
      <c r="I16" s="12">
        <v>0</v>
      </c>
      <c r="J16" s="12">
        <v>0</v>
      </c>
      <c r="K16" s="12">
        <v>0</v>
      </c>
      <c r="L16" s="9">
        <v>0</v>
      </c>
      <c r="M16" s="12">
        <v>0</v>
      </c>
      <c r="N16" s="11">
        <v>0</v>
      </c>
    </row>
    <row r="17" spans="1:14" x14ac:dyDescent="0.25">
      <c r="A17">
        <v>11</v>
      </c>
      <c r="B17" t="s">
        <v>33</v>
      </c>
      <c r="C17" s="9">
        <v>0</v>
      </c>
      <c r="D17" s="11">
        <v>0</v>
      </c>
      <c r="E17" s="12">
        <v>0</v>
      </c>
      <c r="F17" s="12">
        <v>0</v>
      </c>
      <c r="G17" s="9">
        <v>0</v>
      </c>
      <c r="H17" s="11">
        <v>0</v>
      </c>
      <c r="I17">
        <v>6.98</v>
      </c>
      <c r="J17">
        <v>329247</v>
      </c>
      <c r="K17">
        <v>331145</v>
      </c>
      <c r="L17" s="9">
        <v>6.9809999999999999</v>
      </c>
      <c r="M17" s="10">
        <v>342954</v>
      </c>
      <c r="N17" s="11">
        <v>379614</v>
      </c>
    </row>
    <row r="18" spans="1:14" x14ac:dyDescent="0.25">
      <c r="A18">
        <v>12</v>
      </c>
      <c r="B18" t="s">
        <v>34</v>
      </c>
      <c r="C18" s="9">
        <v>0</v>
      </c>
      <c r="D18" s="11">
        <v>0</v>
      </c>
      <c r="E18" s="12">
        <v>0</v>
      </c>
      <c r="F18" s="12">
        <v>0</v>
      </c>
      <c r="G18" s="9">
        <v>0</v>
      </c>
      <c r="H18" s="11">
        <v>0</v>
      </c>
      <c r="I18">
        <v>6.9710000000000001</v>
      </c>
      <c r="J18">
        <v>265905</v>
      </c>
      <c r="K18">
        <v>267774</v>
      </c>
      <c r="L18" s="9">
        <v>6.9720000000000004</v>
      </c>
      <c r="M18" s="10">
        <v>346506</v>
      </c>
      <c r="N18" s="11">
        <v>347232</v>
      </c>
    </row>
    <row r="19" spans="1:14" x14ac:dyDescent="0.25">
      <c r="A19">
        <v>13</v>
      </c>
      <c r="B19" t="s">
        <v>31</v>
      </c>
      <c r="C19" s="9">
        <v>3.548</v>
      </c>
      <c r="D19" s="11">
        <v>1746286</v>
      </c>
      <c r="E19">
        <v>13.153</v>
      </c>
      <c r="F19">
        <v>661560</v>
      </c>
      <c r="G19" s="9">
        <v>13.154</v>
      </c>
      <c r="H19" s="11">
        <v>421769</v>
      </c>
      <c r="I19" s="12">
        <v>0</v>
      </c>
      <c r="J19" s="12">
        <v>0</v>
      </c>
      <c r="K19" s="12">
        <v>0</v>
      </c>
      <c r="L19" s="9">
        <v>0</v>
      </c>
      <c r="M19" s="12">
        <v>0</v>
      </c>
      <c r="N19" s="11">
        <v>0</v>
      </c>
    </row>
    <row r="20" spans="1:14" x14ac:dyDescent="0.25">
      <c r="A20">
        <v>14</v>
      </c>
      <c r="B20" t="s">
        <v>35</v>
      </c>
      <c r="C20" s="9">
        <v>0</v>
      </c>
      <c r="D20" s="11">
        <v>0</v>
      </c>
      <c r="E20" s="12">
        <v>0</v>
      </c>
      <c r="F20" s="12">
        <v>0</v>
      </c>
      <c r="G20" s="9">
        <v>0</v>
      </c>
      <c r="H20" s="11">
        <v>0</v>
      </c>
      <c r="I20">
        <v>6.9660000000000002</v>
      </c>
      <c r="J20">
        <v>250315</v>
      </c>
      <c r="K20">
        <v>253787</v>
      </c>
      <c r="L20" s="9">
        <v>6.9669999999999996</v>
      </c>
      <c r="M20" s="10">
        <v>320047</v>
      </c>
      <c r="N20" s="11">
        <v>322619</v>
      </c>
    </row>
    <row r="21" spans="1:14" x14ac:dyDescent="0.25">
      <c r="A21">
        <v>15</v>
      </c>
      <c r="B21" t="s">
        <v>36</v>
      </c>
      <c r="C21" s="9">
        <v>0</v>
      </c>
      <c r="D21" s="11">
        <v>0</v>
      </c>
      <c r="E21" s="12">
        <v>0</v>
      </c>
      <c r="F21" s="12">
        <v>0</v>
      </c>
      <c r="G21" s="9">
        <v>0</v>
      </c>
      <c r="H21" s="11">
        <v>0</v>
      </c>
      <c r="I21">
        <v>6.9630000000000001</v>
      </c>
      <c r="J21">
        <v>262372</v>
      </c>
      <c r="K21">
        <v>263366</v>
      </c>
      <c r="L21" s="9">
        <v>6.9640000000000004</v>
      </c>
      <c r="M21" s="10">
        <v>335754</v>
      </c>
      <c r="N21" s="11">
        <v>337578</v>
      </c>
    </row>
    <row r="22" spans="1:14" x14ac:dyDescent="0.25">
      <c r="A22">
        <v>16</v>
      </c>
      <c r="B22" t="s">
        <v>37</v>
      </c>
      <c r="C22" s="9">
        <v>0</v>
      </c>
      <c r="D22" s="11">
        <v>0</v>
      </c>
      <c r="E22" s="12">
        <v>0</v>
      </c>
      <c r="F22" s="12">
        <v>0</v>
      </c>
      <c r="G22" s="9">
        <v>0</v>
      </c>
      <c r="H22" s="11">
        <v>0</v>
      </c>
      <c r="I22">
        <v>6.9569999999999999</v>
      </c>
      <c r="J22">
        <v>255814</v>
      </c>
      <c r="K22">
        <v>258103</v>
      </c>
      <c r="L22" s="9">
        <v>6.9580000000000002</v>
      </c>
      <c r="M22" s="10">
        <v>325153</v>
      </c>
      <c r="N22" s="11">
        <v>328680</v>
      </c>
    </row>
    <row r="23" spans="1:14" x14ac:dyDescent="0.25">
      <c r="A23">
        <v>17</v>
      </c>
      <c r="B23" t="s">
        <v>38</v>
      </c>
      <c r="C23" s="9">
        <v>0</v>
      </c>
      <c r="D23" s="11">
        <v>0</v>
      </c>
      <c r="E23" s="12">
        <v>0</v>
      </c>
      <c r="F23" s="12">
        <v>0</v>
      </c>
      <c r="G23" s="9">
        <v>0</v>
      </c>
      <c r="H23" s="11">
        <v>0</v>
      </c>
      <c r="I23">
        <v>6.9530000000000003</v>
      </c>
      <c r="J23">
        <v>265080</v>
      </c>
      <c r="K23">
        <v>267778</v>
      </c>
      <c r="L23" s="9">
        <v>6.9539999999999997</v>
      </c>
      <c r="M23" s="10">
        <v>337632</v>
      </c>
      <c r="N23" s="11">
        <v>338609</v>
      </c>
    </row>
    <row r="24" spans="1:14" x14ac:dyDescent="0.25">
      <c r="C24" s="9"/>
      <c r="D24" s="11"/>
      <c r="G24" s="9"/>
      <c r="H24" s="11"/>
      <c r="L24" s="9"/>
      <c r="M24" s="10"/>
      <c r="N24" s="11"/>
    </row>
    <row r="25" spans="1:14" x14ac:dyDescent="0.25">
      <c r="A25">
        <v>18</v>
      </c>
      <c r="B25" t="s">
        <v>39</v>
      </c>
      <c r="C25" s="28">
        <v>0</v>
      </c>
      <c r="D25" s="29">
        <v>0</v>
      </c>
      <c r="E25" s="12">
        <v>0</v>
      </c>
      <c r="F25" s="12">
        <v>0</v>
      </c>
      <c r="G25" s="28">
        <v>0</v>
      </c>
      <c r="H25" s="29">
        <v>0</v>
      </c>
      <c r="I25" s="12">
        <v>0</v>
      </c>
      <c r="J25" s="12">
        <v>0</v>
      </c>
      <c r="K25" s="12">
        <v>0</v>
      </c>
      <c r="L25" s="28">
        <v>0</v>
      </c>
      <c r="M25" s="12">
        <v>0</v>
      </c>
      <c r="N25" s="29">
        <v>0</v>
      </c>
    </row>
    <row r="26" spans="1:14" x14ac:dyDescent="0.25">
      <c r="A26">
        <v>19</v>
      </c>
      <c r="B26" t="s">
        <v>40</v>
      </c>
      <c r="C26" s="28">
        <v>0</v>
      </c>
      <c r="D26" s="29">
        <v>0</v>
      </c>
      <c r="E26" s="12">
        <v>0</v>
      </c>
      <c r="F26" s="12">
        <v>0</v>
      </c>
      <c r="G26" s="28">
        <v>0</v>
      </c>
      <c r="H26" s="29">
        <v>0</v>
      </c>
      <c r="I26">
        <v>6.9509999999999996</v>
      </c>
      <c r="J26" s="12">
        <v>0</v>
      </c>
      <c r="K26">
        <v>39839</v>
      </c>
      <c r="L26">
        <v>6.952</v>
      </c>
      <c r="M26" s="12">
        <v>0</v>
      </c>
      <c r="N26">
        <v>51443</v>
      </c>
    </row>
    <row r="27" spans="1:14" x14ac:dyDescent="0.25">
      <c r="A27">
        <v>20</v>
      </c>
      <c r="B27" t="s">
        <v>41</v>
      </c>
      <c r="C27" s="28">
        <v>0</v>
      </c>
      <c r="D27" s="29">
        <v>0</v>
      </c>
      <c r="E27" s="12">
        <v>0</v>
      </c>
      <c r="F27" s="12">
        <v>0</v>
      </c>
      <c r="G27" s="28">
        <v>0</v>
      </c>
      <c r="H27" s="29">
        <v>0</v>
      </c>
      <c r="I27" s="12">
        <v>6.95</v>
      </c>
      <c r="J27" s="12">
        <v>0</v>
      </c>
      <c r="K27">
        <v>46678</v>
      </c>
      <c r="L27">
        <v>6.9509999999999996</v>
      </c>
      <c r="M27" s="12">
        <v>0</v>
      </c>
      <c r="N27">
        <v>57424</v>
      </c>
    </row>
    <row r="28" spans="1:14" x14ac:dyDescent="0.25">
      <c r="A28">
        <v>21</v>
      </c>
      <c r="B28" t="s">
        <v>42</v>
      </c>
      <c r="C28" s="28">
        <v>0</v>
      </c>
      <c r="D28" s="29">
        <v>0</v>
      </c>
      <c r="E28" s="12">
        <v>0</v>
      </c>
      <c r="F28" s="12">
        <v>0</v>
      </c>
      <c r="G28" s="28">
        <v>0</v>
      </c>
      <c r="H28" s="29">
        <v>0</v>
      </c>
      <c r="I28">
        <v>6.9530000000000003</v>
      </c>
      <c r="J28" s="12">
        <v>0</v>
      </c>
      <c r="K28">
        <v>40566</v>
      </c>
      <c r="L28">
        <v>6.9539999999999997</v>
      </c>
      <c r="M28" s="12">
        <v>0</v>
      </c>
      <c r="N28">
        <v>52605</v>
      </c>
    </row>
    <row r="34" spans="1:15" x14ac:dyDescent="0.25">
      <c r="A34" t="s">
        <v>93</v>
      </c>
    </row>
    <row r="35" spans="1:15" x14ac:dyDescent="0.25">
      <c r="A35" t="s">
        <v>21</v>
      </c>
    </row>
    <row r="36" spans="1:15" x14ac:dyDescent="0.25">
      <c r="A36" t="s">
        <v>0</v>
      </c>
      <c r="C36" t="s">
        <v>1</v>
      </c>
    </row>
    <row r="37" spans="1:15" x14ac:dyDescent="0.25">
      <c r="A37" t="s">
        <v>2</v>
      </c>
      <c r="C37" t="s">
        <v>3</v>
      </c>
    </row>
    <row r="38" spans="1:15" x14ac:dyDescent="0.25">
      <c r="A38" s="1"/>
      <c r="B38" s="7"/>
      <c r="C38" s="8" t="s">
        <v>4</v>
      </c>
      <c r="D38" s="3"/>
      <c r="E38" s="2" t="s">
        <v>5</v>
      </c>
      <c r="F38" s="2"/>
      <c r="G38" s="8" t="s">
        <v>6</v>
      </c>
      <c r="H38" s="3"/>
      <c r="I38" s="2" t="s">
        <v>7</v>
      </c>
      <c r="J38" s="2"/>
      <c r="K38" s="2"/>
      <c r="L38" s="8" t="s">
        <v>8</v>
      </c>
      <c r="M38" s="2"/>
      <c r="N38" s="3"/>
      <c r="O38" t="s">
        <v>43</v>
      </c>
    </row>
    <row r="39" spans="1:15" x14ac:dyDescent="0.25">
      <c r="A39" s="4" t="s">
        <v>10</v>
      </c>
      <c r="B39" s="6" t="s">
        <v>11</v>
      </c>
      <c r="C39" s="4" t="s">
        <v>12</v>
      </c>
      <c r="D39" s="5" t="s">
        <v>13</v>
      </c>
      <c r="E39" s="6" t="s">
        <v>12</v>
      </c>
      <c r="F39" s="6" t="s">
        <v>14</v>
      </c>
      <c r="G39" s="4" t="s">
        <v>12</v>
      </c>
      <c r="H39" s="5" t="s">
        <v>15</v>
      </c>
      <c r="I39" s="6" t="s">
        <v>12</v>
      </c>
      <c r="J39" s="6" t="s">
        <v>16</v>
      </c>
      <c r="K39" s="6" t="s">
        <v>17</v>
      </c>
      <c r="L39" s="4" t="s">
        <v>12</v>
      </c>
      <c r="M39" s="6" t="s">
        <v>18</v>
      </c>
      <c r="N39" s="5" t="s">
        <v>19</v>
      </c>
      <c r="O39" t="s">
        <v>44</v>
      </c>
    </row>
    <row r="40" spans="1:15" x14ac:dyDescent="0.25">
      <c r="A40">
        <v>1</v>
      </c>
      <c r="B40" t="s">
        <v>94</v>
      </c>
      <c r="C40" s="8">
        <v>3.544</v>
      </c>
      <c r="D40" s="3">
        <v>920865</v>
      </c>
      <c r="E40">
        <v>13.151</v>
      </c>
      <c r="F40">
        <v>394976</v>
      </c>
      <c r="G40" s="8">
        <v>13.151</v>
      </c>
      <c r="H40" s="3">
        <v>251363</v>
      </c>
      <c r="I40">
        <v>0</v>
      </c>
      <c r="J40">
        <v>0</v>
      </c>
      <c r="K40">
        <v>0</v>
      </c>
      <c r="L40" s="8">
        <v>0</v>
      </c>
      <c r="M40" s="2">
        <v>0</v>
      </c>
      <c r="N40" s="3">
        <v>0</v>
      </c>
      <c r="O40">
        <v>0</v>
      </c>
    </row>
    <row r="41" spans="1:15" x14ac:dyDescent="0.25">
      <c r="A41">
        <v>2</v>
      </c>
      <c r="B41" t="s">
        <v>95</v>
      </c>
      <c r="C41" s="9">
        <v>3.5569999999999999</v>
      </c>
      <c r="D41" s="11">
        <v>1433978</v>
      </c>
      <c r="E41">
        <v>13.153</v>
      </c>
      <c r="F41">
        <v>947039</v>
      </c>
      <c r="G41" s="9">
        <v>13.154</v>
      </c>
      <c r="H41" s="11">
        <v>597745</v>
      </c>
      <c r="I41">
        <v>0</v>
      </c>
      <c r="J41">
        <v>0</v>
      </c>
      <c r="K41">
        <v>0</v>
      </c>
      <c r="L41" s="9">
        <v>0</v>
      </c>
      <c r="M41" s="10">
        <v>0</v>
      </c>
      <c r="N41" s="11">
        <v>0</v>
      </c>
      <c r="O41">
        <v>0</v>
      </c>
    </row>
    <row r="42" spans="1:15" x14ac:dyDescent="0.25">
      <c r="A42">
        <v>3</v>
      </c>
      <c r="B42" t="s">
        <v>96</v>
      </c>
      <c r="C42" s="9">
        <v>3.5609999999999999</v>
      </c>
      <c r="D42" s="11">
        <v>1239870</v>
      </c>
      <c r="E42">
        <v>13.154</v>
      </c>
      <c r="F42">
        <v>686637</v>
      </c>
      <c r="G42" s="9">
        <v>13.154999999999999</v>
      </c>
      <c r="H42" s="11">
        <v>435189</v>
      </c>
      <c r="I42" s="12">
        <v>0</v>
      </c>
      <c r="J42" s="12">
        <v>0</v>
      </c>
      <c r="K42" s="12">
        <v>0</v>
      </c>
      <c r="L42" s="9">
        <v>6.9790000000000001</v>
      </c>
      <c r="M42" s="12">
        <v>0</v>
      </c>
      <c r="N42" s="11">
        <v>40054</v>
      </c>
      <c r="O42">
        <v>0.1</v>
      </c>
    </row>
    <row r="43" spans="1:15" x14ac:dyDescent="0.25">
      <c r="A43">
        <v>4</v>
      </c>
      <c r="B43" t="s">
        <v>97</v>
      </c>
      <c r="C43" s="9">
        <v>3.5579999999999998</v>
      </c>
      <c r="D43" s="11">
        <v>1591243</v>
      </c>
      <c r="E43">
        <v>13.154</v>
      </c>
      <c r="F43">
        <v>865187</v>
      </c>
      <c r="G43" s="9">
        <v>13.154999999999999</v>
      </c>
      <c r="H43" s="11">
        <v>559954</v>
      </c>
      <c r="I43">
        <v>6.9770000000000003</v>
      </c>
      <c r="J43" s="12">
        <v>0</v>
      </c>
      <c r="K43">
        <v>39850</v>
      </c>
      <c r="L43" s="9">
        <v>6.9779999999999998</v>
      </c>
      <c r="M43" s="12">
        <v>0</v>
      </c>
      <c r="N43" s="11">
        <v>47478</v>
      </c>
      <c r="O43">
        <v>0.1</v>
      </c>
    </row>
    <row r="44" spans="1:15" x14ac:dyDescent="0.25">
      <c r="A44">
        <v>5</v>
      </c>
      <c r="B44" t="s">
        <v>98</v>
      </c>
      <c r="C44" s="9">
        <v>3.5569999999999999</v>
      </c>
      <c r="D44" s="11">
        <v>1818606</v>
      </c>
      <c r="E44">
        <v>13.154999999999999</v>
      </c>
      <c r="F44">
        <v>829990</v>
      </c>
      <c r="G44" s="9">
        <v>13.156000000000001</v>
      </c>
      <c r="H44" s="11">
        <v>535334</v>
      </c>
      <c r="I44">
        <v>6.9770000000000003</v>
      </c>
      <c r="K44">
        <v>195027</v>
      </c>
      <c r="L44" s="9">
        <v>6.9779999999999998</v>
      </c>
      <c r="M44" s="10">
        <v>245292</v>
      </c>
      <c r="N44" s="11">
        <v>250729</v>
      </c>
      <c r="O44">
        <v>0.5</v>
      </c>
    </row>
    <row r="45" spans="1:15" x14ac:dyDescent="0.25">
      <c r="A45">
        <v>6</v>
      </c>
      <c r="B45" t="s">
        <v>99</v>
      </c>
      <c r="C45" s="9">
        <v>3.5590000000000002</v>
      </c>
      <c r="D45" s="11">
        <v>2063584</v>
      </c>
      <c r="E45">
        <v>13.154</v>
      </c>
      <c r="F45">
        <v>928185</v>
      </c>
      <c r="G45" s="9">
        <v>13.154999999999999</v>
      </c>
      <c r="H45" s="11">
        <v>594986</v>
      </c>
      <c r="I45">
        <v>6.9770000000000003</v>
      </c>
      <c r="J45">
        <v>216956</v>
      </c>
      <c r="K45">
        <v>218155</v>
      </c>
      <c r="L45" s="9">
        <v>6.9790000000000001</v>
      </c>
      <c r="M45" s="10">
        <v>274487</v>
      </c>
      <c r="N45" s="11">
        <v>278296</v>
      </c>
      <c r="O45">
        <v>0.5</v>
      </c>
    </row>
    <row r="46" spans="1:15" x14ac:dyDescent="0.25">
      <c r="A46">
        <v>7</v>
      </c>
      <c r="B46" t="s">
        <v>100</v>
      </c>
      <c r="C46" s="9">
        <v>3.56</v>
      </c>
      <c r="D46" s="11">
        <v>1845374</v>
      </c>
      <c r="E46">
        <v>13.154999999999999</v>
      </c>
      <c r="F46">
        <v>1101833</v>
      </c>
      <c r="G46" s="9">
        <v>13.154999999999999</v>
      </c>
      <c r="H46" s="11">
        <v>705963</v>
      </c>
      <c r="I46">
        <v>6.9790000000000001</v>
      </c>
      <c r="J46">
        <v>439729</v>
      </c>
      <c r="K46">
        <v>441585</v>
      </c>
      <c r="L46" s="9">
        <v>6.9790000000000001</v>
      </c>
      <c r="M46" s="10">
        <v>562767</v>
      </c>
      <c r="N46" s="11">
        <v>563189</v>
      </c>
      <c r="O46">
        <v>1</v>
      </c>
    </row>
    <row r="47" spans="1:15" x14ac:dyDescent="0.25">
      <c r="A47">
        <v>8</v>
      </c>
      <c r="B47" t="s">
        <v>101</v>
      </c>
      <c r="C47" s="9">
        <v>3.5619999999999998</v>
      </c>
      <c r="D47" s="11">
        <v>2114307</v>
      </c>
      <c r="E47">
        <v>13.154999999999999</v>
      </c>
      <c r="F47">
        <v>988806</v>
      </c>
      <c r="G47" s="9">
        <v>13.156000000000001</v>
      </c>
      <c r="H47" s="11">
        <v>637142</v>
      </c>
      <c r="I47">
        <v>6.9809999999999999</v>
      </c>
      <c r="J47">
        <v>485255</v>
      </c>
      <c r="K47">
        <v>478715</v>
      </c>
      <c r="L47" s="9">
        <v>6.9820000000000002</v>
      </c>
      <c r="M47" s="10">
        <v>635811</v>
      </c>
      <c r="N47" s="11">
        <v>638327</v>
      </c>
      <c r="O47">
        <v>1</v>
      </c>
    </row>
    <row r="48" spans="1:15" x14ac:dyDescent="0.25">
      <c r="A48">
        <v>9</v>
      </c>
      <c r="B48" t="s">
        <v>102</v>
      </c>
      <c r="C48" s="9">
        <v>3.5579999999999998</v>
      </c>
      <c r="D48" s="11">
        <v>2129997</v>
      </c>
      <c r="E48">
        <v>13.154999999999999</v>
      </c>
      <c r="F48">
        <v>986239</v>
      </c>
      <c r="G48" s="9">
        <v>13.154999999999999</v>
      </c>
      <c r="H48" s="11">
        <v>621055</v>
      </c>
      <c r="I48" s="12">
        <v>0</v>
      </c>
      <c r="J48" s="12">
        <v>0</v>
      </c>
      <c r="K48" s="12">
        <v>0</v>
      </c>
      <c r="L48" s="9">
        <v>0</v>
      </c>
      <c r="M48" s="12">
        <v>0</v>
      </c>
      <c r="N48" s="11">
        <v>0</v>
      </c>
    </row>
    <row r="49" spans="1:15" x14ac:dyDescent="0.25">
      <c r="A49">
        <v>10</v>
      </c>
      <c r="B49" t="s">
        <v>103</v>
      </c>
      <c r="C49" s="9">
        <v>0</v>
      </c>
      <c r="D49" s="11">
        <v>0</v>
      </c>
      <c r="E49" s="12">
        <v>0</v>
      </c>
      <c r="F49" s="12">
        <v>0</v>
      </c>
      <c r="G49" s="9">
        <v>0</v>
      </c>
      <c r="H49" s="11">
        <v>0</v>
      </c>
      <c r="I49" s="12">
        <v>0</v>
      </c>
      <c r="J49" s="12">
        <v>0</v>
      </c>
      <c r="K49" s="12">
        <v>0</v>
      </c>
      <c r="L49" s="9">
        <v>0</v>
      </c>
      <c r="M49" s="12">
        <v>0</v>
      </c>
      <c r="N49" s="11">
        <v>0</v>
      </c>
    </row>
    <row r="50" spans="1:15" x14ac:dyDescent="0.25">
      <c r="A50">
        <v>11</v>
      </c>
      <c r="B50" t="s">
        <v>104</v>
      </c>
      <c r="C50" s="9">
        <v>0</v>
      </c>
      <c r="D50" s="11">
        <v>0</v>
      </c>
      <c r="E50" s="12">
        <v>0</v>
      </c>
      <c r="F50" s="12">
        <v>0</v>
      </c>
      <c r="G50" s="9">
        <v>0</v>
      </c>
      <c r="H50" s="11">
        <v>0</v>
      </c>
      <c r="I50">
        <v>6.9740000000000002</v>
      </c>
      <c r="J50" s="12">
        <v>0</v>
      </c>
      <c r="K50">
        <v>53470</v>
      </c>
      <c r="L50" s="9">
        <v>6.976</v>
      </c>
      <c r="M50" s="12">
        <v>0</v>
      </c>
      <c r="N50" s="11">
        <v>67077</v>
      </c>
    </row>
    <row r="51" spans="1:15" x14ac:dyDescent="0.25">
      <c r="A51">
        <v>12</v>
      </c>
      <c r="B51" t="s">
        <v>105</v>
      </c>
      <c r="C51" s="9">
        <v>0</v>
      </c>
      <c r="D51" s="11">
        <v>0</v>
      </c>
      <c r="E51" s="12">
        <v>0</v>
      </c>
      <c r="F51" s="12">
        <v>0</v>
      </c>
      <c r="G51" s="9">
        <v>0</v>
      </c>
      <c r="H51" s="11">
        <v>0</v>
      </c>
      <c r="I51">
        <v>6.9749999999999996</v>
      </c>
      <c r="J51" s="12">
        <v>0</v>
      </c>
      <c r="K51">
        <v>59062</v>
      </c>
      <c r="L51" s="9">
        <v>6.9770000000000003</v>
      </c>
      <c r="M51" s="12">
        <v>0</v>
      </c>
      <c r="N51" s="11">
        <v>77765</v>
      </c>
    </row>
    <row r="52" spans="1:15" x14ac:dyDescent="0.25">
      <c r="A52">
        <v>13</v>
      </c>
      <c r="B52" t="s">
        <v>106</v>
      </c>
      <c r="C52" s="9">
        <v>0</v>
      </c>
      <c r="D52" s="11">
        <v>0</v>
      </c>
      <c r="E52" s="12">
        <v>0</v>
      </c>
      <c r="F52" s="12">
        <v>0</v>
      </c>
      <c r="G52" s="9">
        <v>0</v>
      </c>
      <c r="H52" s="11">
        <v>0</v>
      </c>
      <c r="I52" s="12">
        <v>0</v>
      </c>
      <c r="J52" s="12">
        <v>0</v>
      </c>
      <c r="K52" s="12">
        <v>0</v>
      </c>
      <c r="L52" s="9">
        <v>6.9749999999999996</v>
      </c>
      <c r="M52" s="12">
        <v>0</v>
      </c>
      <c r="N52" s="11">
        <v>32193</v>
      </c>
      <c r="O52" s="31" t="s">
        <v>121</v>
      </c>
    </row>
    <row r="53" spans="1:15" x14ac:dyDescent="0.25">
      <c r="C53" s="9"/>
      <c r="D53" s="11"/>
      <c r="G53" s="9"/>
      <c r="H53" s="11"/>
      <c r="L53" s="9"/>
      <c r="M53" s="10"/>
      <c r="N53" s="11"/>
    </row>
    <row r="54" spans="1:15" x14ac:dyDescent="0.25">
      <c r="A54">
        <v>14</v>
      </c>
      <c r="B54" t="s">
        <v>107</v>
      </c>
      <c r="C54" s="9">
        <v>0</v>
      </c>
      <c r="D54" s="11">
        <v>0</v>
      </c>
      <c r="E54" s="12">
        <v>0</v>
      </c>
      <c r="F54" s="12">
        <v>0</v>
      </c>
      <c r="G54" s="9">
        <v>0</v>
      </c>
      <c r="H54" s="11">
        <v>0</v>
      </c>
      <c r="I54">
        <v>6.976</v>
      </c>
      <c r="J54">
        <v>0</v>
      </c>
      <c r="K54">
        <v>56024</v>
      </c>
      <c r="L54" s="9">
        <v>6.9770000000000003</v>
      </c>
      <c r="M54" s="12">
        <v>0</v>
      </c>
      <c r="N54" s="11">
        <v>69765</v>
      </c>
    </row>
    <row r="55" spans="1:15" x14ac:dyDescent="0.25">
      <c r="A55">
        <v>15</v>
      </c>
      <c r="B55" t="s">
        <v>119</v>
      </c>
      <c r="C55" s="9">
        <v>0</v>
      </c>
      <c r="D55" s="11">
        <v>0</v>
      </c>
      <c r="E55" s="12">
        <v>0</v>
      </c>
      <c r="F55" s="12">
        <v>0</v>
      </c>
      <c r="G55" s="9">
        <v>0</v>
      </c>
      <c r="H55" s="11">
        <v>0</v>
      </c>
      <c r="I55">
        <v>6.97</v>
      </c>
      <c r="J55">
        <v>0</v>
      </c>
      <c r="K55">
        <v>52797</v>
      </c>
      <c r="L55" s="9">
        <v>6.9710000000000001</v>
      </c>
      <c r="M55" s="12">
        <v>0</v>
      </c>
      <c r="N55" s="11">
        <v>66729</v>
      </c>
    </row>
    <row r="56" spans="1:15" x14ac:dyDescent="0.25">
      <c r="A56">
        <v>16</v>
      </c>
      <c r="B56" t="s">
        <v>108</v>
      </c>
      <c r="C56" s="9">
        <v>0</v>
      </c>
      <c r="D56" s="11">
        <v>0</v>
      </c>
      <c r="E56" s="12">
        <v>0</v>
      </c>
      <c r="F56" s="12">
        <v>0</v>
      </c>
      <c r="G56" s="9">
        <v>0</v>
      </c>
      <c r="H56" s="11">
        <v>0</v>
      </c>
      <c r="I56">
        <v>6.9690000000000003</v>
      </c>
      <c r="J56">
        <v>359390</v>
      </c>
      <c r="K56">
        <v>361110</v>
      </c>
      <c r="L56" s="9">
        <v>6.9710000000000001</v>
      </c>
      <c r="M56" s="10">
        <v>464051</v>
      </c>
      <c r="N56" s="11">
        <v>467353</v>
      </c>
    </row>
    <row r="57" spans="1:15" x14ac:dyDescent="0.25">
      <c r="A57">
        <v>17</v>
      </c>
      <c r="B57" t="s">
        <v>109</v>
      </c>
      <c r="C57" s="9">
        <v>0</v>
      </c>
      <c r="D57" s="11">
        <v>0</v>
      </c>
      <c r="E57" s="12">
        <v>0</v>
      </c>
      <c r="F57" s="12">
        <v>0</v>
      </c>
      <c r="G57" s="9">
        <v>0</v>
      </c>
      <c r="H57" s="11">
        <v>0</v>
      </c>
      <c r="I57">
        <v>6.9669999999999996</v>
      </c>
      <c r="J57">
        <v>368063</v>
      </c>
      <c r="K57">
        <v>370209</v>
      </c>
      <c r="L57" s="9">
        <v>6.9690000000000003</v>
      </c>
      <c r="M57" s="10">
        <v>476415</v>
      </c>
      <c r="N57" s="11">
        <v>479265</v>
      </c>
    </row>
    <row r="58" spans="1:15" x14ac:dyDescent="0.25">
      <c r="A58">
        <v>18</v>
      </c>
      <c r="B58" s="11" t="s">
        <v>114</v>
      </c>
      <c r="C58">
        <v>3.5470000000000002</v>
      </c>
      <c r="D58" s="11">
        <v>2117137</v>
      </c>
      <c r="E58">
        <v>13.154</v>
      </c>
      <c r="F58">
        <v>1976925</v>
      </c>
      <c r="G58" s="9">
        <v>13.154</v>
      </c>
      <c r="H58" s="11">
        <v>1275257</v>
      </c>
      <c r="I58" s="12">
        <v>0</v>
      </c>
      <c r="J58" s="12">
        <v>0</v>
      </c>
      <c r="K58" s="12">
        <v>0</v>
      </c>
      <c r="L58" s="9">
        <v>0</v>
      </c>
      <c r="M58" s="12">
        <v>0</v>
      </c>
      <c r="N58" s="11">
        <v>0</v>
      </c>
    </row>
    <row r="59" spans="1:15" x14ac:dyDescent="0.25">
      <c r="A59">
        <v>19</v>
      </c>
      <c r="B59" s="11" t="s">
        <v>110</v>
      </c>
      <c r="C59">
        <v>0</v>
      </c>
      <c r="D59" s="11">
        <v>0</v>
      </c>
      <c r="E59" s="12">
        <v>0</v>
      </c>
      <c r="F59" s="12">
        <v>0</v>
      </c>
      <c r="G59" s="9">
        <v>0</v>
      </c>
      <c r="H59" s="11">
        <v>0</v>
      </c>
      <c r="I59">
        <v>6.9690000000000003</v>
      </c>
      <c r="J59">
        <v>334293</v>
      </c>
      <c r="K59">
        <v>336171</v>
      </c>
      <c r="L59" s="9">
        <v>6.9710000000000001</v>
      </c>
      <c r="M59" s="10">
        <v>429428</v>
      </c>
      <c r="N59" s="11">
        <v>430853</v>
      </c>
    </row>
    <row r="60" spans="1:15" x14ac:dyDescent="0.25">
      <c r="A60">
        <v>20</v>
      </c>
      <c r="B60" s="11" t="s">
        <v>111</v>
      </c>
      <c r="C60">
        <v>0</v>
      </c>
      <c r="D60" s="11">
        <v>0</v>
      </c>
      <c r="E60" s="12">
        <v>0</v>
      </c>
      <c r="F60" s="12">
        <v>0</v>
      </c>
      <c r="G60" s="9">
        <v>0</v>
      </c>
      <c r="H60" s="11">
        <v>0</v>
      </c>
      <c r="I60">
        <v>6.383</v>
      </c>
      <c r="J60">
        <v>396058</v>
      </c>
      <c r="K60">
        <v>397618</v>
      </c>
      <c r="L60" s="9">
        <v>6.3840000000000003</v>
      </c>
      <c r="M60" s="10">
        <v>507573</v>
      </c>
      <c r="N60" s="11">
        <v>510648</v>
      </c>
      <c r="O60" s="31" t="s">
        <v>120</v>
      </c>
    </row>
    <row r="61" spans="1:15" x14ac:dyDescent="0.25">
      <c r="A61">
        <v>21</v>
      </c>
      <c r="B61" s="11" t="s">
        <v>112</v>
      </c>
      <c r="C61">
        <v>0</v>
      </c>
      <c r="D61" s="11">
        <v>0</v>
      </c>
      <c r="E61" s="12">
        <v>0</v>
      </c>
      <c r="F61" s="12">
        <v>0</v>
      </c>
      <c r="G61" s="9">
        <v>0</v>
      </c>
      <c r="H61" s="11">
        <v>0</v>
      </c>
      <c r="I61">
        <v>6.9580000000000002</v>
      </c>
      <c r="J61">
        <v>330133</v>
      </c>
      <c r="K61">
        <v>332039</v>
      </c>
      <c r="L61" s="9">
        <v>6.9589999999999996</v>
      </c>
      <c r="M61" s="10">
        <v>419243</v>
      </c>
      <c r="N61" s="11">
        <v>421836</v>
      </c>
    </row>
    <row r="62" spans="1:15" x14ac:dyDescent="0.25">
      <c r="A62">
        <v>22</v>
      </c>
      <c r="B62" s="11" t="s">
        <v>113</v>
      </c>
      <c r="C62">
        <v>0</v>
      </c>
      <c r="D62" s="29">
        <v>0</v>
      </c>
      <c r="E62" s="12">
        <v>0</v>
      </c>
      <c r="F62" s="12">
        <v>0</v>
      </c>
      <c r="G62" s="28">
        <v>0</v>
      </c>
      <c r="H62" s="29">
        <v>0</v>
      </c>
      <c r="I62">
        <v>6.9580000000000002</v>
      </c>
      <c r="J62">
        <v>319686</v>
      </c>
      <c r="K62">
        <v>320872</v>
      </c>
      <c r="L62" s="28">
        <v>6.9589999999999996</v>
      </c>
      <c r="M62">
        <v>414545</v>
      </c>
      <c r="N62" s="11">
        <v>415628</v>
      </c>
    </row>
    <row r="63" spans="1:15" x14ac:dyDescent="0.25">
      <c r="A63">
        <v>23</v>
      </c>
      <c r="B63" s="11" t="s">
        <v>122</v>
      </c>
      <c r="C63">
        <v>0</v>
      </c>
      <c r="D63" s="29">
        <v>0</v>
      </c>
      <c r="E63" s="12">
        <v>0</v>
      </c>
      <c r="F63" s="12">
        <v>0</v>
      </c>
      <c r="G63" s="28">
        <v>0</v>
      </c>
      <c r="H63" s="29">
        <v>0</v>
      </c>
      <c r="I63">
        <v>6.9660000000000002</v>
      </c>
      <c r="J63">
        <v>250974</v>
      </c>
      <c r="K63" s="11">
        <v>264994</v>
      </c>
      <c r="L63">
        <v>6.9660000000000002</v>
      </c>
      <c r="M63">
        <v>299817</v>
      </c>
      <c r="N63" s="11">
        <v>311032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50B9-D529-4473-B311-975B24887B2B}">
  <dimension ref="A1:BF89"/>
  <sheetViews>
    <sheetView zoomScale="85" zoomScaleNormal="85" workbookViewId="0">
      <selection sqref="A1:XFD1048576"/>
    </sheetView>
  </sheetViews>
  <sheetFormatPr baseColWidth="10" defaultRowHeight="15" x14ac:dyDescent="0.25"/>
  <cols>
    <col min="2" max="2" width="33.85546875" bestFit="1" customWidth="1"/>
    <col min="8" max="8" width="33.85546875" bestFit="1" customWidth="1"/>
    <col min="10" max="10" width="14.5703125" bestFit="1" customWidth="1"/>
    <col min="11" max="11" width="13.7109375" bestFit="1" customWidth="1"/>
    <col min="12" max="12" width="17" bestFit="1" customWidth="1"/>
    <col min="13" max="13" width="14" customWidth="1"/>
    <col min="14" max="14" width="14.42578125" customWidth="1"/>
    <col min="15" max="15" width="13.140625" bestFit="1" customWidth="1"/>
    <col min="16" max="16" width="16" bestFit="1" customWidth="1"/>
    <col min="26" max="26" width="20.140625" bestFit="1" customWidth="1"/>
    <col min="29" max="29" width="15.140625" customWidth="1"/>
    <col min="47" max="47" width="22" customWidth="1"/>
  </cols>
  <sheetData>
    <row r="1" spans="1:58" x14ac:dyDescent="0.25">
      <c r="A1" t="s">
        <v>20</v>
      </c>
      <c r="D1" t="s">
        <v>117</v>
      </c>
      <c r="E1" t="s">
        <v>115</v>
      </c>
      <c r="F1" t="s">
        <v>116</v>
      </c>
      <c r="G1" s="42" t="s">
        <v>48</v>
      </c>
      <c r="H1">
        <f>F4</f>
        <v>0.59867216611329166</v>
      </c>
      <c r="Z1" s="13" t="s">
        <v>151</v>
      </c>
      <c r="AA1" t="s">
        <v>152</v>
      </c>
      <c r="AB1" t="s">
        <v>153</v>
      </c>
      <c r="AC1" t="s">
        <v>154</v>
      </c>
      <c r="AU1" t="s">
        <v>150</v>
      </c>
      <c r="AY1" t="s">
        <v>134</v>
      </c>
      <c r="AZ1" t="s">
        <v>135</v>
      </c>
      <c r="BA1" t="s">
        <v>136</v>
      </c>
      <c r="BC1" t="s">
        <v>137</v>
      </c>
      <c r="BE1" t="s">
        <v>138</v>
      </c>
    </row>
    <row r="2" spans="1:58" x14ac:dyDescent="0.25">
      <c r="A2" t="s">
        <v>21</v>
      </c>
      <c r="D2" t="s">
        <v>118</v>
      </c>
      <c r="E2">
        <v>1175</v>
      </c>
      <c r="F2">
        <f>E2/(298.15*8.314)</f>
        <v>0.47401603448997148</v>
      </c>
      <c r="AA2" t="s">
        <v>126</v>
      </c>
      <c r="AB2" t="s">
        <v>127</v>
      </c>
      <c r="AC2" t="s">
        <v>128</v>
      </c>
      <c r="AW2" s="13" t="s">
        <v>139</v>
      </c>
      <c r="AZ2" t="s">
        <v>140</v>
      </c>
      <c r="BA2" t="s">
        <v>141</v>
      </c>
    </row>
    <row r="3" spans="1:58" x14ac:dyDescent="0.25">
      <c r="A3" t="s">
        <v>0</v>
      </c>
      <c r="E3">
        <v>1793</v>
      </c>
      <c r="F3">
        <f>E3/(298.15*8.314)</f>
        <v>0.72332829773661189</v>
      </c>
      <c r="Z3" t="s">
        <v>155</v>
      </c>
      <c r="AA3" s="41">
        <v>1.071586842105263</v>
      </c>
      <c r="AB3" s="41">
        <v>0.80161578947368428</v>
      </c>
      <c r="AC3" s="41">
        <v>1.3257263157894739</v>
      </c>
      <c r="AV3" s="13" t="s">
        <v>142</v>
      </c>
      <c r="AW3" t="s">
        <v>170</v>
      </c>
      <c r="AX3" t="s">
        <v>171</v>
      </c>
      <c r="BA3" t="s">
        <v>170</v>
      </c>
      <c r="BB3" t="s">
        <v>171</v>
      </c>
      <c r="BC3" t="s">
        <v>170</v>
      </c>
      <c r="BD3" t="s">
        <v>171</v>
      </c>
      <c r="BE3" t="s">
        <v>170</v>
      </c>
      <c r="BF3" t="s">
        <v>171</v>
      </c>
    </row>
    <row r="4" spans="1:58" x14ac:dyDescent="0.25">
      <c r="A4" t="s">
        <v>2</v>
      </c>
      <c r="D4" t="s">
        <v>166</v>
      </c>
      <c r="E4">
        <f>AVERAGE(E2:E3)</f>
        <v>1484</v>
      </c>
      <c r="F4">
        <f>E4/(298.15*8.314)</f>
        <v>0.59867216611329166</v>
      </c>
      <c r="H4" s="13" t="s">
        <v>49</v>
      </c>
      <c r="I4" t="s">
        <v>9</v>
      </c>
      <c r="K4" t="s">
        <v>50</v>
      </c>
      <c r="L4" t="s">
        <v>51</v>
      </c>
      <c r="M4" t="s">
        <v>52</v>
      </c>
      <c r="N4" t="s">
        <v>53</v>
      </c>
      <c r="O4" t="s">
        <v>54</v>
      </c>
      <c r="Z4" t="s">
        <v>156</v>
      </c>
      <c r="AA4" s="41">
        <v>20</v>
      </c>
      <c r="AB4" s="41">
        <v>20</v>
      </c>
      <c r="AC4" s="41">
        <v>20</v>
      </c>
      <c r="AT4" t="s">
        <v>167</v>
      </c>
      <c r="AU4" t="s">
        <v>126</v>
      </c>
      <c r="AV4">
        <v>2.85</v>
      </c>
      <c r="AW4">
        <v>66</v>
      </c>
      <c r="AX4">
        <v>437</v>
      </c>
      <c r="AZ4">
        <v>0</v>
      </c>
      <c r="BA4">
        <f>$AW$9*AZ4</f>
        <v>0</v>
      </c>
      <c r="BB4">
        <f>$AX$9*AZ4</f>
        <v>0</v>
      </c>
      <c r="BC4">
        <f>$AW$10*AZ4</f>
        <v>0</v>
      </c>
      <c r="BD4">
        <f>$AX$10*AZ4</f>
        <v>0</v>
      </c>
      <c r="BE4">
        <f>$AW$11*AZ4</f>
        <v>0</v>
      </c>
      <c r="BF4">
        <f>$AX$11*AZ4</f>
        <v>0</v>
      </c>
    </row>
    <row r="5" spans="1:58" x14ac:dyDescent="0.25">
      <c r="A5" s="1"/>
      <c r="B5" s="7"/>
      <c r="C5" s="8" t="s">
        <v>45</v>
      </c>
      <c r="D5" s="2" t="s">
        <v>47</v>
      </c>
      <c r="E5" s="3"/>
      <c r="H5" t="s">
        <v>58</v>
      </c>
      <c r="I5" t="s">
        <v>18</v>
      </c>
      <c r="J5" t="s">
        <v>19</v>
      </c>
      <c r="K5" t="s">
        <v>56</v>
      </c>
      <c r="L5" t="s">
        <v>57</v>
      </c>
      <c r="M5" t="s">
        <v>57</v>
      </c>
      <c r="N5" t="s">
        <v>57</v>
      </c>
      <c r="O5" t="s">
        <v>56</v>
      </c>
      <c r="Z5" t="s">
        <v>157</v>
      </c>
      <c r="AA5" s="41">
        <f>AA4/AA3</f>
        <v>18.66390964703109</v>
      </c>
      <c r="AB5" s="41">
        <f>AB4/AB3</f>
        <v>24.949608356805658</v>
      </c>
      <c r="AC5" s="41">
        <f>AC4/AC3</f>
        <v>15.086069999364796</v>
      </c>
      <c r="AT5" t="s">
        <v>168</v>
      </c>
      <c r="AU5" t="s">
        <v>127</v>
      </c>
      <c r="AV5">
        <v>9.5299999999999994</v>
      </c>
      <c r="AW5">
        <v>66</v>
      </c>
      <c r="AX5">
        <v>437</v>
      </c>
      <c r="AZ5">
        <v>0.05</v>
      </c>
      <c r="BA5">
        <f t="shared" ref="BA5:BA20" si="0">$AW$9*AZ5</f>
        <v>9.4050000000000009E-2</v>
      </c>
      <c r="BB5">
        <f t="shared" ref="BB5:BB20" si="1">$AX$9*AZ5</f>
        <v>0.62272500000000008</v>
      </c>
      <c r="BC5">
        <f t="shared" ref="BC5:BC20" si="2">$AW$10*AZ5</f>
        <v>0.31448999999999999</v>
      </c>
      <c r="BD5">
        <f t="shared" ref="BD5:BD20" si="3">$AX$10*AZ5</f>
        <v>2.0823049999999999</v>
      </c>
      <c r="BE5">
        <f t="shared" ref="BE5:BE20" si="4">$AW$11*AZ5</f>
        <v>2.7059999999999997E-2</v>
      </c>
      <c r="BF5">
        <f t="shared" ref="BF5:BF20" si="5">$AX$11*AZ5</f>
        <v>0.17917</v>
      </c>
    </row>
    <row r="6" spans="1:58" x14ac:dyDescent="0.25">
      <c r="A6" s="4" t="s">
        <v>10</v>
      </c>
      <c r="B6" s="6" t="s">
        <v>11</v>
      </c>
      <c r="C6" s="4" t="s">
        <v>46</v>
      </c>
      <c r="D6" s="6" t="s">
        <v>18</v>
      </c>
      <c r="E6" s="5" t="s">
        <v>19</v>
      </c>
      <c r="G6" s="14">
        <v>44392</v>
      </c>
      <c r="H6" t="s">
        <v>23</v>
      </c>
      <c r="I6" s="12">
        <v>0</v>
      </c>
      <c r="J6" s="11">
        <v>0</v>
      </c>
      <c r="K6">
        <v>0</v>
      </c>
      <c r="L6">
        <f>K6*10</f>
        <v>0</v>
      </c>
      <c r="M6">
        <f t="shared" ref="M6:M14" si="6">(K6*10*10)/($H$1*(10+10))</f>
        <v>0</v>
      </c>
      <c r="N6">
        <f t="shared" ref="N6:N14" si="7">L6-M6</f>
        <v>0</v>
      </c>
      <c r="O6">
        <f>N6/10</f>
        <v>0</v>
      </c>
      <c r="Z6" t="s">
        <v>158</v>
      </c>
      <c r="AA6">
        <v>2.65</v>
      </c>
      <c r="AB6">
        <f>0.8*2.65+0.2*1.3</f>
        <v>2.38</v>
      </c>
      <c r="AC6">
        <v>2.65</v>
      </c>
      <c r="AT6" t="s">
        <v>169</v>
      </c>
      <c r="AU6" t="s">
        <v>128</v>
      </c>
      <c r="AV6">
        <v>0.82</v>
      </c>
      <c r="AW6">
        <v>66</v>
      </c>
      <c r="AX6">
        <v>437</v>
      </c>
      <c r="AZ6">
        <v>0.1</v>
      </c>
      <c r="BA6">
        <f t="shared" si="0"/>
        <v>0.18810000000000002</v>
      </c>
      <c r="BB6">
        <f t="shared" si="1"/>
        <v>1.2454500000000002</v>
      </c>
      <c r="BC6">
        <f t="shared" si="2"/>
        <v>0.62897999999999998</v>
      </c>
      <c r="BD6">
        <f t="shared" si="3"/>
        <v>4.1646099999999997</v>
      </c>
      <c r="BE6">
        <f t="shared" si="4"/>
        <v>5.4119999999999994E-2</v>
      </c>
      <c r="BF6">
        <f t="shared" si="5"/>
        <v>0.35833999999999999</v>
      </c>
    </row>
    <row r="7" spans="1:58" x14ac:dyDescent="0.25">
      <c r="A7">
        <v>1</v>
      </c>
      <c r="B7" t="s">
        <v>22</v>
      </c>
      <c r="H7" t="s">
        <v>24</v>
      </c>
      <c r="I7" s="12">
        <v>0</v>
      </c>
      <c r="J7" s="11">
        <v>0</v>
      </c>
      <c r="K7">
        <v>0</v>
      </c>
      <c r="L7">
        <f>K7*10</f>
        <v>0</v>
      </c>
      <c r="M7">
        <f t="shared" si="6"/>
        <v>0</v>
      </c>
      <c r="N7">
        <f t="shared" si="7"/>
        <v>0</v>
      </c>
      <c r="O7">
        <f t="shared" ref="O7:O12" si="8">N7/10</f>
        <v>0</v>
      </c>
      <c r="Z7" t="s">
        <v>159</v>
      </c>
      <c r="AA7">
        <f>AA4/AA6</f>
        <v>7.5471698113207548</v>
      </c>
      <c r="AB7">
        <f>AB4/AB6</f>
        <v>8.4033613445378155</v>
      </c>
      <c r="AC7">
        <f>AC4/AC6</f>
        <v>7.5471698113207548</v>
      </c>
      <c r="AZ7">
        <v>0.15</v>
      </c>
      <c r="BA7">
        <f t="shared" si="0"/>
        <v>0.28215000000000001</v>
      </c>
      <c r="BB7">
        <f t="shared" si="1"/>
        <v>1.8681750000000001</v>
      </c>
      <c r="BC7">
        <f t="shared" si="2"/>
        <v>0.94346999999999992</v>
      </c>
      <c r="BD7">
        <f t="shared" si="3"/>
        <v>6.2469149999999996</v>
      </c>
      <c r="BE7">
        <f t="shared" si="4"/>
        <v>8.1179999999999988E-2</v>
      </c>
      <c r="BF7">
        <f t="shared" si="5"/>
        <v>0.53750999999999993</v>
      </c>
    </row>
    <row r="8" spans="1:58" x14ac:dyDescent="0.25">
      <c r="A8">
        <v>2</v>
      </c>
      <c r="B8" t="s">
        <v>23</v>
      </c>
      <c r="C8">
        <v>0</v>
      </c>
      <c r="D8" s="12">
        <v>0</v>
      </c>
      <c r="E8" s="11">
        <v>0</v>
      </c>
      <c r="H8" t="s">
        <v>31</v>
      </c>
      <c r="K8">
        <v>0</v>
      </c>
      <c r="L8">
        <f t="shared" ref="L8:L14" si="9">K8*10</f>
        <v>0</v>
      </c>
      <c r="M8">
        <f t="shared" si="6"/>
        <v>0</v>
      </c>
      <c r="N8">
        <f t="shared" si="7"/>
        <v>0</v>
      </c>
      <c r="O8">
        <f t="shared" si="8"/>
        <v>0</v>
      </c>
      <c r="Z8" t="s">
        <v>160</v>
      </c>
      <c r="AA8" s="41">
        <f>AA5-AA7</f>
        <v>11.116739835710336</v>
      </c>
      <c r="AB8" s="41">
        <f>AB5-AB7</f>
        <v>16.546247012267841</v>
      </c>
      <c r="AC8" s="41">
        <f>AC5-AC7</f>
        <v>7.5389001880440407</v>
      </c>
      <c r="AU8" s="13" t="s">
        <v>130</v>
      </c>
      <c r="AV8" t="s">
        <v>143</v>
      </c>
      <c r="AZ8">
        <v>0.2</v>
      </c>
      <c r="BA8">
        <f t="shared" si="0"/>
        <v>0.37620000000000003</v>
      </c>
      <c r="BB8">
        <f t="shared" si="1"/>
        <v>2.4909000000000003</v>
      </c>
      <c r="BC8">
        <f t="shared" si="2"/>
        <v>1.25796</v>
      </c>
      <c r="BD8">
        <f t="shared" si="3"/>
        <v>8.3292199999999994</v>
      </c>
      <c r="BE8">
        <f t="shared" si="4"/>
        <v>0.10823999999999999</v>
      </c>
      <c r="BF8">
        <f t="shared" si="5"/>
        <v>0.71667999999999998</v>
      </c>
    </row>
    <row r="9" spans="1:58" x14ac:dyDescent="0.25">
      <c r="A9">
        <v>3</v>
      </c>
      <c r="B9" t="s">
        <v>24</v>
      </c>
      <c r="C9">
        <v>0</v>
      </c>
      <c r="D9" s="12">
        <v>0</v>
      </c>
      <c r="E9" s="11">
        <v>0</v>
      </c>
      <c r="H9" t="s">
        <v>25</v>
      </c>
      <c r="I9" s="12">
        <v>0</v>
      </c>
      <c r="J9" s="11">
        <v>43709</v>
      </c>
      <c r="K9">
        <v>0.1</v>
      </c>
      <c r="L9">
        <f>K9*10</f>
        <v>1</v>
      </c>
      <c r="M9">
        <f t="shared" si="6"/>
        <v>0.83518163746630725</v>
      </c>
      <c r="N9">
        <f t="shared" si="7"/>
        <v>0.16481836253369275</v>
      </c>
      <c r="O9">
        <f>N9/10</f>
        <v>1.6481836253369277E-2</v>
      </c>
      <c r="Z9" t="s">
        <v>161</v>
      </c>
      <c r="AA9" s="41">
        <f>(AA8/AA5)*100</f>
        <v>59.562760675273097</v>
      </c>
      <c r="AB9" s="41">
        <f>(AB8/AB5)*100</f>
        <v>66.318664307828385</v>
      </c>
      <c r="AC9" s="41">
        <f>(AC8/AC5)*100</f>
        <v>49.972591857000985</v>
      </c>
      <c r="AU9" t="s">
        <v>126</v>
      </c>
      <c r="AV9">
        <f>AW4*(AV4/100)</f>
        <v>1.881</v>
      </c>
      <c r="AW9">
        <f t="shared" ref="AW9:AX11" si="10">AW4*($AV4/100)</f>
        <v>1.881</v>
      </c>
      <c r="AX9">
        <f t="shared" si="10"/>
        <v>12.454500000000001</v>
      </c>
      <c r="AZ9">
        <v>0.25</v>
      </c>
      <c r="BA9">
        <f t="shared" si="0"/>
        <v>0.47025</v>
      </c>
      <c r="BB9">
        <f t="shared" si="1"/>
        <v>3.1136250000000003</v>
      </c>
      <c r="BC9">
        <f t="shared" si="2"/>
        <v>1.5724499999999999</v>
      </c>
      <c r="BD9">
        <f t="shared" si="3"/>
        <v>10.411524999999999</v>
      </c>
      <c r="BE9">
        <f t="shared" si="4"/>
        <v>0.13529999999999998</v>
      </c>
      <c r="BF9">
        <f t="shared" si="5"/>
        <v>0.89584999999999992</v>
      </c>
    </row>
    <row r="10" spans="1:58" x14ac:dyDescent="0.25">
      <c r="A10">
        <v>4</v>
      </c>
      <c r="B10" t="s">
        <v>25</v>
      </c>
      <c r="C10">
        <v>0.1</v>
      </c>
      <c r="D10" s="12">
        <v>0</v>
      </c>
      <c r="E10" s="11">
        <v>43709</v>
      </c>
      <c r="H10" t="s">
        <v>26</v>
      </c>
      <c r="I10" s="12">
        <v>0</v>
      </c>
      <c r="J10" s="11">
        <v>45897</v>
      </c>
      <c r="K10">
        <v>0.1</v>
      </c>
      <c r="L10">
        <f>K10*10</f>
        <v>1</v>
      </c>
      <c r="M10">
        <f t="shared" si="6"/>
        <v>0.83518163746630725</v>
      </c>
      <c r="N10">
        <f t="shared" si="7"/>
        <v>0.16481836253369275</v>
      </c>
      <c r="O10">
        <f>N10/10</f>
        <v>1.6481836253369277E-2</v>
      </c>
      <c r="AU10" t="s">
        <v>127</v>
      </c>
      <c r="AV10">
        <f>AW5*(AV5/100)</f>
        <v>6.2897999999999996</v>
      </c>
      <c r="AW10">
        <f t="shared" si="10"/>
        <v>6.2897999999999996</v>
      </c>
      <c r="AX10">
        <f t="shared" si="10"/>
        <v>41.646099999999997</v>
      </c>
      <c r="AZ10">
        <v>0.3</v>
      </c>
      <c r="BA10">
        <f t="shared" si="0"/>
        <v>0.56430000000000002</v>
      </c>
      <c r="BB10">
        <f t="shared" si="1"/>
        <v>3.7363500000000003</v>
      </c>
      <c r="BC10">
        <f t="shared" si="2"/>
        <v>1.8869399999999998</v>
      </c>
      <c r="BD10">
        <f t="shared" si="3"/>
        <v>12.493829999999999</v>
      </c>
      <c r="BE10">
        <f t="shared" si="4"/>
        <v>0.16235999999999998</v>
      </c>
      <c r="BF10">
        <f t="shared" si="5"/>
        <v>1.0750199999999999</v>
      </c>
    </row>
    <row r="11" spans="1:58" x14ac:dyDescent="0.25">
      <c r="A11">
        <v>5</v>
      </c>
      <c r="B11" t="s">
        <v>26</v>
      </c>
      <c r="C11">
        <v>0.1</v>
      </c>
      <c r="D11" s="12">
        <v>0</v>
      </c>
      <c r="E11" s="11">
        <v>45897</v>
      </c>
      <c r="H11" t="s">
        <v>27</v>
      </c>
      <c r="I11" s="10">
        <v>217080</v>
      </c>
      <c r="J11" s="11">
        <v>218103</v>
      </c>
      <c r="K11">
        <v>0.5</v>
      </c>
      <c r="L11">
        <f t="shared" si="9"/>
        <v>5</v>
      </c>
      <c r="M11">
        <f t="shared" si="6"/>
        <v>4.1759081873315358</v>
      </c>
      <c r="N11">
        <f t="shared" si="7"/>
        <v>0.82409181266846421</v>
      </c>
      <c r="O11">
        <f t="shared" si="8"/>
        <v>8.2409181266846418E-2</v>
      </c>
      <c r="Z11" t="s">
        <v>162</v>
      </c>
      <c r="AA11">
        <v>120</v>
      </c>
      <c r="AB11">
        <v>120</v>
      </c>
      <c r="AC11">
        <v>120</v>
      </c>
      <c r="AU11" t="s">
        <v>128</v>
      </c>
      <c r="AV11">
        <f>AW6*(AV6/100)</f>
        <v>0.5411999999999999</v>
      </c>
      <c r="AW11">
        <f t="shared" si="10"/>
        <v>0.5411999999999999</v>
      </c>
      <c r="AX11">
        <f t="shared" si="10"/>
        <v>3.5833999999999997</v>
      </c>
      <c r="AZ11">
        <v>0.35</v>
      </c>
      <c r="BA11">
        <f t="shared" si="0"/>
        <v>0.65834999999999999</v>
      </c>
      <c r="BB11">
        <f t="shared" si="1"/>
        <v>4.3590749999999998</v>
      </c>
      <c r="BC11">
        <f t="shared" si="2"/>
        <v>2.2014299999999998</v>
      </c>
      <c r="BD11">
        <f t="shared" si="3"/>
        <v>14.576134999999997</v>
      </c>
      <c r="BE11">
        <f t="shared" si="4"/>
        <v>0.18941999999999995</v>
      </c>
      <c r="BF11">
        <f t="shared" si="5"/>
        <v>1.2541899999999999</v>
      </c>
    </row>
    <row r="12" spans="1:58" x14ac:dyDescent="0.25">
      <c r="A12">
        <v>6</v>
      </c>
      <c r="B12" t="s">
        <v>27</v>
      </c>
      <c r="C12">
        <v>0.5</v>
      </c>
      <c r="D12" s="10">
        <v>217080</v>
      </c>
      <c r="E12" s="11">
        <v>218103</v>
      </c>
      <c r="H12" t="s">
        <v>28</v>
      </c>
      <c r="I12" s="10">
        <v>218103</v>
      </c>
      <c r="J12" s="11">
        <v>221592</v>
      </c>
      <c r="K12">
        <v>0.5</v>
      </c>
      <c r="L12">
        <f t="shared" si="9"/>
        <v>5</v>
      </c>
      <c r="M12">
        <f t="shared" si="6"/>
        <v>4.1759081873315358</v>
      </c>
      <c r="N12">
        <f t="shared" si="7"/>
        <v>0.82409181266846421</v>
      </c>
      <c r="O12">
        <f t="shared" si="8"/>
        <v>8.2409181266846418E-2</v>
      </c>
      <c r="Z12" t="s">
        <v>163</v>
      </c>
      <c r="AA12">
        <v>8</v>
      </c>
      <c r="AB12">
        <v>6</v>
      </c>
      <c r="AC12">
        <v>6</v>
      </c>
      <c r="AZ12">
        <v>0.4</v>
      </c>
      <c r="BA12">
        <f t="shared" si="0"/>
        <v>0.75240000000000007</v>
      </c>
      <c r="BB12">
        <f t="shared" si="1"/>
        <v>4.9818000000000007</v>
      </c>
      <c r="BC12">
        <f t="shared" si="2"/>
        <v>2.5159199999999999</v>
      </c>
      <c r="BD12">
        <f t="shared" si="3"/>
        <v>16.658439999999999</v>
      </c>
      <c r="BE12">
        <f t="shared" si="4"/>
        <v>0.21647999999999998</v>
      </c>
      <c r="BF12">
        <f t="shared" si="5"/>
        <v>1.43336</v>
      </c>
    </row>
    <row r="13" spans="1:58" x14ac:dyDescent="0.25">
      <c r="A13">
        <v>7</v>
      </c>
      <c r="B13" t="s">
        <v>28</v>
      </c>
      <c r="C13">
        <v>0.5</v>
      </c>
      <c r="D13" s="10">
        <v>218103</v>
      </c>
      <c r="E13" s="11">
        <v>221592</v>
      </c>
      <c r="H13" t="s">
        <v>29</v>
      </c>
      <c r="I13" s="10">
        <v>408045</v>
      </c>
      <c r="J13" s="11">
        <v>409941</v>
      </c>
      <c r="K13">
        <v>1</v>
      </c>
      <c r="L13">
        <f t="shared" si="9"/>
        <v>10</v>
      </c>
      <c r="M13">
        <f t="shared" si="6"/>
        <v>8.3518163746630716</v>
      </c>
      <c r="N13">
        <f t="shared" si="7"/>
        <v>1.6481836253369284</v>
      </c>
      <c r="O13">
        <f>N13/10</f>
        <v>0.16481836253369284</v>
      </c>
      <c r="Z13" t="s">
        <v>164</v>
      </c>
      <c r="AA13">
        <f>AA11-AA7-AA12</f>
        <v>104.45283018867924</v>
      </c>
      <c r="AB13">
        <f>AB11-AB7-AB12</f>
        <v>105.59663865546219</v>
      </c>
      <c r="AC13">
        <f>AC11-AC7-AC12</f>
        <v>106.45283018867924</v>
      </c>
      <c r="AZ13">
        <v>0.45</v>
      </c>
      <c r="BA13">
        <f t="shared" si="0"/>
        <v>0.84645000000000004</v>
      </c>
      <c r="BB13">
        <f t="shared" si="1"/>
        <v>5.6045250000000006</v>
      </c>
      <c r="BC13">
        <f t="shared" si="2"/>
        <v>2.8304100000000001</v>
      </c>
      <c r="BD13">
        <f t="shared" si="3"/>
        <v>18.740745</v>
      </c>
      <c r="BE13">
        <f t="shared" si="4"/>
        <v>0.24353999999999995</v>
      </c>
      <c r="BF13">
        <f t="shared" si="5"/>
        <v>1.6125299999999998</v>
      </c>
    </row>
    <row r="14" spans="1:58" x14ac:dyDescent="0.25">
      <c r="A14">
        <v>8</v>
      </c>
      <c r="B14" t="s">
        <v>29</v>
      </c>
      <c r="C14">
        <v>1</v>
      </c>
      <c r="D14" s="10">
        <v>408045</v>
      </c>
      <c r="E14" s="11">
        <v>409941</v>
      </c>
      <c r="H14" t="s">
        <v>30</v>
      </c>
      <c r="I14" s="10">
        <v>391072</v>
      </c>
      <c r="J14" s="11">
        <v>393500</v>
      </c>
      <c r="K14">
        <v>1</v>
      </c>
      <c r="L14">
        <f t="shared" si="9"/>
        <v>10</v>
      </c>
      <c r="M14">
        <f t="shared" si="6"/>
        <v>8.3518163746630716</v>
      </c>
      <c r="N14">
        <f t="shared" si="7"/>
        <v>1.6481836253369284</v>
      </c>
      <c r="O14">
        <f>N14/10</f>
        <v>0.16481836253369284</v>
      </c>
      <c r="AU14" t="s">
        <v>144</v>
      </c>
      <c r="AV14" t="s">
        <v>139</v>
      </c>
      <c r="AZ14">
        <v>0.5</v>
      </c>
      <c r="BA14">
        <f t="shared" si="0"/>
        <v>0.9405</v>
      </c>
      <c r="BB14">
        <f t="shared" si="1"/>
        <v>6.2272500000000006</v>
      </c>
      <c r="BC14">
        <f t="shared" si="2"/>
        <v>3.1448999999999998</v>
      </c>
      <c r="BD14">
        <f t="shared" si="3"/>
        <v>20.823049999999999</v>
      </c>
      <c r="BE14">
        <f t="shared" si="4"/>
        <v>0.27059999999999995</v>
      </c>
      <c r="BF14">
        <f t="shared" si="5"/>
        <v>1.7916999999999998</v>
      </c>
    </row>
    <row r="15" spans="1:58" x14ac:dyDescent="0.25">
      <c r="A15">
        <v>9</v>
      </c>
      <c r="B15" t="s">
        <v>30</v>
      </c>
      <c r="C15">
        <v>1</v>
      </c>
      <c r="D15" s="10">
        <v>391072</v>
      </c>
      <c r="E15" s="11">
        <v>393500</v>
      </c>
      <c r="AU15" t="s">
        <v>145</v>
      </c>
      <c r="AV15">
        <v>106.8</v>
      </c>
      <c r="AZ15">
        <v>0.55000000000000004</v>
      </c>
      <c r="BA15">
        <f t="shared" si="0"/>
        <v>1.0345500000000001</v>
      </c>
      <c r="BB15">
        <f t="shared" si="1"/>
        <v>6.8499750000000015</v>
      </c>
      <c r="BC15">
        <f t="shared" si="2"/>
        <v>3.45939</v>
      </c>
      <c r="BD15">
        <f t="shared" si="3"/>
        <v>22.905355</v>
      </c>
      <c r="BE15">
        <f t="shared" si="4"/>
        <v>0.29765999999999998</v>
      </c>
      <c r="BF15">
        <f t="shared" si="5"/>
        <v>1.9708699999999999</v>
      </c>
    </row>
    <row r="16" spans="1:58" x14ac:dyDescent="0.25">
      <c r="A16">
        <v>10</v>
      </c>
      <c r="B16" t="s">
        <v>32</v>
      </c>
      <c r="C16">
        <v>0</v>
      </c>
      <c r="D16" s="12">
        <v>0</v>
      </c>
      <c r="E16" s="11">
        <v>0</v>
      </c>
      <c r="AU16" t="s">
        <v>146</v>
      </c>
      <c r="AV16">
        <v>155</v>
      </c>
      <c r="AZ16">
        <v>0.6</v>
      </c>
      <c r="BA16">
        <f t="shared" si="0"/>
        <v>1.1286</v>
      </c>
      <c r="BB16">
        <f t="shared" si="1"/>
        <v>7.4727000000000006</v>
      </c>
      <c r="BC16">
        <f t="shared" si="2"/>
        <v>3.7738799999999997</v>
      </c>
      <c r="BD16">
        <f t="shared" si="3"/>
        <v>24.987659999999998</v>
      </c>
      <c r="BE16">
        <f t="shared" si="4"/>
        <v>0.32471999999999995</v>
      </c>
      <c r="BF16">
        <f t="shared" si="5"/>
        <v>2.1500399999999997</v>
      </c>
    </row>
    <row r="17" spans="1:58" x14ac:dyDescent="0.25">
      <c r="A17">
        <v>11</v>
      </c>
      <c r="B17" t="s">
        <v>33</v>
      </c>
      <c r="D17" s="10">
        <v>342954</v>
      </c>
      <c r="E17" s="11">
        <v>379614</v>
      </c>
      <c r="AU17" t="s">
        <v>147</v>
      </c>
      <c r="AV17">
        <v>265</v>
      </c>
      <c r="AZ17">
        <v>0.65</v>
      </c>
      <c r="BA17">
        <f t="shared" si="0"/>
        <v>1.22265</v>
      </c>
      <c r="BB17">
        <f t="shared" si="1"/>
        <v>8.0954250000000005</v>
      </c>
      <c r="BC17">
        <f t="shared" si="2"/>
        <v>4.0883700000000003</v>
      </c>
      <c r="BD17">
        <f t="shared" si="3"/>
        <v>27.069965</v>
      </c>
      <c r="BE17">
        <f t="shared" si="4"/>
        <v>0.35177999999999993</v>
      </c>
      <c r="BF17">
        <f t="shared" si="5"/>
        <v>2.3292099999999998</v>
      </c>
    </row>
    <row r="18" spans="1:58" x14ac:dyDescent="0.25">
      <c r="A18">
        <v>12</v>
      </c>
      <c r="B18" t="s">
        <v>34</v>
      </c>
      <c r="D18" s="10">
        <v>346506</v>
      </c>
      <c r="E18" s="11">
        <v>347232</v>
      </c>
      <c r="AU18" t="s">
        <v>148</v>
      </c>
      <c r="AV18">
        <v>66</v>
      </c>
      <c r="AZ18">
        <v>0.7</v>
      </c>
      <c r="BA18">
        <f t="shared" si="0"/>
        <v>1.3167</v>
      </c>
      <c r="BB18">
        <f t="shared" si="1"/>
        <v>8.7181499999999996</v>
      </c>
      <c r="BC18">
        <f t="shared" si="2"/>
        <v>4.4028599999999996</v>
      </c>
      <c r="BD18">
        <f t="shared" si="3"/>
        <v>29.152269999999994</v>
      </c>
      <c r="BE18">
        <f t="shared" si="4"/>
        <v>0.3788399999999999</v>
      </c>
      <c r="BF18">
        <f t="shared" si="5"/>
        <v>2.5083799999999998</v>
      </c>
    </row>
    <row r="19" spans="1:58" x14ac:dyDescent="0.25">
      <c r="A19">
        <v>13</v>
      </c>
      <c r="B19" t="s">
        <v>31</v>
      </c>
      <c r="C19">
        <v>0</v>
      </c>
      <c r="D19" s="12">
        <v>0</v>
      </c>
      <c r="E19" s="11">
        <v>0</v>
      </c>
      <c r="AU19" t="s">
        <v>149</v>
      </c>
      <c r="AV19">
        <v>437</v>
      </c>
      <c r="AZ19">
        <v>0.75</v>
      </c>
      <c r="BA19">
        <f t="shared" si="0"/>
        <v>1.4107499999999999</v>
      </c>
      <c r="BB19">
        <f t="shared" si="1"/>
        <v>9.3408750000000005</v>
      </c>
      <c r="BC19">
        <f t="shared" si="2"/>
        <v>4.7173499999999997</v>
      </c>
      <c r="BD19">
        <f t="shared" si="3"/>
        <v>31.234575</v>
      </c>
      <c r="BE19">
        <f t="shared" si="4"/>
        <v>0.40589999999999993</v>
      </c>
      <c r="BF19">
        <f t="shared" si="5"/>
        <v>2.6875499999999999</v>
      </c>
    </row>
    <row r="20" spans="1:58" x14ac:dyDescent="0.25">
      <c r="A20">
        <v>14</v>
      </c>
      <c r="B20" t="s">
        <v>35</v>
      </c>
      <c r="D20" s="10">
        <v>320047</v>
      </c>
      <c r="E20" s="11">
        <v>322619</v>
      </c>
      <c r="AZ20">
        <v>0.8</v>
      </c>
      <c r="BA20">
        <f t="shared" si="0"/>
        <v>1.5048000000000001</v>
      </c>
      <c r="BB20">
        <f t="shared" si="1"/>
        <v>9.9636000000000013</v>
      </c>
      <c r="BC20">
        <f t="shared" si="2"/>
        <v>5.0318399999999999</v>
      </c>
      <c r="BD20">
        <f t="shared" si="3"/>
        <v>33.316879999999998</v>
      </c>
      <c r="BE20">
        <f t="shared" si="4"/>
        <v>0.43295999999999996</v>
      </c>
      <c r="BF20">
        <f t="shared" si="5"/>
        <v>2.8667199999999999</v>
      </c>
    </row>
    <row r="21" spans="1:58" x14ac:dyDescent="0.25">
      <c r="A21">
        <v>15</v>
      </c>
      <c r="B21" t="s">
        <v>36</v>
      </c>
      <c r="D21" s="10">
        <v>335754</v>
      </c>
      <c r="E21" s="11">
        <v>337578</v>
      </c>
      <c r="L21" t="s">
        <v>77</v>
      </c>
      <c r="P21" s="8" t="s">
        <v>81</v>
      </c>
      <c r="Q21" s="2"/>
      <c r="R21" s="2"/>
      <c r="S21" s="2"/>
      <c r="T21" s="2"/>
      <c r="U21" s="2"/>
      <c r="V21" s="2"/>
      <c r="W21" s="3"/>
    </row>
    <row r="22" spans="1:58" x14ac:dyDescent="0.25">
      <c r="A22">
        <v>16</v>
      </c>
      <c r="B22" t="s">
        <v>37</v>
      </c>
      <c r="D22" s="10">
        <v>325153</v>
      </c>
      <c r="E22" s="11">
        <v>328680</v>
      </c>
      <c r="L22" t="s">
        <v>79</v>
      </c>
      <c r="P22" s="9" t="s">
        <v>79</v>
      </c>
      <c r="Q22" s="42" t="s">
        <v>165</v>
      </c>
      <c r="R22" s="10"/>
      <c r="S22" s="10"/>
      <c r="T22" s="10"/>
      <c r="U22" s="10" t="s">
        <v>92</v>
      </c>
      <c r="V22" s="10"/>
      <c r="W22" s="11"/>
      <c r="Y22" s="42" t="s">
        <v>165</v>
      </c>
    </row>
    <row r="23" spans="1:58" x14ac:dyDescent="0.25">
      <c r="A23">
        <v>17</v>
      </c>
      <c r="B23" t="s">
        <v>38</v>
      </c>
      <c r="D23" s="10">
        <v>337632</v>
      </c>
      <c r="E23" s="11">
        <v>338609</v>
      </c>
      <c r="H23" s="13" t="s">
        <v>76</v>
      </c>
      <c r="I23" t="s">
        <v>9</v>
      </c>
      <c r="K23" t="s">
        <v>78</v>
      </c>
      <c r="L23" t="s">
        <v>80</v>
      </c>
      <c r="O23" t="s">
        <v>86</v>
      </c>
      <c r="P23" s="9" t="s">
        <v>18</v>
      </c>
      <c r="Q23" s="12"/>
      <c r="R23" s="10"/>
      <c r="S23" s="10"/>
      <c r="T23" s="10"/>
      <c r="U23" s="10"/>
      <c r="V23" s="10"/>
      <c r="W23" s="11" t="s">
        <v>90</v>
      </c>
      <c r="X23" s="9" t="s">
        <v>19</v>
      </c>
      <c r="Y23" s="12"/>
      <c r="Z23" s="10"/>
      <c r="AA23" s="10"/>
      <c r="AB23" s="10"/>
      <c r="AC23" s="10"/>
      <c r="AD23" s="10"/>
      <c r="AE23" s="11" t="s">
        <v>90</v>
      </c>
    </row>
    <row r="24" spans="1:58" x14ac:dyDescent="0.25">
      <c r="A24">
        <v>18</v>
      </c>
      <c r="B24" t="s">
        <v>39</v>
      </c>
      <c r="D24" s="12">
        <v>0</v>
      </c>
      <c r="E24" s="29">
        <v>0</v>
      </c>
      <c r="H24" t="s">
        <v>55</v>
      </c>
      <c r="I24" t="s">
        <v>18</v>
      </c>
      <c r="J24" t="s">
        <v>19</v>
      </c>
      <c r="K24" t="s">
        <v>56</v>
      </c>
      <c r="L24" t="s">
        <v>18</v>
      </c>
      <c r="M24" t="s">
        <v>19</v>
      </c>
      <c r="O24" t="s">
        <v>87</v>
      </c>
      <c r="P24" s="9" t="s">
        <v>82</v>
      </c>
      <c r="Q24" s="10" t="s">
        <v>83</v>
      </c>
      <c r="R24" s="10" t="s">
        <v>84</v>
      </c>
      <c r="S24" s="10" t="s">
        <v>85</v>
      </c>
      <c r="T24" s="10"/>
      <c r="U24" s="10" t="s">
        <v>88</v>
      </c>
      <c r="V24" s="10" t="s">
        <v>89</v>
      </c>
      <c r="W24" s="11" t="s">
        <v>91</v>
      </c>
      <c r="X24" s="9" t="s">
        <v>82</v>
      </c>
      <c r="Y24" s="10" t="s">
        <v>83</v>
      </c>
      <c r="Z24" s="10" t="s">
        <v>84</v>
      </c>
      <c r="AA24" s="10" t="s">
        <v>85</v>
      </c>
      <c r="AB24" s="10"/>
      <c r="AC24" s="10" t="s">
        <v>88</v>
      </c>
      <c r="AD24" s="10" t="s">
        <v>89</v>
      </c>
      <c r="AE24" s="11" t="s">
        <v>91</v>
      </c>
    </row>
    <row r="25" spans="1:58" x14ac:dyDescent="0.25">
      <c r="A25">
        <v>19</v>
      </c>
      <c r="B25" t="s">
        <v>40</v>
      </c>
      <c r="D25" s="12">
        <v>0</v>
      </c>
      <c r="E25" s="11">
        <v>51443</v>
      </c>
      <c r="H25" s="8" t="s">
        <v>32</v>
      </c>
      <c r="I25" s="30">
        <v>0</v>
      </c>
      <c r="J25" s="2">
        <v>0</v>
      </c>
      <c r="K25" s="8">
        <v>0</v>
      </c>
      <c r="L25" s="2">
        <f>I25/2447881.096</f>
        <v>0</v>
      </c>
      <c r="M25" s="2">
        <f>J25/2485297.466</f>
        <v>0</v>
      </c>
      <c r="N25" s="2"/>
      <c r="O25" s="3">
        <v>8</v>
      </c>
      <c r="P25" s="2">
        <f t="shared" ref="P25:P35" si="11">K25*O25</f>
        <v>0</v>
      </c>
      <c r="Q25" s="2">
        <f>L25*$AA$13</f>
        <v>0</v>
      </c>
      <c r="R25" s="2">
        <f t="shared" ref="R25:R35" si="12">(L25/$H$1)*O25</f>
        <v>0</v>
      </c>
      <c r="S25" s="2">
        <f t="shared" ref="S25:S35" si="13">P25-(Q25+R25)</f>
        <v>0</v>
      </c>
      <c r="T25" s="2"/>
      <c r="U25" s="2">
        <f t="shared" ref="U25:U35" si="14">R25/O25</f>
        <v>0</v>
      </c>
      <c r="V25" s="2">
        <f t="shared" ref="V25:V35" si="15">S25/20</f>
        <v>0</v>
      </c>
      <c r="W25" s="3"/>
      <c r="X25" s="8">
        <f t="shared" ref="X25:X35" si="16">K25*O25</f>
        <v>0</v>
      </c>
      <c r="Y25" s="2">
        <f>M25*$AA$13</f>
        <v>0</v>
      </c>
      <c r="Z25" s="2">
        <f t="shared" ref="Z25:Z35" si="17">(M25/$H$1)*O25</f>
        <v>0</v>
      </c>
      <c r="AA25" s="2">
        <f t="shared" ref="AA25:AA35" si="18">X25-(Y25+Z25)</f>
        <v>0</v>
      </c>
      <c r="AB25" s="2"/>
      <c r="AC25" s="2">
        <f t="shared" ref="AC25:AC35" si="19">Z25/O25</f>
        <v>0</v>
      </c>
      <c r="AD25" s="2">
        <f t="shared" ref="AD25:AD35" si="20">AA25/20</f>
        <v>0</v>
      </c>
      <c r="AE25" s="33"/>
    </row>
    <row r="26" spans="1:58" x14ac:dyDescent="0.25">
      <c r="A26">
        <v>20</v>
      </c>
      <c r="B26" t="s">
        <v>41</v>
      </c>
      <c r="D26" s="12">
        <v>0</v>
      </c>
      <c r="E26" s="11">
        <v>57424</v>
      </c>
      <c r="H26" s="9" t="s">
        <v>33</v>
      </c>
      <c r="I26" s="10">
        <v>342954</v>
      </c>
      <c r="J26" s="10">
        <v>379614</v>
      </c>
      <c r="K26" s="9">
        <v>2.5</v>
      </c>
      <c r="L26" s="10">
        <f>I26/2447881.096</f>
        <v>0.14010239327408899</v>
      </c>
      <c r="M26" s="10">
        <f>J26/2485297.466</f>
        <v>0.15274388888786644</v>
      </c>
      <c r="N26" s="10"/>
      <c r="O26" s="11">
        <v>8</v>
      </c>
      <c r="P26" s="10">
        <f t="shared" si="11"/>
        <v>20</v>
      </c>
      <c r="Q26" s="10">
        <f t="shared" ref="Q26:Q31" si="21">L26*$AA$13</f>
        <v>14.634091493685975</v>
      </c>
      <c r="R26" s="10">
        <f t="shared" si="12"/>
        <v>1.8721751396416351</v>
      </c>
      <c r="S26" s="10">
        <f t="shared" si="13"/>
        <v>3.4937333666723909</v>
      </c>
      <c r="T26" s="10"/>
      <c r="U26" s="10">
        <f t="shared" si="14"/>
        <v>0.23402189245520438</v>
      </c>
      <c r="V26" s="10">
        <f t="shared" si="15"/>
        <v>0.17468666833361954</v>
      </c>
      <c r="W26" s="11">
        <f t="shared" ref="W26:W31" si="22">V26/U26</f>
        <v>0.74645438724096047</v>
      </c>
      <c r="X26" s="9">
        <f t="shared" si="16"/>
        <v>20</v>
      </c>
      <c r="Y26" s="10">
        <f t="shared" ref="Y26:Y31" si="23">M26*$AA$13</f>
        <v>15.954531488362804</v>
      </c>
      <c r="Z26" s="10">
        <f t="shared" si="17"/>
        <v>2.0411022597494397</v>
      </c>
      <c r="AA26" s="10">
        <f t="shared" si="18"/>
        <v>2.0043662518877561</v>
      </c>
      <c r="AB26" s="10"/>
      <c r="AC26" s="10">
        <f t="shared" si="19"/>
        <v>0.25513778246867996</v>
      </c>
      <c r="AD26" s="10">
        <f t="shared" si="20"/>
        <v>0.10021831259438781</v>
      </c>
      <c r="AE26" s="34">
        <f t="shared" ref="AE26:AE31" si="24">AD26/AC26</f>
        <v>0.39280075112626778</v>
      </c>
    </row>
    <row r="27" spans="1:58" x14ac:dyDescent="0.25">
      <c r="A27">
        <v>21</v>
      </c>
      <c r="B27" t="s">
        <v>42</v>
      </c>
      <c r="D27" s="12">
        <v>0</v>
      </c>
      <c r="E27" s="11">
        <v>52605</v>
      </c>
      <c r="H27" s="9" t="s">
        <v>34</v>
      </c>
      <c r="I27" s="10">
        <v>346506</v>
      </c>
      <c r="J27" s="10">
        <v>347232</v>
      </c>
      <c r="K27" s="9">
        <v>2.5</v>
      </c>
      <c r="L27" s="10">
        <f t="shared" ref="L27:L35" si="25">I27/2447881.096</f>
        <v>0.14155344414653709</v>
      </c>
      <c r="M27" s="10">
        <f t="shared" ref="M27:M35" si="26">J27/2485297.466</f>
        <v>0.13971446265499068</v>
      </c>
      <c r="N27" s="10"/>
      <c r="O27" s="11">
        <v>8</v>
      </c>
      <c r="P27" s="10">
        <f t="shared" si="11"/>
        <v>20</v>
      </c>
      <c r="Q27" s="10">
        <f t="shared" si="21"/>
        <v>14.78565786406093</v>
      </c>
      <c r="R27" s="10">
        <f t="shared" si="12"/>
        <v>1.8915653963408048</v>
      </c>
      <c r="S27" s="10">
        <f t="shared" si="13"/>
        <v>3.3227767395982646</v>
      </c>
      <c r="T27" s="10"/>
      <c r="U27" s="10">
        <f t="shared" si="14"/>
        <v>0.2364456745426006</v>
      </c>
      <c r="V27" s="10">
        <f t="shared" si="15"/>
        <v>0.16613883697991322</v>
      </c>
      <c r="W27" s="11">
        <f t="shared" si="22"/>
        <v>0.70265120011734394</v>
      </c>
      <c r="X27" s="9">
        <f t="shared" si="16"/>
        <v>20</v>
      </c>
      <c r="Y27" s="10">
        <f t="shared" si="23"/>
        <v>14.59357104260431</v>
      </c>
      <c r="Z27" s="10">
        <f t="shared" si="17"/>
        <v>1.8669912591667255</v>
      </c>
      <c r="AA27" s="10">
        <f t="shared" si="18"/>
        <v>3.5394376982289657</v>
      </c>
      <c r="AB27" s="10"/>
      <c r="AC27" s="10">
        <f t="shared" si="19"/>
        <v>0.23337390739584069</v>
      </c>
      <c r="AD27" s="10">
        <f t="shared" si="20"/>
        <v>0.17697188491144827</v>
      </c>
      <c r="AE27" s="34">
        <f t="shared" si="24"/>
        <v>0.75831907211149674</v>
      </c>
    </row>
    <row r="28" spans="1:58" x14ac:dyDescent="0.25">
      <c r="H28" s="9" t="s">
        <v>35</v>
      </c>
      <c r="I28" s="10">
        <v>320047</v>
      </c>
      <c r="J28" s="10">
        <v>322619</v>
      </c>
      <c r="K28" s="9">
        <v>2.5</v>
      </c>
      <c r="L28" s="10">
        <f t="shared" si="25"/>
        <v>0.13074450410315192</v>
      </c>
      <c r="M28" s="10">
        <f t="shared" si="26"/>
        <v>0.12981102037626269</v>
      </c>
      <c r="N28" s="10"/>
      <c r="O28" s="11">
        <v>8</v>
      </c>
      <c r="P28" s="10">
        <f t="shared" si="11"/>
        <v>20</v>
      </c>
      <c r="Q28" s="10">
        <f t="shared" si="21"/>
        <v>13.656633485189603</v>
      </c>
      <c r="R28" s="10">
        <f t="shared" si="12"/>
        <v>1.7471265444254518</v>
      </c>
      <c r="S28" s="10">
        <f t="shared" si="13"/>
        <v>4.5962399703849446</v>
      </c>
      <c r="T28" s="10"/>
      <c r="U28" s="10">
        <f t="shared" si="14"/>
        <v>0.21839081805318147</v>
      </c>
      <c r="V28" s="10">
        <f t="shared" si="15"/>
        <v>0.22981199851924722</v>
      </c>
      <c r="W28" s="11">
        <f t="shared" si="22"/>
        <v>1.0522969810172353</v>
      </c>
      <c r="X28" s="9">
        <f t="shared" si="16"/>
        <v>20</v>
      </c>
      <c r="Y28" s="10">
        <f t="shared" si="23"/>
        <v>13.559128467980948</v>
      </c>
      <c r="Z28" s="10">
        <f t="shared" si="17"/>
        <v>1.7346524889443078</v>
      </c>
      <c r="AA28" s="10">
        <f t="shared" si="18"/>
        <v>4.7062190430747446</v>
      </c>
      <c r="AB28" s="10"/>
      <c r="AC28" s="10">
        <f t="shared" si="19"/>
        <v>0.21683156111803847</v>
      </c>
      <c r="AD28" s="10">
        <f t="shared" si="20"/>
        <v>0.23531095215373724</v>
      </c>
      <c r="AE28" s="34">
        <f t="shared" si="24"/>
        <v>1.0852246367660425</v>
      </c>
    </row>
    <row r="29" spans="1:58" x14ac:dyDescent="0.25">
      <c r="H29" s="9" t="s">
        <v>36</v>
      </c>
      <c r="I29" s="10">
        <v>335754</v>
      </c>
      <c r="J29" s="10">
        <v>337578</v>
      </c>
      <c r="K29" s="9">
        <v>2.5</v>
      </c>
      <c r="L29" s="10">
        <f t="shared" si="25"/>
        <v>0.13716107393804555</v>
      </c>
      <c r="M29" s="10">
        <f t="shared" si="26"/>
        <v>0.13583001818422971</v>
      </c>
      <c r="N29" s="10"/>
      <c r="O29" s="11">
        <v>8</v>
      </c>
      <c r="P29" s="10">
        <f t="shared" si="11"/>
        <v>20</v>
      </c>
      <c r="Q29" s="10">
        <f t="shared" si="21"/>
        <v>14.32686236454755</v>
      </c>
      <c r="R29" s="10">
        <f t="shared" si="12"/>
        <v>1.8328705652514259</v>
      </c>
      <c r="S29" s="10">
        <f t="shared" si="13"/>
        <v>3.8402670702010226</v>
      </c>
      <c r="T29" s="10"/>
      <c r="U29" s="10">
        <f t="shared" si="14"/>
        <v>0.22910882065642824</v>
      </c>
      <c r="V29" s="10">
        <f t="shared" si="15"/>
        <v>0.19201335351005114</v>
      </c>
      <c r="W29" s="11">
        <f t="shared" si="22"/>
        <v>0.83808800097659497</v>
      </c>
      <c r="X29" s="9">
        <f t="shared" si="16"/>
        <v>20</v>
      </c>
      <c r="Y29" s="10">
        <f t="shared" si="23"/>
        <v>14.187829823922559</v>
      </c>
      <c r="Z29" s="10">
        <f t="shared" si="17"/>
        <v>1.815083792066932</v>
      </c>
      <c r="AA29" s="10">
        <f t="shared" si="18"/>
        <v>3.9970863840105082</v>
      </c>
      <c r="AB29" s="10"/>
      <c r="AC29" s="10">
        <f t="shared" si="19"/>
        <v>0.22688547400836651</v>
      </c>
      <c r="AD29" s="10">
        <f t="shared" si="20"/>
        <v>0.1998543192005254</v>
      </c>
      <c r="AE29" s="34">
        <f t="shared" si="24"/>
        <v>0.8808599143423157</v>
      </c>
    </row>
    <row r="30" spans="1:58" x14ac:dyDescent="0.25">
      <c r="H30" s="9" t="s">
        <v>37</v>
      </c>
      <c r="I30" s="10">
        <v>325153</v>
      </c>
      <c r="J30" s="10">
        <v>328680</v>
      </c>
      <c r="K30" s="9">
        <v>2.5</v>
      </c>
      <c r="L30" s="10">
        <f t="shared" si="25"/>
        <v>0.13283038973229605</v>
      </c>
      <c r="M30" s="10">
        <f t="shared" si="26"/>
        <v>0.13224976265275765</v>
      </c>
      <c r="N30" s="10"/>
      <c r="O30" s="11">
        <v>8</v>
      </c>
      <c r="P30" s="10">
        <f t="shared" si="11"/>
        <v>20</v>
      </c>
      <c r="Q30" s="10">
        <f t="shared" si="21"/>
        <v>13.874510142603603</v>
      </c>
      <c r="R30" s="10">
        <f t="shared" si="12"/>
        <v>1.7750000384305085</v>
      </c>
      <c r="S30" s="10">
        <f t="shared" si="13"/>
        <v>4.3504898189658885</v>
      </c>
      <c r="T30" s="10"/>
      <c r="U30" s="10">
        <f t="shared" si="14"/>
        <v>0.22187500480381356</v>
      </c>
      <c r="V30" s="10">
        <f t="shared" si="15"/>
        <v>0.21752449094829443</v>
      </c>
      <c r="W30" s="11">
        <f t="shared" si="22"/>
        <v>0.98039205065317769</v>
      </c>
      <c r="X30" s="9">
        <f t="shared" si="16"/>
        <v>20</v>
      </c>
      <c r="Y30" s="10">
        <f t="shared" si="23"/>
        <v>13.813862000861629</v>
      </c>
      <c r="Z30" s="10">
        <f t="shared" si="17"/>
        <v>1.7672411732297697</v>
      </c>
      <c r="AA30" s="10">
        <f t="shared" si="18"/>
        <v>4.4188968259086003</v>
      </c>
      <c r="AB30" s="10"/>
      <c r="AC30" s="10">
        <f t="shared" si="19"/>
        <v>0.22090514665372121</v>
      </c>
      <c r="AD30" s="10">
        <f t="shared" si="20"/>
        <v>0.22094484129543002</v>
      </c>
      <c r="AE30" s="34">
        <f t="shared" si="24"/>
        <v>1.0001796908868359</v>
      </c>
    </row>
    <row r="31" spans="1:58" x14ac:dyDescent="0.25">
      <c r="H31" s="9" t="s">
        <v>38</v>
      </c>
      <c r="I31" s="10">
        <v>337632</v>
      </c>
      <c r="J31" s="10">
        <v>338609</v>
      </c>
      <c r="K31" s="9">
        <v>2.5</v>
      </c>
      <c r="L31" s="10">
        <f t="shared" si="25"/>
        <v>0.13792826806486355</v>
      </c>
      <c r="M31" s="10">
        <f t="shared" si="26"/>
        <v>0.13624485786201659</v>
      </c>
      <c r="N31" s="10"/>
      <c r="O31" s="11">
        <v>8</v>
      </c>
      <c r="P31" s="10">
        <f t="shared" si="11"/>
        <v>20</v>
      </c>
      <c r="Q31" s="10">
        <f t="shared" si="21"/>
        <v>14.406997962397822</v>
      </c>
      <c r="R31" s="10">
        <f t="shared" si="12"/>
        <v>1.8431225084048721</v>
      </c>
      <c r="S31" s="10">
        <f t="shared" si="13"/>
        <v>3.7498795291973046</v>
      </c>
      <c r="T31" s="10"/>
      <c r="U31" s="10">
        <f t="shared" si="14"/>
        <v>0.23039031355060902</v>
      </c>
      <c r="V31" s="10">
        <f t="shared" si="15"/>
        <v>0.18749397645986524</v>
      </c>
      <c r="W31" s="11">
        <f t="shared" si="22"/>
        <v>0.81381015360560771</v>
      </c>
      <c r="X31" s="9">
        <f t="shared" si="16"/>
        <v>20</v>
      </c>
      <c r="Y31" s="10">
        <f t="shared" si="23"/>
        <v>14.23116100234196</v>
      </c>
      <c r="Z31" s="10">
        <f t="shared" si="17"/>
        <v>1.8206272557690129</v>
      </c>
      <c r="AA31" s="10">
        <f t="shared" si="18"/>
        <v>3.948211741889029</v>
      </c>
      <c r="AB31" s="10"/>
      <c r="AC31" s="10">
        <f t="shared" si="19"/>
        <v>0.22757840697112661</v>
      </c>
      <c r="AD31" s="10">
        <f t="shared" si="20"/>
        <v>0.19741058709445145</v>
      </c>
      <c r="AE31" s="34">
        <f t="shared" si="24"/>
        <v>0.8674398846613659</v>
      </c>
      <c r="AF31">
        <f>AVERAGE(AE26:AE31)</f>
        <v>0.83080399164905405</v>
      </c>
    </row>
    <row r="32" spans="1:58" x14ac:dyDescent="0.25">
      <c r="H32" s="8" t="s">
        <v>39</v>
      </c>
      <c r="I32" s="30">
        <v>0</v>
      </c>
      <c r="J32" s="30">
        <v>0</v>
      </c>
      <c r="K32" s="8">
        <v>0</v>
      </c>
      <c r="L32" s="2">
        <f t="shared" si="25"/>
        <v>0</v>
      </c>
      <c r="M32" s="2">
        <f t="shared" si="26"/>
        <v>0</v>
      </c>
      <c r="N32" s="2"/>
      <c r="O32" s="3">
        <v>6</v>
      </c>
      <c r="P32" s="8">
        <f t="shared" si="11"/>
        <v>0</v>
      </c>
      <c r="Q32" s="2">
        <f>L32*$AB$13</f>
        <v>0</v>
      </c>
      <c r="R32" s="2">
        <f t="shared" si="12"/>
        <v>0</v>
      </c>
      <c r="S32" s="2">
        <f t="shared" si="13"/>
        <v>0</v>
      </c>
      <c r="T32" s="2"/>
      <c r="U32" s="2">
        <f t="shared" si="14"/>
        <v>0</v>
      </c>
      <c r="V32" s="2">
        <f t="shared" si="15"/>
        <v>0</v>
      </c>
      <c r="W32" s="3"/>
      <c r="X32" s="8">
        <f t="shared" si="16"/>
        <v>0</v>
      </c>
      <c r="Y32" s="2">
        <f>M32*$AB$13</f>
        <v>0</v>
      </c>
      <c r="Z32" s="2">
        <f t="shared" si="17"/>
        <v>0</v>
      </c>
      <c r="AA32" s="2">
        <f t="shared" si="18"/>
        <v>0</v>
      </c>
      <c r="AB32" s="2"/>
      <c r="AC32" s="2">
        <f t="shared" si="19"/>
        <v>0</v>
      </c>
      <c r="AD32" s="3">
        <f t="shared" si="20"/>
        <v>0</v>
      </c>
      <c r="AE32" s="33"/>
    </row>
    <row r="33" spans="1:32" x14ac:dyDescent="0.25">
      <c r="H33" s="9" t="s">
        <v>40</v>
      </c>
      <c r="I33" s="12">
        <v>0</v>
      </c>
      <c r="J33" s="10">
        <v>51443</v>
      </c>
      <c r="K33" s="9">
        <v>2.5</v>
      </c>
      <c r="L33" s="10">
        <f t="shared" si="25"/>
        <v>0</v>
      </c>
      <c r="M33" s="10">
        <f t="shared" si="26"/>
        <v>2.0698930692910462E-2</v>
      </c>
      <c r="N33" s="10"/>
      <c r="O33" s="11">
        <v>6</v>
      </c>
      <c r="P33" s="9">
        <f t="shared" si="11"/>
        <v>15</v>
      </c>
      <c r="Q33" s="10">
        <f>L33*$AB$13</f>
        <v>0</v>
      </c>
      <c r="R33" s="10">
        <f t="shared" si="12"/>
        <v>0</v>
      </c>
      <c r="S33" s="10">
        <f t="shared" si="13"/>
        <v>15</v>
      </c>
      <c r="T33" s="10"/>
      <c r="U33" s="10">
        <f t="shared" si="14"/>
        <v>0</v>
      </c>
      <c r="V33" s="10">
        <f t="shared" si="15"/>
        <v>0.75</v>
      </c>
      <c r="W33" s="11"/>
      <c r="X33" s="9">
        <f t="shared" si="16"/>
        <v>15</v>
      </c>
      <c r="Y33" s="10">
        <f>M33*$AB$13</f>
        <v>2.1857375049337215</v>
      </c>
      <c r="Z33" s="10">
        <f t="shared" si="17"/>
        <v>0.20744840195887879</v>
      </c>
      <c r="AA33" s="10">
        <f t="shared" si="18"/>
        <v>12.606814093107399</v>
      </c>
      <c r="AB33" s="10"/>
      <c r="AC33" s="10">
        <f t="shared" si="19"/>
        <v>3.4574733659813131E-2</v>
      </c>
      <c r="AD33" s="11">
        <f t="shared" si="20"/>
        <v>0.63034070465536995</v>
      </c>
      <c r="AE33" s="34">
        <f>AD33/AC33</f>
        <v>18.231252649909113</v>
      </c>
    </row>
    <row r="34" spans="1:32" x14ac:dyDescent="0.25">
      <c r="H34" s="9" t="s">
        <v>41</v>
      </c>
      <c r="I34" s="12">
        <v>0</v>
      </c>
      <c r="J34" s="10">
        <v>57424</v>
      </c>
      <c r="K34" s="9">
        <v>2.5</v>
      </c>
      <c r="L34" s="10">
        <f t="shared" si="25"/>
        <v>0</v>
      </c>
      <c r="M34" s="10">
        <f t="shared" si="26"/>
        <v>2.3105483663660567E-2</v>
      </c>
      <c r="N34" s="10"/>
      <c r="O34" s="11">
        <v>6</v>
      </c>
      <c r="P34" s="9">
        <f t="shared" si="11"/>
        <v>15</v>
      </c>
      <c r="Q34" s="10">
        <f>L34*$AB$13</f>
        <v>0</v>
      </c>
      <c r="R34" s="10">
        <f t="shared" si="12"/>
        <v>0</v>
      </c>
      <c r="S34" s="10">
        <f t="shared" si="13"/>
        <v>15</v>
      </c>
      <c r="T34" s="10"/>
      <c r="U34" s="10">
        <f t="shared" si="14"/>
        <v>0</v>
      </c>
      <c r="V34" s="10">
        <f t="shared" si="15"/>
        <v>0.75</v>
      </c>
      <c r="W34" s="11"/>
      <c r="X34" s="9">
        <f t="shared" si="16"/>
        <v>15</v>
      </c>
      <c r="Y34" s="10">
        <f>M34*$AB$13</f>
        <v>2.4398614093912494</v>
      </c>
      <c r="Z34" s="10">
        <f t="shared" si="17"/>
        <v>0.23156730816800453</v>
      </c>
      <c r="AA34" s="10">
        <f t="shared" si="18"/>
        <v>12.328571282440747</v>
      </c>
      <c r="AB34" s="10"/>
      <c r="AC34" s="10">
        <f t="shared" si="19"/>
        <v>3.8594551361334085E-2</v>
      </c>
      <c r="AD34" s="11">
        <f t="shared" si="20"/>
        <v>0.61642856412203728</v>
      </c>
      <c r="AE34" s="34">
        <f>AD34/AC34</f>
        <v>15.971906457749517</v>
      </c>
    </row>
    <row r="35" spans="1:32" x14ac:dyDescent="0.25">
      <c r="H35" s="4" t="s">
        <v>42</v>
      </c>
      <c r="I35" s="39">
        <v>0</v>
      </c>
      <c r="J35" s="6">
        <v>52605</v>
      </c>
      <c r="K35" s="4">
        <v>2.5</v>
      </c>
      <c r="L35" s="6">
        <f t="shared" si="25"/>
        <v>0</v>
      </c>
      <c r="M35" s="6">
        <f t="shared" si="26"/>
        <v>2.1166480358854555E-2</v>
      </c>
      <c r="N35" s="6"/>
      <c r="O35" s="5">
        <v>6</v>
      </c>
      <c r="P35" s="4">
        <f t="shared" si="11"/>
        <v>15</v>
      </c>
      <c r="Q35" s="6">
        <f>L35*$AB$13</f>
        <v>0</v>
      </c>
      <c r="R35" s="6">
        <f t="shared" si="12"/>
        <v>0</v>
      </c>
      <c r="S35" s="6">
        <f t="shared" si="13"/>
        <v>15</v>
      </c>
      <c r="T35" s="6"/>
      <c r="U35" s="6">
        <f t="shared" si="14"/>
        <v>0</v>
      </c>
      <c r="V35" s="6">
        <f t="shared" si="15"/>
        <v>0.75</v>
      </c>
      <c r="W35" s="5"/>
      <c r="X35" s="4">
        <f t="shared" si="16"/>
        <v>15</v>
      </c>
      <c r="Y35" s="6">
        <f>M35*$AB$13</f>
        <v>2.2351091780619021</v>
      </c>
      <c r="Z35" s="6">
        <f t="shared" si="17"/>
        <v>0.21213426870607893</v>
      </c>
      <c r="AA35" s="6">
        <f t="shared" si="18"/>
        <v>12.552756553232019</v>
      </c>
      <c r="AB35" s="6"/>
      <c r="AC35" s="6">
        <f t="shared" si="19"/>
        <v>3.5355711451013155E-2</v>
      </c>
      <c r="AD35" s="5">
        <f t="shared" si="20"/>
        <v>0.62763782766160092</v>
      </c>
      <c r="AE35" s="35">
        <f>AD35/AC35</f>
        <v>17.752091583030932</v>
      </c>
      <c r="AF35" t="s">
        <v>123</v>
      </c>
    </row>
    <row r="36" spans="1:32" x14ac:dyDescent="0.25">
      <c r="AF36">
        <f>AVERAGE(AE33:AE35)</f>
        <v>17.318416896896519</v>
      </c>
    </row>
    <row r="40" spans="1:32" x14ac:dyDescent="0.25">
      <c r="A40" t="s">
        <v>93</v>
      </c>
      <c r="D40" t="s">
        <v>48</v>
      </c>
      <c r="E40">
        <v>0.754</v>
      </c>
      <c r="AE40" t="s">
        <v>133</v>
      </c>
    </row>
    <row r="41" spans="1:32" x14ac:dyDescent="0.25">
      <c r="A41" t="s">
        <v>21</v>
      </c>
      <c r="AB41" t="s">
        <v>130</v>
      </c>
      <c r="AC41" s="8" t="s">
        <v>131</v>
      </c>
      <c r="AD41" s="3"/>
      <c r="AE41" s="8" t="s">
        <v>132</v>
      </c>
      <c r="AF41" s="3"/>
    </row>
    <row r="42" spans="1:32" x14ac:dyDescent="0.25">
      <c r="A42" t="s">
        <v>0</v>
      </c>
      <c r="AC42" s="9" t="s">
        <v>18</v>
      </c>
      <c r="AD42" s="11" t="s">
        <v>19</v>
      </c>
      <c r="AE42" s="9" t="s">
        <v>18</v>
      </c>
      <c r="AF42" s="11" t="s">
        <v>19</v>
      </c>
    </row>
    <row r="43" spans="1:32" x14ac:dyDescent="0.25">
      <c r="A43" t="s">
        <v>2</v>
      </c>
      <c r="H43" s="13" t="s">
        <v>49</v>
      </c>
      <c r="I43" t="s">
        <v>9</v>
      </c>
      <c r="K43" t="s">
        <v>50</v>
      </c>
      <c r="L43" t="s">
        <v>51</v>
      </c>
      <c r="M43" t="s">
        <v>52</v>
      </c>
      <c r="N43" t="s">
        <v>53</v>
      </c>
      <c r="O43" t="s">
        <v>54</v>
      </c>
      <c r="AB43" t="s">
        <v>126</v>
      </c>
      <c r="AC43" s="9">
        <f>AVERAGE(W26:W31)</f>
        <v>0.85561546226848673</v>
      </c>
      <c r="AD43" s="11">
        <f>AVERAGE(AE26:AE31)</f>
        <v>0.83080399164905405</v>
      </c>
      <c r="AE43" s="9">
        <v>1.5807</v>
      </c>
      <c r="AF43" s="11">
        <f>1.6446</f>
        <v>1.6446000000000001</v>
      </c>
    </row>
    <row r="44" spans="1:32" x14ac:dyDescent="0.25">
      <c r="A44" s="1"/>
      <c r="B44" s="32"/>
      <c r="C44" t="s">
        <v>45</v>
      </c>
      <c r="D44" t="s">
        <v>47</v>
      </c>
      <c r="H44" t="s">
        <v>58</v>
      </c>
      <c r="I44" t="s">
        <v>18</v>
      </c>
      <c r="J44" t="s">
        <v>19</v>
      </c>
      <c r="K44" t="s">
        <v>56</v>
      </c>
      <c r="L44" t="s">
        <v>57</v>
      </c>
      <c r="M44" t="s">
        <v>57</v>
      </c>
      <c r="N44" t="s">
        <v>57</v>
      </c>
      <c r="O44" t="s">
        <v>56</v>
      </c>
      <c r="AB44" t="s">
        <v>127</v>
      </c>
      <c r="AC44" s="38" t="s">
        <v>129</v>
      </c>
      <c r="AD44" s="11">
        <f>AVERAGE(AE33:AE35,AE61:AE63)</f>
        <v>22.560983198569289</v>
      </c>
      <c r="AE44" s="38" t="s">
        <v>129</v>
      </c>
      <c r="AF44" s="11">
        <f>18.441</f>
        <v>18.440999999999999</v>
      </c>
    </row>
    <row r="45" spans="1:32" x14ac:dyDescent="0.25">
      <c r="A45" s="4" t="s">
        <v>10</v>
      </c>
      <c r="B45" s="5" t="s">
        <v>11</v>
      </c>
      <c r="C45" s="4" t="s">
        <v>46</v>
      </c>
      <c r="D45" t="s">
        <v>18</v>
      </c>
      <c r="E45" t="s">
        <v>19</v>
      </c>
      <c r="G45" s="14">
        <v>44393</v>
      </c>
      <c r="H45" t="s">
        <v>94</v>
      </c>
      <c r="I45" s="2">
        <v>0</v>
      </c>
      <c r="J45" s="3">
        <v>0</v>
      </c>
      <c r="K45" s="12">
        <v>0</v>
      </c>
      <c r="L45">
        <f>K45*10</f>
        <v>0</v>
      </c>
      <c r="M45">
        <f t="shared" ref="M45:M52" si="27">(K45*10*10)/($H$1*(10+10))</f>
        <v>0</v>
      </c>
      <c r="N45">
        <f>L45-M45</f>
        <v>0</v>
      </c>
      <c r="O45">
        <f>N45/10</f>
        <v>0</v>
      </c>
      <c r="AB45" t="s">
        <v>128</v>
      </c>
      <c r="AC45" s="4">
        <f>AVERAGE(W66:W72)</f>
        <v>0.27174439952504015</v>
      </c>
      <c r="AD45" s="5">
        <f>AVERAGE(AE66:AE72)</f>
        <v>1.0191049859582442</v>
      </c>
      <c r="AE45" s="4">
        <v>0.89680000000000004</v>
      </c>
      <c r="AF45" s="5">
        <f>0.795</f>
        <v>0.79500000000000004</v>
      </c>
    </row>
    <row r="46" spans="1:32" x14ac:dyDescent="0.25">
      <c r="A46">
        <v>1</v>
      </c>
      <c r="B46" s="11" t="s">
        <v>94</v>
      </c>
      <c r="C46">
        <v>0</v>
      </c>
      <c r="D46" s="2">
        <v>0</v>
      </c>
      <c r="E46" s="3">
        <v>0</v>
      </c>
      <c r="H46" t="s">
        <v>95</v>
      </c>
      <c r="I46" s="10">
        <v>0</v>
      </c>
      <c r="J46" s="11">
        <v>0</v>
      </c>
      <c r="K46">
        <v>0</v>
      </c>
      <c r="L46">
        <f>K46*10</f>
        <v>0</v>
      </c>
      <c r="M46">
        <f t="shared" si="27"/>
        <v>0</v>
      </c>
      <c r="N46">
        <f t="shared" ref="N46:N52" si="28">L46-M46</f>
        <v>0</v>
      </c>
      <c r="O46">
        <f t="shared" ref="O46:O52" si="29">N46/10</f>
        <v>0</v>
      </c>
    </row>
    <row r="47" spans="1:32" x14ac:dyDescent="0.25">
      <c r="A47">
        <v>2</v>
      </c>
      <c r="B47" s="11" t="s">
        <v>95</v>
      </c>
      <c r="C47">
        <v>0</v>
      </c>
      <c r="D47" s="10">
        <v>0</v>
      </c>
      <c r="E47" s="11">
        <v>0</v>
      </c>
      <c r="H47" t="s">
        <v>96</v>
      </c>
      <c r="I47" s="12">
        <v>0</v>
      </c>
      <c r="J47" s="11">
        <v>40054</v>
      </c>
      <c r="K47">
        <v>0.1</v>
      </c>
      <c r="L47">
        <f t="shared" ref="L47:L52" si="30">K47*10</f>
        <v>1</v>
      </c>
      <c r="M47">
        <f t="shared" si="27"/>
        <v>0.83518163746630725</v>
      </c>
      <c r="N47">
        <f t="shared" si="28"/>
        <v>0.16481836253369275</v>
      </c>
      <c r="O47">
        <f t="shared" si="29"/>
        <v>1.6481836253369277E-2</v>
      </c>
    </row>
    <row r="48" spans="1:32" x14ac:dyDescent="0.25">
      <c r="A48">
        <v>3</v>
      </c>
      <c r="B48" s="11" t="s">
        <v>96</v>
      </c>
      <c r="C48">
        <v>0.1</v>
      </c>
      <c r="D48" s="12">
        <v>0</v>
      </c>
      <c r="E48" s="11">
        <v>40054</v>
      </c>
      <c r="H48" t="s">
        <v>97</v>
      </c>
      <c r="I48" s="12">
        <v>0</v>
      </c>
      <c r="J48" s="11">
        <v>47478</v>
      </c>
      <c r="K48">
        <v>0.1</v>
      </c>
      <c r="L48">
        <f t="shared" si="30"/>
        <v>1</v>
      </c>
      <c r="M48">
        <f t="shared" si="27"/>
        <v>0.83518163746630725</v>
      </c>
      <c r="N48">
        <f t="shared" si="28"/>
        <v>0.16481836253369275</v>
      </c>
      <c r="O48">
        <f t="shared" si="29"/>
        <v>1.6481836253369277E-2</v>
      </c>
    </row>
    <row r="49" spans="1:32" x14ac:dyDescent="0.25">
      <c r="A49">
        <v>4</v>
      </c>
      <c r="B49" s="11" t="s">
        <v>97</v>
      </c>
      <c r="C49">
        <v>0.1</v>
      </c>
      <c r="D49" s="12">
        <v>0</v>
      </c>
      <c r="E49" s="11">
        <v>47478</v>
      </c>
      <c r="H49" t="s">
        <v>98</v>
      </c>
      <c r="I49" s="10">
        <v>245292</v>
      </c>
      <c r="J49" s="11">
        <v>250729</v>
      </c>
      <c r="K49">
        <v>0.5</v>
      </c>
      <c r="L49">
        <f t="shared" si="30"/>
        <v>5</v>
      </c>
      <c r="M49">
        <f t="shared" si="27"/>
        <v>4.1759081873315358</v>
      </c>
      <c r="N49">
        <f t="shared" si="28"/>
        <v>0.82409181266846421</v>
      </c>
      <c r="O49">
        <f t="shared" si="29"/>
        <v>8.2409181266846418E-2</v>
      </c>
      <c r="AF49">
        <f>AVERAGE(AF36,AF61)</f>
        <v>17.996241775545876</v>
      </c>
    </row>
    <row r="50" spans="1:32" x14ac:dyDescent="0.25">
      <c r="A50">
        <v>5</v>
      </c>
      <c r="B50" s="11" t="s">
        <v>98</v>
      </c>
      <c r="C50">
        <v>0.5</v>
      </c>
      <c r="D50" s="10">
        <v>245292</v>
      </c>
      <c r="E50" s="11">
        <v>250729</v>
      </c>
      <c r="H50" t="s">
        <v>99</v>
      </c>
      <c r="I50" s="10">
        <v>274487</v>
      </c>
      <c r="J50" s="11">
        <v>278296</v>
      </c>
      <c r="K50">
        <v>0.5</v>
      </c>
      <c r="L50">
        <f t="shared" si="30"/>
        <v>5</v>
      </c>
      <c r="M50">
        <f t="shared" si="27"/>
        <v>4.1759081873315358</v>
      </c>
      <c r="N50">
        <f t="shared" si="28"/>
        <v>0.82409181266846421</v>
      </c>
      <c r="O50">
        <f t="shared" si="29"/>
        <v>8.2409181266846418E-2</v>
      </c>
    </row>
    <row r="51" spans="1:32" x14ac:dyDescent="0.25">
      <c r="A51">
        <v>6</v>
      </c>
      <c r="B51" s="11" t="s">
        <v>99</v>
      </c>
      <c r="C51">
        <v>0.5</v>
      </c>
      <c r="D51" s="10">
        <v>274487</v>
      </c>
      <c r="E51" s="11">
        <v>278296</v>
      </c>
      <c r="H51" t="s">
        <v>100</v>
      </c>
      <c r="I51" s="10">
        <v>562767</v>
      </c>
      <c r="J51" s="11">
        <v>563189</v>
      </c>
      <c r="K51">
        <v>1</v>
      </c>
      <c r="L51">
        <f t="shared" si="30"/>
        <v>10</v>
      </c>
      <c r="M51">
        <f t="shared" si="27"/>
        <v>8.3518163746630716</v>
      </c>
      <c r="N51">
        <f t="shared" si="28"/>
        <v>1.6481836253369284</v>
      </c>
      <c r="O51">
        <f t="shared" si="29"/>
        <v>0.16481836253369284</v>
      </c>
    </row>
    <row r="52" spans="1:32" x14ac:dyDescent="0.25">
      <c r="A52">
        <v>7</v>
      </c>
      <c r="B52" s="11" t="s">
        <v>100</v>
      </c>
      <c r="C52">
        <v>1</v>
      </c>
      <c r="D52" s="10">
        <v>562767</v>
      </c>
      <c r="E52" s="11">
        <v>563189</v>
      </c>
      <c r="H52" t="s">
        <v>101</v>
      </c>
      <c r="I52" s="10">
        <v>635811</v>
      </c>
      <c r="J52" s="11">
        <v>638327</v>
      </c>
      <c r="K52">
        <v>1</v>
      </c>
      <c r="L52">
        <f t="shared" si="30"/>
        <v>10</v>
      </c>
      <c r="M52">
        <f t="shared" si="27"/>
        <v>8.3518163746630716</v>
      </c>
      <c r="N52">
        <f t="shared" si="28"/>
        <v>1.6481836253369284</v>
      </c>
      <c r="O52">
        <f t="shared" si="29"/>
        <v>0.16481836253369284</v>
      </c>
    </row>
    <row r="53" spans="1:32" x14ac:dyDescent="0.25">
      <c r="A53">
        <v>8</v>
      </c>
      <c r="B53" s="11" t="s">
        <v>101</v>
      </c>
      <c r="C53">
        <v>1</v>
      </c>
      <c r="D53" s="10">
        <v>635811</v>
      </c>
      <c r="E53" s="11">
        <v>638327</v>
      </c>
      <c r="I53" s="10"/>
      <c r="J53" s="11"/>
    </row>
    <row r="54" spans="1:32" x14ac:dyDescent="0.25">
      <c r="A54">
        <v>9</v>
      </c>
      <c r="B54" s="11" t="s">
        <v>102</v>
      </c>
      <c r="C54">
        <v>0</v>
      </c>
      <c r="D54" s="12">
        <v>0</v>
      </c>
      <c r="E54" s="11">
        <v>0</v>
      </c>
    </row>
    <row r="55" spans="1:32" x14ac:dyDescent="0.25">
      <c r="A55">
        <v>10</v>
      </c>
      <c r="B55" s="11" t="s">
        <v>103</v>
      </c>
      <c r="D55" s="12">
        <v>0</v>
      </c>
      <c r="E55" s="11">
        <v>0</v>
      </c>
    </row>
    <row r="56" spans="1:32" x14ac:dyDescent="0.25">
      <c r="A56">
        <v>11</v>
      </c>
      <c r="B56" s="11" t="s">
        <v>104</v>
      </c>
      <c r="D56" s="12">
        <v>0</v>
      </c>
      <c r="E56" s="11">
        <v>67077</v>
      </c>
      <c r="J56" s="37" t="s">
        <v>125</v>
      </c>
      <c r="L56" t="s">
        <v>77</v>
      </c>
      <c r="P56" s="8" t="s">
        <v>81</v>
      </c>
      <c r="Q56" s="2"/>
      <c r="R56" s="2"/>
      <c r="S56" s="2"/>
      <c r="T56" s="2"/>
      <c r="U56" s="2"/>
      <c r="V56" s="2"/>
      <c r="W56" s="33"/>
    </row>
    <row r="57" spans="1:32" x14ac:dyDescent="0.25">
      <c r="A57">
        <v>12</v>
      </c>
      <c r="B57" s="11" t="s">
        <v>105</v>
      </c>
      <c r="D57" s="12">
        <v>0</v>
      </c>
      <c r="E57" s="11">
        <v>77765</v>
      </c>
      <c r="J57" s="37" t="s">
        <v>124</v>
      </c>
      <c r="L57" t="s">
        <v>79</v>
      </c>
      <c r="P57" s="9" t="s">
        <v>79</v>
      </c>
      <c r="Q57" s="42" t="s">
        <v>165</v>
      </c>
      <c r="R57" s="10"/>
      <c r="S57" s="10"/>
      <c r="T57" s="10"/>
      <c r="U57" s="10" t="s">
        <v>92</v>
      </c>
      <c r="V57" s="10"/>
      <c r="W57" s="34"/>
      <c r="Y57" s="42" t="s">
        <v>165</v>
      </c>
    </row>
    <row r="58" spans="1:32" x14ac:dyDescent="0.25">
      <c r="A58">
        <v>13</v>
      </c>
      <c r="B58" s="11" t="s">
        <v>106</v>
      </c>
      <c r="D58" s="12">
        <v>0</v>
      </c>
      <c r="E58" s="11">
        <v>32193</v>
      </c>
      <c r="H58" s="13" t="s">
        <v>76</v>
      </c>
      <c r="I58" t="s">
        <v>9</v>
      </c>
      <c r="K58" t="s">
        <v>78</v>
      </c>
      <c r="L58" t="s">
        <v>80</v>
      </c>
      <c r="O58" t="s">
        <v>86</v>
      </c>
      <c r="P58" s="9" t="s">
        <v>18</v>
      </c>
      <c r="Q58" s="12"/>
      <c r="R58" s="10"/>
      <c r="S58" s="10"/>
      <c r="T58" s="10"/>
      <c r="U58" s="10"/>
      <c r="V58" s="10"/>
      <c r="W58" s="34" t="s">
        <v>90</v>
      </c>
      <c r="X58" s="10" t="s">
        <v>19</v>
      </c>
      <c r="Y58" s="12"/>
      <c r="Z58" s="10"/>
      <c r="AA58" s="10"/>
      <c r="AB58" s="10"/>
      <c r="AC58" s="10"/>
      <c r="AD58" s="10"/>
      <c r="AE58" s="11" t="s">
        <v>90</v>
      </c>
    </row>
    <row r="59" spans="1:32" x14ac:dyDescent="0.25">
      <c r="A59">
        <v>14</v>
      </c>
      <c r="B59" s="11" t="s">
        <v>107</v>
      </c>
      <c r="D59" s="12">
        <v>0</v>
      </c>
      <c r="E59" s="11">
        <v>69765</v>
      </c>
      <c r="H59" t="s">
        <v>55</v>
      </c>
      <c r="I59" t="s">
        <v>18</v>
      </c>
      <c r="J59" t="s">
        <v>19</v>
      </c>
      <c r="K59" t="s">
        <v>56</v>
      </c>
      <c r="L59" t="s">
        <v>18</v>
      </c>
      <c r="M59" t="s">
        <v>19</v>
      </c>
      <c r="O59" t="s">
        <v>87</v>
      </c>
      <c r="P59" s="9" t="s">
        <v>82</v>
      </c>
      <c r="Q59" s="10" t="s">
        <v>83</v>
      </c>
      <c r="R59" s="10" t="s">
        <v>84</v>
      </c>
      <c r="S59" s="10" t="s">
        <v>85</v>
      </c>
      <c r="T59" s="10"/>
      <c r="U59" s="10" t="s">
        <v>88</v>
      </c>
      <c r="V59" s="10" t="s">
        <v>89</v>
      </c>
      <c r="W59" s="34" t="s">
        <v>91</v>
      </c>
      <c r="X59" s="10" t="s">
        <v>82</v>
      </c>
      <c r="Y59" s="10" t="s">
        <v>83</v>
      </c>
      <c r="Z59" s="10" t="s">
        <v>84</v>
      </c>
      <c r="AA59" s="10" t="s">
        <v>85</v>
      </c>
      <c r="AB59" s="10"/>
      <c r="AC59" s="10" t="s">
        <v>88</v>
      </c>
      <c r="AD59" s="10" t="s">
        <v>89</v>
      </c>
      <c r="AE59" s="11" t="s">
        <v>91</v>
      </c>
    </row>
    <row r="60" spans="1:32" x14ac:dyDescent="0.25">
      <c r="A60">
        <v>15</v>
      </c>
      <c r="B60" s="11" t="s">
        <v>119</v>
      </c>
      <c r="D60" s="12">
        <v>0</v>
      </c>
      <c r="E60" s="11">
        <v>66729</v>
      </c>
      <c r="H60" s="11" t="s">
        <v>103</v>
      </c>
      <c r="I60" s="12">
        <v>0</v>
      </c>
      <c r="J60" s="11">
        <v>0</v>
      </c>
      <c r="K60">
        <v>0</v>
      </c>
      <c r="L60">
        <f>I60/3511483.402</f>
        <v>0</v>
      </c>
      <c r="M60">
        <f t="shared" ref="M60:M72" si="31">J60/3550762.332</f>
        <v>0</v>
      </c>
      <c r="O60">
        <v>6</v>
      </c>
      <c r="P60" s="8">
        <f>K60*O60</f>
        <v>0</v>
      </c>
      <c r="Q60" s="2">
        <f>L60*$AB$13</f>
        <v>0</v>
      </c>
      <c r="R60" s="2">
        <f t="shared" ref="R60:R72" si="32">(L60/$H$1)*O60</f>
        <v>0</v>
      </c>
      <c r="S60" s="2">
        <f>P60-(Q60+R60)</f>
        <v>0</v>
      </c>
      <c r="T60" s="2"/>
      <c r="U60" s="2">
        <f>R60/O60</f>
        <v>0</v>
      </c>
      <c r="V60" s="3">
        <f>S60/20</f>
        <v>0</v>
      </c>
      <c r="W60" s="33"/>
      <c r="X60" s="2">
        <f>K60*O60</f>
        <v>0</v>
      </c>
      <c r="Y60" s="2">
        <f>M60*$AB$13</f>
        <v>0</v>
      </c>
      <c r="Z60" s="2">
        <f t="shared" ref="Z60:Z72" si="33">(M60/$H$1)*O60</f>
        <v>0</v>
      </c>
      <c r="AA60" s="2">
        <f>X60-(Y60+Z60)</f>
        <v>0</v>
      </c>
      <c r="AB60" s="2"/>
      <c r="AC60" s="2">
        <f>Z60/O60</f>
        <v>0</v>
      </c>
      <c r="AD60" s="2">
        <f>AA60/20</f>
        <v>0</v>
      </c>
      <c r="AE60" s="33"/>
      <c r="AF60" t="s">
        <v>123</v>
      </c>
    </row>
    <row r="61" spans="1:32" x14ac:dyDescent="0.25">
      <c r="A61">
        <v>16</v>
      </c>
      <c r="B61" s="11" t="s">
        <v>108</v>
      </c>
      <c r="D61" s="10">
        <v>464051</v>
      </c>
      <c r="E61" s="11">
        <v>467353</v>
      </c>
      <c r="H61" s="11" t="s">
        <v>104</v>
      </c>
      <c r="I61" s="12">
        <v>0</v>
      </c>
      <c r="J61" s="11">
        <v>67077</v>
      </c>
      <c r="K61">
        <v>2.5</v>
      </c>
      <c r="L61">
        <f t="shared" ref="L61:L72" si="34">I61/3511483.402</f>
        <v>0</v>
      </c>
      <c r="M61">
        <f t="shared" si="31"/>
        <v>1.8890872924806054E-2</v>
      </c>
      <c r="O61">
        <v>6</v>
      </c>
      <c r="P61" s="9">
        <f t="shared" ref="P61:P72" si="35">K61*O61</f>
        <v>15</v>
      </c>
      <c r="Q61" s="10">
        <f>L61*$AB$13</f>
        <v>0</v>
      </c>
      <c r="R61" s="10">
        <f t="shared" si="32"/>
        <v>0</v>
      </c>
      <c r="S61" s="10">
        <f t="shared" ref="S61:S72" si="36">P61-(Q61+R61)</f>
        <v>15</v>
      </c>
      <c r="T61" s="10"/>
      <c r="U61" s="10">
        <f t="shared" ref="U61:U72" si="37">R61/O61</f>
        <v>0</v>
      </c>
      <c r="V61" s="11">
        <f t="shared" ref="V61:V72" si="38">S61/20</f>
        <v>0.75</v>
      </c>
      <c r="W61" s="34"/>
      <c r="X61" s="10">
        <f t="shared" ref="X61:X72" si="39">K61*O61</f>
        <v>15</v>
      </c>
      <c r="Y61" s="10">
        <f>M61*$AB$13</f>
        <v>1.9948126821269989</v>
      </c>
      <c r="Z61" s="10">
        <f t="shared" si="33"/>
        <v>0.18932772219008939</v>
      </c>
      <c r="AA61" s="10">
        <f t="shared" ref="AA61:AA72" si="40">X61-(Y61+Z61)</f>
        <v>12.815859595682912</v>
      </c>
      <c r="AB61" s="10"/>
      <c r="AC61" s="10">
        <f t="shared" ref="AC61:AC72" si="41">Z61/O61</f>
        <v>3.1554620365014899E-2</v>
      </c>
      <c r="AD61" s="10">
        <f t="shared" ref="AD61:AD72" si="42">AA61/20</f>
        <v>0.64079297978414562</v>
      </c>
      <c r="AE61" s="34">
        <f>AD61/AC61</f>
        <v>20.307421619136409</v>
      </c>
      <c r="AF61">
        <f>AVERAGE(AE61:AE62)</f>
        <v>18.674066654195236</v>
      </c>
    </row>
    <row r="62" spans="1:32" x14ac:dyDescent="0.25">
      <c r="A62">
        <v>17</v>
      </c>
      <c r="B62" s="11" t="s">
        <v>109</v>
      </c>
      <c r="D62" s="10">
        <v>476415</v>
      </c>
      <c r="E62" s="11">
        <v>479265</v>
      </c>
      <c r="H62" s="11" t="s">
        <v>105</v>
      </c>
      <c r="I62" s="12">
        <v>0</v>
      </c>
      <c r="J62" s="11">
        <v>77765</v>
      </c>
      <c r="K62">
        <v>2.5</v>
      </c>
      <c r="L62">
        <f t="shared" si="34"/>
        <v>0</v>
      </c>
      <c r="M62">
        <f t="shared" si="31"/>
        <v>2.1900930766097809E-2</v>
      </c>
      <c r="O62">
        <v>6</v>
      </c>
      <c r="P62" s="9">
        <f t="shared" si="35"/>
        <v>15</v>
      </c>
      <c r="Q62" s="10">
        <f>L62*$AB$13</f>
        <v>0</v>
      </c>
      <c r="R62" s="10">
        <f t="shared" si="32"/>
        <v>0</v>
      </c>
      <c r="S62" s="10">
        <f t="shared" si="36"/>
        <v>15</v>
      </c>
      <c r="T62" s="10"/>
      <c r="U62" s="10">
        <f t="shared" si="37"/>
        <v>0</v>
      </c>
      <c r="V62" s="11">
        <f t="shared" si="38"/>
        <v>0.75</v>
      </c>
      <c r="W62" s="34"/>
      <c r="X62" s="10">
        <f t="shared" si="39"/>
        <v>15</v>
      </c>
      <c r="Y62" s="10">
        <f>M62*$AB$13</f>
        <v>2.312664672325925</v>
      </c>
      <c r="Z62" s="10">
        <f t="shared" si="33"/>
        <v>0.21949506263118956</v>
      </c>
      <c r="AA62" s="10">
        <f t="shared" si="40"/>
        <v>12.467840265042884</v>
      </c>
      <c r="AB62" s="10"/>
      <c r="AC62" s="10">
        <f t="shared" si="41"/>
        <v>3.6582510438531592E-2</v>
      </c>
      <c r="AD62" s="10">
        <f t="shared" si="42"/>
        <v>0.62339201325214422</v>
      </c>
      <c r="AE62" s="34">
        <f t="shared" ref="AE62:AE72" si="43">AD62/AC62</f>
        <v>17.040711689254067</v>
      </c>
    </row>
    <row r="63" spans="1:32" x14ac:dyDescent="0.25">
      <c r="A63">
        <v>18</v>
      </c>
      <c r="B63" s="11" t="s">
        <v>114</v>
      </c>
      <c r="C63">
        <v>0</v>
      </c>
      <c r="D63" s="12">
        <v>0</v>
      </c>
      <c r="E63" s="11">
        <v>0</v>
      </c>
      <c r="H63" s="11" t="s">
        <v>106</v>
      </c>
      <c r="I63" s="12">
        <v>0</v>
      </c>
      <c r="J63" s="11">
        <v>32193</v>
      </c>
      <c r="K63">
        <v>2.5</v>
      </c>
      <c r="L63">
        <f t="shared" si="34"/>
        <v>0</v>
      </c>
      <c r="M63">
        <f t="shared" si="31"/>
        <v>9.0665037504402586E-3</v>
      </c>
      <c r="O63">
        <v>6</v>
      </c>
      <c r="P63" s="4">
        <f t="shared" si="35"/>
        <v>15</v>
      </c>
      <c r="Q63" s="6">
        <f>L63*$AB$13</f>
        <v>0</v>
      </c>
      <c r="R63" s="6">
        <f t="shared" si="32"/>
        <v>0</v>
      </c>
      <c r="S63" s="6">
        <f t="shared" si="36"/>
        <v>15</v>
      </c>
      <c r="T63" s="6"/>
      <c r="U63" s="6">
        <f t="shared" si="37"/>
        <v>0</v>
      </c>
      <c r="V63" s="5">
        <f t="shared" si="38"/>
        <v>0.75</v>
      </c>
      <c r="W63" s="34"/>
      <c r="X63" s="10">
        <f t="shared" si="39"/>
        <v>15</v>
      </c>
      <c r="Y63" s="10">
        <f>M63*$AB$13</f>
        <v>0.95739232040363265</v>
      </c>
      <c r="Z63" s="10">
        <f t="shared" si="33"/>
        <v>9.0866129380645325E-2</v>
      </c>
      <c r="AA63" s="10">
        <f t="shared" si="40"/>
        <v>13.951741550215722</v>
      </c>
      <c r="AB63" s="10"/>
      <c r="AC63" s="10">
        <f t="shared" si="41"/>
        <v>1.5144354896774221E-2</v>
      </c>
      <c r="AD63" s="10">
        <f t="shared" si="42"/>
        <v>0.69758707751078608</v>
      </c>
      <c r="AE63" s="35">
        <f t="shared" si="43"/>
        <v>46.062515192335695</v>
      </c>
    </row>
    <row r="64" spans="1:32" x14ac:dyDescent="0.25">
      <c r="A64">
        <v>19</v>
      </c>
      <c r="B64" s="11" t="s">
        <v>110</v>
      </c>
      <c r="D64" s="10">
        <v>429428</v>
      </c>
      <c r="E64" s="11">
        <v>430853</v>
      </c>
      <c r="H64" s="33" t="s">
        <v>107</v>
      </c>
      <c r="I64" s="40">
        <v>0</v>
      </c>
      <c r="J64" s="3">
        <v>69765</v>
      </c>
      <c r="K64" s="8">
        <v>0</v>
      </c>
      <c r="L64" s="2">
        <f t="shared" si="34"/>
        <v>0</v>
      </c>
      <c r="M64" s="2">
        <f t="shared" si="31"/>
        <v>1.9647893459741703E-2</v>
      </c>
      <c r="N64" s="2"/>
      <c r="O64" s="3">
        <v>6</v>
      </c>
      <c r="P64" s="8">
        <f t="shared" si="35"/>
        <v>0</v>
      </c>
      <c r="Q64" s="2">
        <f>L64*$AC$13</f>
        <v>0</v>
      </c>
      <c r="R64" s="2">
        <f t="shared" si="32"/>
        <v>0</v>
      </c>
      <c r="S64" s="2">
        <f t="shared" si="36"/>
        <v>0</v>
      </c>
      <c r="T64" s="2"/>
      <c r="U64" s="2">
        <f t="shared" si="37"/>
        <v>0</v>
      </c>
      <c r="V64" s="3">
        <f t="shared" si="38"/>
        <v>0</v>
      </c>
      <c r="W64" s="33"/>
      <c r="X64" s="8">
        <f t="shared" si="39"/>
        <v>0</v>
      </c>
      <c r="Y64" s="2">
        <f>M64*$AC$13</f>
        <v>2.0915738660351448</v>
      </c>
      <c r="Z64" s="2">
        <f t="shared" si="33"/>
        <v>0.19691471798964749</v>
      </c>
      <c r="AA64" s="2">
        <f t="shared" si="40"/>
        <v>-2.2884885840247922</v>
      </c>
      <c r="AB64" s="2"/>
      <c r="AC64" s="2">
        <v>0</v>
      </c>
      <c r="AD64" s="3">
        <v>0</v>
      </c>
      <c r="AE64" s="33"/>
    </row>
    <row r="65" spans="1:32" x14ac:dyDescent="0.25">
      <c r="A65">
        <v>20</v>
      </c>
      <c r="B65" s="11" t="s">
        <v>111</v>
      </c>
      <c r="D65" s="10">
        <v>507573</v>
      </c>
      <c r="E65" s="11">
        <v>510648</v>
      </c>
      <c r="H65" s="34" t="s">
        <v>119</v>
      </c>
      <c r="I65" s="28">
        <v>0</v>
      </c>
      <c r="J65" s="11">
        <v>66729</v>
      </c>
      <c r="K65" s="9">
        <v>0</v>
      </c>
      <c r="L65" s="10">
        <f t="shared" si="34"/>
        <v>0</v>
      </c>
      <c r="M65" s="10">
        <f t="shared" si="31"/>
        <v>1.8792865801979561E-2</v>
      </c>
      <c r="N65" s="10"/>
      <c r="O65" s="29">
        <v>6</v>
      </c>
      <c r="P65" s="9">
        <f t="shared" si="35"/>
        <v>0</v>
      </c>
      <c r="Q65" s="10">
        <f t="shared" ref="Q65:Q72" si="44">L65*$AC$13</f>
        <v>0</v>
      </c>
      <c r="R65" s="10">
        <f t="shared" si="32"/>
        <v>0</v>
      </c>
      <c r="S65" s="10">
        <f t="shared" si="36"/>
        <v>0</v>
      </c>
      <c r="T65" s="10"/>
      <c r="U65" s="10">
        <f t="shared" si="37"/>
        <v>0</v>
      </c>
      <c r="V65" s="11">
        <f t="shared" si="38"/>
        <v>0</v>
      </c>
      <c r="W65" s="34"/>
      <c r="X65" s="9">
        <f t="shared" si="39"/>
        <v>0</v>
      </c>
      <c r="Y65" s="10">
        <f t="shared" ref="Y65:Y72" si="45">M65*$AC$13</f>
        <v>2.0005537519767675</v>
      </c>
      <c r="Z65" s="10">
        <f t="shared" si="33"/>
        <v>0.18834547719818229</v>
      </c>
      <c r="AA65" s="10">
        <f t="shared" si="40"/>
        <v>-2.1888992291749498</v>
      </c>
      <c r="AB65" s="10"/>
      <c r="AC65" s="10">
        <v>0</v>
      </c>
      <c r="AD65" s="11">
        <v>0</v>
      </c>
      <c r="AE65" s="34"/>
    </row>
    <row r="66" spans="1:32" x14ac:dyDescent="0.25">
      <c r="A66">
        <v>21</v>
      </c>
      <c r="B66" s="11" t="s">
        <v>112</v>
      </c>
      <c r="D66" s="10">
        <v>419243</v>
      </c>
      <c r="E66" s="11">
        <v>421836</v>
      </c>
      <c r="H66" s="34" t="s">
        <v>108</v>
      </c>
      <c r="I66" s="9">
        <v>464051</v>
      </c>
      <c r="J66" s="11">
        <f>467353-AVERAGE(J64:J65)</f>
        <v>399106</v>
      </c>
      <c r="K66" s="9">
        <v>2.5</v>
      </c>
      <c r="L66" s="10">
        <f t="shared" si="34"/>
        <v>0.13215241163768429</v>
      </c>
      <c r="M66" s="10">
        <f t="shared" si="31"/>
        <v>0.11240008839881993</v>
      </c>
      <c r="N66" s="10"/>
      <c r="O66" s="29">
        <v>6</v>
      </c>
      <c r="P66" s="9">
        <f t="shared" si="35"/>
        <v>15</v>
      </c>
      <c r="Q66" s="10">
        <f t="shared" si="44"/>
        <v>14.067998235090844</v>
      </c>
      <c r="R66" s="10">
        <f t="shared" si="32"/>
        <v>1.3244552105601917</v>
      </c>
      <c r="S66" s="10">
        <f t="shared" si="36"/>
        <v>-0.39245344565103579</v>
      </c>
      <c r="T66" s="10"/>
      <c r="U66" s="10">
        <f t="shared" si="37"/>
        <v>0.22074253509336528</v>
      </c>
      <c r="V66" s="11">
        <f t="shared" si="38"/>
        <v>-1.9622672282551788E-2</v>
      </c>
      <c r="W66" s="34">
        <f t="shared" ref="W66:W72" si="46">V66/U66</f>
        <v>-8.8893933714461429E-2</v>
      </c>
      <c r="X66" s="9">
        <f t="shared" si="39"/>
        <v>15</v>
      </c>
      <c r="Y66" s="10">
        <f t="shared" si="45"/>
        <v>11.965307523512115</v>
      </c>
      <c r="Z66" s="10">
        <f t="shared" si="33"/>
        <v>1.1264938785634093</v>
      </c>
      <c r="AA66" s="10">
        <f t="shared" si="40"/>
        <v>1.9081985979244767</v>
      </c>
      <c r="AB66" s="10"/>
      <c r="AC66" s="10">
        <f t="shared" si="41"/>
        <v>0.18774897976056823</v>
      </c>
      <c r="AD66" s="11">
        <f t="shared" si="42"/>
        <v>9.5409929896223836E-2</v>
      </c>
      <c r="AE66" s="34">
        <f t="shared" si="43"/>
        <v>0.50817815371299402</v>
      </c>
    </row>
    <row r="67" spans="1:32" x14ac:dyDescent="0.25">
      <c r="A67">
        <v>22</v>
      </c>
      <c r="B67" s="11" t="s">
        <v>113</v>
      </c>
      <c r="D67">
        <v>414545</v>
      </c>
      <c r="E67" s="11">
        <v>415628</v>
      </c>
      <c r="H67" s="34" t="s">
        <v>109</v>
      </c>
      <c r="I67" s="9">
        <v>476415</v>
      </c>
      <c r="J67" s="11">
        <f>479265-AVERAGE(J64:J65)</f>
        <v>411018</v>
      </c>
      <c r="K67" s="9">
        <v>2.5</v>
      </c>
      <c r="L67" s="10">
        <f t="shared" si="34"/>
        <v>0.13567343070129653</v>
      </c>
      <c r="M67" s="10">
        <f t="shared" si="31"/>
        <v>0.11575486094798418</v>
      </c>
      <c r="N67" s="10"/>
      <c r="O67" s="29">
        <v>6</v>
      </c>
      <c r="P67" s="9">
        <f t="shared" si="35"/>
        <v>15</v>
      </c>
      <c r="Q67" s="10">
        <f t="shared" si="44"/>
        <v>14.442820679560661</v>
      </c>
      <c r="R67" s="10">
        <f t="shared" si="32"/>
        <v>1.3597434961653647</v>
      </c>
      <c r="S67" s="10">
        <f t="shared" si="36"/>
        <v>-0.80256417572602601</v>
      </c>
      <c r="T67" s="10"/>
      <c r="U67" s="10">
        <f t="shared" si="37"/>
        <v>0.2266239160275608</v>
      </c>
      <c r="V67" s="11">
        <f t="shared" si="38"/>
        <v>-4.01282087863013E-2</v>
      </c>
      <c r="W67" s="34">
        <f t="shared" si="46"/>
        <v>-0.17706961158248241</v>
      </c>
      <c r="X67" s="9">
        <f t="shared" si="39"/>
        <v>15</v>
      </c>
      <c r="Y67" s="10">
        <f t="shared" si="45"/>
        <v>12.322432556009938</v>
      </c>
      <c r="Z67" s="10">
        <f t="shared" si="33"/>
        <v>1.1601160117346654</v>
      </c>
      <c r="AA67" s="10">
        <f t="shared" si="40"/>
        <v>1.5174514322553971</v>
      </c>
      <c r="AB67" s="10"/>
      <c r="AC67" s="10">
        <f t="shared" si="41"/>
        <v>0.19335266862244424</v>
      </c>
      <c r="AD67" s="11">
        <f t="shared" si="42"/>
        <v>7.5872571612769862E-2</v>
      </c>
      <c r="AE67" s="34">
        <f>AD67/AC67</f>
        <v>0.39240509144936947</v>
      </c>
    </row>
    <row r="68" spans="1:32" x14ac:dyDescent="0.25">
      <c r="A68">
        <v>23</v>
      </c>
      <c r="B68" s="11" t="s">
        <v>122</v>
      </c>
      <c r="D68">
        <v>299817</v>
      </c>
      <c r="E68" s="11">
        <v>311032</v>
      </c>
      <c r="H68" s="34" t="s">
        <v>110</v>
      </c>
      <c r="I68" s="9">
        <v>429428</v>
      </c>
      <c r="J68" s="11">
        <f>430853-AVERAGE(J64:J65)</f>
        <v>362606</v>
      </c>
      <c r="K68" s="9">
        <v>2.5</v>
      </c>
      <c r="L68" s="10">
        <f t="shared" si="34"/>
        <v>0.1222924760958332</v>
      </c>
      <c r="M68" s="10">
        <f t="shared" si="31"/>
        <v>0.1021206056885702</v>
      </c>
      <c r="N68" s="10"/>
      <c r="O68" s="29">
        <v>6</v>
      </c>
      <c r="P68" s="9">
        <f t="shared" si="35"/>
        <v>15</v>
      </c>
      <c r="Q68" s="10">
        <f t="shared" si="44"/>
        <v>13.018380191182848</v>
      </c>
      <c r="R68" s="10">
        <f t="shared" si="32"/>
        <v>1.2256371652263263</v>
      </c>
      <c r="S68" s="10">
        <f t="shared" si="36"/>
        <v>0.75598264359082634</v>
      </c>
      <c r="T68" s="10"/>
      <c r="U68" s="10">
        <f t="shared" si="37"/>
        <v>0.20427286087105437</v>
      </c>
      <c r="V68" s="11">
        <f t="shared" si="38"/>
        <v>3.7799132179541318E-2</v>
      </c>
      <c r="W68" s="34">
        <f t="shared" si="46"/>
        <v>0.18504235960841475</v>
      </c>
      <c r="X68" s="9">
        <f t="shared" si="39"/>
        <v>15</v>
      </c>
      <c r="Y68" s="10">
        <f t="shared" si="45"/>
        <v>10.871027496130436</v>
      </c>
      <c r="Z68" s="10">
        <f t="shared" si="33"/>
        <v>1.0234710561363738</v>
      </c>
      <c r="AA68" s="10">
        <f t="shared" si="40"/>
        <v>3.1055014477331895</v>
      </c>
      <c r="AB68" s="10"/>
      <c r="AC68" s="10">
        <f t="shared" si="41"/>
        <v>0.17057850935606231</v>
      </c>
      <c r="AD68" s="11">
        <f t="shared" si="42"/>
        <v>0.15527507238665947</v>
      </c>
      <c r="AE68" s="34">
        <f t="shared" si="43"/>
        <v>0.91028508205884984</v>
      </c>
    </row>
    <row r="69" spans="1:32" x14ac:dyDescent="0.25">
      <c r="H69" s="34" t="s">
        <v>111</v>
      </c>
      <c r="I69" s="9">
        <v>507573</v>
      </c>
      <c r="J69" s="11">
        <f>510648-AVERAGE(J64:J65)</f>
        <v>442401</v>
      </c>
      <c r="K69" s="9">
        <v>2.5</v>
      </c>
      <c r="L69" s="10">
        <f t="shared" si="34"/>
        <v>0.14454660378314954</v>
      </c>
      <c r="M69" s="10">
        <f t="shared" si="31"/>
        <v>0.12459324467115587</v>
      </c>
      <c r="N69" s="10"/>
      <c r="O69" s="29">
        <v>6</v>
      </c>
      <c r="P69" s="9">
        <f t="shared" si="35"/>
        <v>15</v>
      </c>
      <c r="Q69" s="10">
        <f t="shared" si="44"/>
        <v>15.387395066877918</v>
      </c>
      <c r="R69" s="10">
        <f t="shared" si="32"/>
        <v>1.4486720308536523</v>
      </c>
      <c r="S69" s="10">
        <f t="shared" si="36"/>
        <v>-1.8360670977315721</v>
      </c>
      <c r="T69" s="10"/>
      <c r="U69" s="10">
        <f t="shared" si="37"/>
        <v>0.2414453384756087</v>
      </c>
      <c r="V69" s="11">
        <f t="shared" si="38"/>
        <v>-9.1803354886578606E-2</v>
      </c>
      <c r="W69" s="34">
        <f t="shared" si="46"/>
        <v>-0.38022417606481462</v>
      </c>
      <c r="X69" s="9">
        <f t="shared" si="39"/>
        <v>15</v>
      </c>
      <c r="Y69" s="10">
        <f t="shared" si="45"/>
        <v>13.263303517635121</v>
      </c>
      <c r="Z69" s="10">
        <f t="shared" si="33"/>
        <v>1.2486958812203546</v>
      </c>
      <c r="AA69" s="10">
        <f t="shared" si="40"/>
        <v>0.48800060114452393</v>
      </c>
      <c r="AB69" s="10"/>
      <c r="AC69" s="10">
        <f t="shared" si="41"/>
        <v>0.20811598020339242</v>
      </c>
      <c r="AD69" s="11">
        <f t="shared" si="42"/>
        <v>2.4400030057226196E-2</v>
      </c>
      <c r="AE69" s="34">
        <f t="shared" si="43"/>
        <v>0.11724246275264383</v>
      </c>
    </row>
    <row r="70" spans="1:32" x14ac:dyDescent="0.25">
      <c r="H70" s="34" t="s">
        <v>112</v>
      </c>
      <c r="I70" s="9">
        <v>419243</v>
      </c>
      <c r="J70" s="11">
        <f>421836-AVERAGE(J64:J65)</f>
        <v>353589</v>
      </c>
      <c r="K70" s="9">
        <v>2.5</v>
      </c>
      <c r="L70" s="10">
        <f t="shared" si="34"/>
        <v>0.11939199250129334</v>
      </c>
      <c r="M70" s="10">
        <f t="shared" si="31"/>
        <v>9.9581151014643585E-2</v>
      </c>
      <c r="N70" s="10"/>
      <c r="O70" s="29">
        <v>6</v>
      </c>
      <c r="P70" s="9">
        <f t="shared" si="35"/>
        <v>15</v>
      </c>
      <c r="Q70" s="10">
        <f t="shared" si="44"/>
        <v>12.709615503628246</v>
      </c>
      <c r="R70" s="10">
        <f t="shared" si="32"/>
        <v>1.196567997571143</v>
      </c>
      <c r="S70" s="10">
        <f t="shared" si="36"/>
        <v>1.09381649880061</v>
      </c>
      <c r="T70" s="10"/>
      <c r="U70" s="10">
        <f t="shared" si="37"/>
        <v>0.1994279995951905</v>
      </c>
      <c r="V70" s="11">
        <f t="shared" si="38"/>
        <v>5.4690824940030504E-2</v>
      </c>
      <c r="W70" s="34">
        <f t="shared" si="46"/>
        <v>0.27423844721425694</v>
      </c>
      <c r="X70" s="9">
        <f t="shared" si="39"/>
        <v>15</v>
      </c>
      <c r="Y70" s="10">
        <f t="shared" si="45"/>
        <v>10.600695358955077</v>
      </c>
      <c r="Z70" s="10">
        <f t="shared" si="33"/>
        <v>0.99802018518227587</v>
      </c>
      <c r="AA70" s="10">
        <f t="shared" si="40"/>
        <v>3.4012844558626476</v>
      </c>
      <c r="AB70" s="10"/>
      <c r="AC70" s="10">
        <f t="shared" si="41"/>
        <v>0.1663366975303793</v>
      </c>
      <c r="AD70" s="11">
        <f t="shared" si="42"/>
        <v>0.17006422279313238</v>
      </c>
      <c r="AE70" s="34">
        <f t="shared" si="43"/>
        <v>1.0224095182728532</v>
      </c>
    </row>
    <row r="71" spans="1:32" x14ac:dyDescent="0.25">
      <c r="H71" s="34" t="s">
        <v>113</v>
      </c>
      <c r="I71" s="9">
        <v>414545</v>
      </c>
      <c r="J71" s="11">
        <f>415628-AVERAGE(J64:J65)</f>
        <v>347381</v>
      </c>
      <c r="K71" s="9">
        <v>2.5</v>
      </c>
      <c r="L71" s="10">
        <f t="shared" si="34"/>
        <v>0.11805409638669852</v>
      </c>
      <c r="M71" s="10">
        <f t="shared" si="31"/>
        <v>9.7832794064911244E-2</v>
      </c>
      <c r="N71" s="10"/>
      <c r="O71" s="29">
        <v>6</v>
      </c>
      <c r="P71" s="9">
        <f t="shared" si="35"/>
        <v>15</v>
      </c>
      <c r="Q71" s="10">
        <f t="shared" si="44"/>
        <v>12.567192675731189</v>
      </c>
      <c r="R71" s="10">
        <f t="shared" si="32"/>
        <v>1.1831593623581775</v>
      </c>
      <c r="S71" s="10">
        <f t="shared" si="36"/>
        <v>1.2496479619106342</v>
      </c>
      <c r="T71" s="10"/>
      <c r="U71" s="10">
        <f t="shared" si="37"/>
        <v>0.19719322705969625</v>
      </c>
      <c r="V71" s="11">
        <f t="shared" si="38"/>
        <v>6.2482398095531709E-2</v>
      </c>
      <c r="W71" s="34">
        <f t="shared" si="46"/>
        <v>0.31685874320935187</v>
      </c>
      <c r="X71" s="9">
        <f t="shared" si="39"/>
        <v>15</v>
      </c>
      <c r="Y71" s="10">
        <f t="shared" si="45"/>
        <v>10.414577813476024</v>
      </c>
      <c r="Z71" s="10">
        <f t="shared" si="33"/>
        <v>0.98049783774043919</v>
      </c>
      <c r="AA71" s="10">
        <f t="shared" si="40"/>
        <v>3.6049243487835376</v>
      </c>
      <c r="AB71" s="10"/>
      <c r="AC71" s="10">
        <f t="shared" si="41"/>
        <v>0.1634163062900732</v>
      </c>
      <c r="AD71" s="11">
        <f t="shared" si="42"/>
        <v>0.18024621743917688</v>
      </c>
      <c r="AE71" s="34">
        <f t="shared" si="43"/>
        <v>1.1029879546979213</v>
      </c>
      <c r="AF71" t="s">
        <v>123</v>
      </c>
    </row>
    <row r="72" spans="1:32" x14ac:dyDescent="0.25">
      <c r="H72" s="35" t="s">
        <v>122</v>
      </c>
      <c r="I72" s="4">
        <v>299817</v>
      </c>
      <c r="J72" s="5">
        <f>311032-AVERAGE(J64:J65)</f>
        <v>242785</v>
      </c>
      <c r="K72" s="4">
        <v>2.5</v>
      </c>
      <c r="L72" s="6">
        <f t="shared" si="34"/>
        <v>8.538186449328973E-2</v>
      </c>
      <c r="M72" s="6">
        <f t="shared" si="31"/>
        <v>6.8375457802958353E-2</v>
      </c>
      <c r="N72" s="6"/>
      <c r="O72" s="5">
        <v>6</v>
      </c>
      <c r="P72" s="4">
        <f t="shared" si="35"/>
        <v>15</v>
      </c>
      <c r="Q72" s="6">
        <f t="shared" si="44"/>
        <v>9.0891411220969935</v>
      </c>
      <c r="R72" s="6">
        <f t="shared" si="32"/>
        <v>0.85571238476918488</v>
      </c>
      <c r="S72" s="6">
        <f t="shared" si="36"/>
        <v>5.0551464931338224</v>
      </c>
      <c r="T72" s="6"/>
      <c r="U72" s="6">
        <f t="shared" si="37"/>
        <v>0.14261873079486415</v>
      </c>
      <c r="V72" s="5">
        <f t="shared" si="38"/>
        <v>0.2527573246566911</v>
      </c>
      <c r="W72" s="35">
        <f t="shared" si="46"/>
        <v>1.7722589680050158</v>
      </c>
      <c r="X72" s="4">
        <f t="shared" si="39"/>
        <v>15</v>
      </c>
      <c r="Y72" s="6">
        <f t="shared" si="45"/>
        <v>7.2787609985715287</v>
      </c>
      <c r="Z72" s="6">
        <f t="shared" si="33"/>
        <v>0.68527112172459781</v>
      </c>
      <c r="AA72" s="6">
        <f t="shared" si="40"/>
        <v>7.0359678797038736</v>
      </c>
      <c r="AB72" s="6"/>
      <c r="AC72" s="6">
        <f t="shared" si="41"/>
        <v>0.1142118536207663</v>
      </c>
      <c r="AD72" s="5">
        <f t="shared" si="42"/>
        <v>0.35179839398519369</v>
      </c>
      <c r="AE72" s="35">
        <f t="shared" si="43"/>
        <v>3.0802266387630781</v>
      </c>
      <c r="AF72">
        <f>AVERAGE(AE66:AE71)</f>
        <v>0.67558471049077207</v>
      </c>
    </row>
    <row r="73" spans="1:32" x14ac:dyDescent="0.25">
      <c r="W73" s="36">
        <f>AVERAGE(W66:W71)</f>
        <v>2.1658638111710853E-2</v>
      </c>
    </row>
    <row r="75" spans="1:32" x14ac:dyDescent="0.25">
      <c r="J75" s="10"/>
      <c r="K75" s="10"/>
    </row>
    <row r="76" spans="1:32" x14ac:dyDescent="0.25">
      <c r="J76" s="10"/>
      <c r="K76" s="10"/>
    </row>
    <row r="77" spans="1:32" x14ac:dyDescent="0.25">
      <c r="J77" s="10"/>
      <c r="K77" s="10"/>
    </row>
    <row r="78" spans="1:32" x14ac:dyDescent="0.25">
      <c r="J78" s="10"/>
      <c r="K78" s="10"/>
    </row>
    <row r="79" spans="1:32" x14ac:dyDescent="0.25">
      <c r="J79" s="10"/>
      <c r="K79" s="10"/>
    </row>
    <row r="80" spans="1:32" x14ac:dyDescent="0.25">
      <c r="J80" s="10"/>
      <c r="K80" s="10"/>
    </row>
    <row r="81" spans="10:11" x14ac:dyDescent="0.25">
      <c r="J81" s="10"/>
      <c r="K81" s="10"/>
    </row>
    <row r="82" spans="10:11" x14ac:dyDescent="0.25">
      <c r="J82" s="10"/>
      <c r="K82" s="10"/>
    </row>
    <row r="83" spans="10:11" x14ac:dyDescent="0.25">
      <c r="J83" s="10"/>
      <c r="K83" s="10"/>
    </row>
    <row r="84" spans="10:11" x14ac:dyDescent="0.25">
      <c r="J84" s="10"/>
      <c r="K84" s="10"/>
    </row>
    <row r="85" spans="10:11" x14ac:dyDescent="0.25">
      <c r="J85" s="10"/>
      <c r="K85" s="10"/>
    </row>
    <row r="86" spans="10:11" x14ac:dyDescent="0.25">
      <c r="J86" s="10"/>
      <c r="K86" s="10"/>
    </row>
    <row r="87" spans="10:11" x14ac:dyDescent="0.25">
      <c r="J87" s="10"/>
      <c r="K87" s="10"/>
    </row>
    <row r="88" spans="10:11" x14ac:dyDescent="0.25">
      <c r="J88" s="10"/>
      <c r="K88" s="10"/>
    </row>
    <row r="89" spans="10:11" x14ac:dyDescent="0.25">
      <c r="J89" s="10"/>
      <c r="K89" s="10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30652-1052-4C82-8837-F9E1AA9C4F26}">
  <dimension ref="A1:BW90"/>
  <sheetViews>
    <sheetView tabSelected="1" topLeftCell="AN1" zoomScale="70" zoomScaleNormal="70" workbookViewId="0">
      <selection activeCell="AT29" sqref="AT29"/>
    </sheetView>
  </sheetViews>
  <sheetFormatPr baseColWidth="10" defaultColWidth="17.28515625" defaultRowHeight="15" x14ac:dyDescent="0.25"/>
  <cols>
    <col min="1" max="1" width="18.5703125" customWidth="1"/>
    <col min="2" max="2" width="33" bestFit="1" customWidth="1"/>
    <col min="3" max="3" width="9.28515625" bestFit="1" customWidth="1"/>
    <col min="4" max="4" width="13.7109375" bestFit="1" customWidth="1"/>
    <col min="5" max="5" width="8.5703125" bestFit="1" customWidth="1"/>
    <col min="6" max="6" width="13.7109375" bestFit="1" customWidth="1"/>
    <col min="7" max="7" width="10.85546875" bestFit="1" customWidth="1"/>
    <col min="8" max="8" width="11.7109375" bestFit="1" customWidth="1"/>
    <col min="9" max="9" width="21.7109375" bestFit="1" customWidth="1"/>
    <col min="10" max="10" width="15.5703125" bestFit="1" customWidth="1"/>
    <col min="11" max="11" width="12.28515625" bestFit="1" customWidth="1"/>
    <col min="12" max="12" width="13.42578125" bestFit="1" customWidth="1"/>
    <col min="13" max="13" width="27.7109375" bestFit="1" customWidth="1"/>
    <col min="14" max="14" width="13.7109375" bestFit="1" customWidth="1"/>
    <col min="15" max="16" width="13.7109375" customWidth="1"/>
    <col min="17" max="17" width="13.85546875" bestFit="1" customWidth="1"/>
    <col min="18" max="18" width="16" bestFit="1" customWidth="1"/>
    <col min="19" max="19" width="13.7109375" bestFit="1" customWidth="1"/>
    <col min="20" max="20" width="13.28515625" bestFit="1" customWidth="1"/>
    <col min="21" max="21" width="13.5703125" bestFit="1" customWidth="1"/>
    <col min="22" max="22" width="16" bestFit="1" customWidth="1"/>
    <col min="23" max="23" width="21.85546875" bestFit="1" customWidth="1"/>
    <col min="24" max="24" width="12.28515625" bestFit="1" customWidth="1"/>
    <col min="25" max="25" width="16" customWidth="1"/>
    <col min="27" max="27" width="16" bestFit="1" customWidth="1"/>
    <col min="28" max="28" width="11.5703125" bestFit="1" customWidth="1"/>
    <col min="29" max="29" width="29.7109375" customWidth="1"/>
    <col min="30" max="30" width="14.140625" bestFit="1" customWidth="1"/>
    <col min="31" max="31" width="14.140625" customWidth="1"/>
    <col min="32" max="32" width="12.28515625" customWidth="1"/>
    <col min="33" max="33" width="19.28515625" bestFit="1" customWidth="1"/>
    <col min="34" max="34" width="16" bestFit="1" customWidth="1"/>
    <col min="35" max="35" width="12.28515625" bestFit="1" customWidth="1"/>
    <col min="36" max="36" width="16" bestFit="1" customWidth="1"/>
    <col min="37" max="38" width="13.7109375" bestFit="1" customWidth="1"/>
    <col min="43" max="43" width="25.42578125" bestFit="1" customWidth="1"/>
    <col min="64" max="64" width="22.140625" bestFit="1" customWidth="1"/>
    <col min="65" max="65" width="10.5703125" bestFit="1" customWidth="1"/>
    <col min="66" max="66" width="9.85546875" bestFit="1" customWidth="1"/>
    <col min="67" max="67" width="10" bestFit="1" customWidth="1"/>
    <col min="68" max="68" width="11.5703125" bestFit="1" customWidth="1"/>
    <col min="69" max="69" width="11.42578125" bestFit="1" customWidth="1"/>
    <col min="70" max="70" width="12.42578125" bestFit="1" customWidth="1"/>
    <col min="71" max="71" width="10" bestFit="1" customWidth="1"/>
    <col min="72" max="72" width="11.42578125" bestFit="1" customWidth="1"/>
    <col min="73" max="73" width="10.28515625" bestFit="1" customWidth="1"/>
    <col min="74" max="74" width="11.42578125" bestFit="1" customWidth="1"/>
    <col min="75" max="75" width="10" bestFit="1" customWidth="1"/>
  </cols>
  <sheetData>
    <row r="1" spans="1:75" x14ac:dyDescent="0.25">
      <c r="M1" s="22" t="s">
        <v>184</v>
      </c>
      <c r="AC1" s="22" t="s">
        <v>184</v>
      </c>
      <c r="AQ1" s="22" t="s">
        <v>184</v>
      </c>
      <c r="AR1" s="13" t="s">
        <v>189</v>
      </c>
      <c r="AS1" s="13"/>
      <c r="AT1" s="13"/>
      <c r="AX1" s="42" t="s">
        <v>165</v>
      </c>
      <c r="BG1" s="75" t="s">
        <v>202</v>
      </c>
      <c r="BI1" s="57"/>
    </row>
    <row r="2" spans="1:75" ht="15.75" thickBot="1" x14ac:dyDescent="0.3">
      <c r="A2" t="s">
        <v>20</v>
      </c>
      <c r="H2" t="s">
        <v>117</v>
      </c>
      <c r="I2" t="s">
        <v>115</v>
      </c>
      <c r="J2" t="s">
        <v>116</v>
      </c>
      <c r="K2" s="42" t="s">
        <v>48</v>
      </c>
      <c r="L2">
        <f>J5</f>
        <v>0.59867216611329166</v>
      </c>
      <c r="M2" s="61" t="s">
        <v>193</v>
      </c>
      <c r="W2" s="43" t="s">
        <v>151</v>
      </c>
      <c r="X2" s="44" t="s">
        <v>152</v>
      </c>
      <c r="Y2" s="44" t="s">
        <v>153</v>
      </c>
      <c r="Z2" s="44" t="s">
        <v>154</v>
      </c>
      <c r="AB2" s="44" t="s">
        <v>195</v>
      </c>
      <c r="AC2" s="55" t="s">
        <v>180</v>
      </c>
      <c r="AE2" s="60" t="s">
        <v>191</v>
      </c>
      <c r="AI2" s="42" t="s">
        <v>165</v>
      </c>
      <c r="AP2" s="63" t="s">
        <v>196</v>
      </c>
      <c r="AQ2" s="61" t="s">
        <v>187</v>
      </c>
      <c r="AR2" s="13" t="s">
        <v>188</v>
      </c>
      <c r="AS2" s="13"/>
      <c r="AT2" s="13"/>
      <c r="AY2" s="42" t="s">
        <v>48</v>
      </c>
      <c r="AZ2" s="42">
        <f>AK3</f>
        <v>0.59867216611329166</v>
      </c>
      <c r="BA2" s="52"/>
      <c r="BC2" t="s">
        <v>201</v>
      </c>
      <c r="BD2" s="11"/>
      <c r="BE2" s="64" t="s">
        <v>186</v>
      </c>
      <c r="BI2" s="53"/>
      <c r="BL2" t="s">
        <v>150</v>
      </c>
      <c r="BP2" t="s">
        <v>134</v>
      </c>
      <c r="BQ2" t="s">
        <v>135</v>
      </c>
      <c r="BR2" t="s">
        <v>136</v>
      </c>
      <c r="BT2" t="s">
        <v>137</v>
      </c>
      <c r="BV2" t="s">
        <v>138</v>
      </c>
    </row>
    <row r="3" spans="1:75" ht="15.75" thickBot="1" x14ac:dyDescent="0.3">
      <c r="A3" t="s">
        <v>21</v>
      </c>
      <c r="H3" t="s">
        <v>118</v>
      </c>
      <c r="I3">
        <v>1175</v>
      </c>
      <c r="J3">
        <f>I3/(298.15*8.314)</f>
        <v>0.47401603448997148</v>
      </c>
      <c r="M3" s="55" t="s">
        <v>180</v>
      </c>
      <c r="P3" s="62" t="s">
        <v>166</v>
      </c>
      <c r="W3" s="44"/>
      <c r="X3" s="44" t="s">
        <v>126</v>
      </c>
      <c r="Y3" s="44" t="s">
        <v>127</v>
      </c>
      <c r="Z3" s="44" t="s">
        <v>128</v>
      </c>
      <c r="AC3" s="52"/>
      <c r="AE3" s="60" t="s">
        <v>192</v>
      </c>
      <c r="AJ3" s="42" t="s">
        <v>48</v>
      </c>
      <c r="AK3" s="42">
        <f>L2</f>
        <v>0.59867216611329166</v>
      </c>
      <c r="AP3" s="63" t="s">
        <v>197</v>
      </c>
      <c r="AQ3" s="55" t="s">
        <v>180</v>
      </c>
      <c r="AT3" t="s">
        <v>201</v>
      </c>
      <c r="AU3" s="64" t="s">
        <v>186</v>
      </c>
      <c r="AW3" t="s">
        <v>201</v>
      </c>
      <c r="AX3" s="64" t="s">
        <v>186</v>
      </c>
      <c r="AY3" t="s">
        <v>201</v>
      </c>
      <c r="AZ3" s="64" t="s">
        <v>186</v>
      </c>
      <c r="BA3" t="s">
        <v>201</v>
      </c>
      <c r="BB3" s="64" t="s">
        <v>186</v>
      </c>
      <c r="BC3" s="52" t="s">
        <v>199</v>
      </c>
      <c r="BD3" s="29"/>
      <c r="BE3" s="29" t="s">
        <v>200</v>
      </c>
      <c r="BF3" s="11"/>
      <c r="BG3" t="s">
        <v>201</v>
      </c>
      <c r="BH3" s="64" t="s">
        <v>186</v>
      </c>
      <c r="BI3" s="52"/>
      <c r="BN3" s="13" t="s">
        <v>139</v>
      </c>
      <c r="BQ3" t="s">
        <v>140</v>
      </c>
      <c r="BR3" t="s">
        <v>141</v>
      </c>
    </row>
    <row r="4" spans="1:75" x14ac:dyDescent="0.25">
      <c r="A4" t="s">
        <v>0</v>
      </c>
      <c r="I4">
        <v>1793</v>
      </c>
      <c r="J4">
        <f>I4/(298.15*8.314)</f>
        <v>0.72332829773661189</v>
      </c>
      <c r="O4" s="48" t="s">
        <v>182</v>
      </c>
      <c r="P4" s="31" t="s">
        <v>194</v>
      </c>
      <c r="W4" s="44" t="s">
        <v>155</v>
      </c>
      <c r="X4" s="45">
        <v>1.071586842105263</v>
      </c>
      <c r="Y4" s="45">
        <v>0.80161578947368428</v>
      </c>
      <c r="Z4" s="45">
        <v>1.3257263157894739</v>
      </c>
      <c r="AE4" s="62" t="s">
        <v>166</v>
      </c>
      <c r="AG4" t="s">
        <v>199</v>
      </c>
      <c r="AH4" t="s">
        <v>81</v>
      </c>
      <c r="AK4" t="s">
        <v>190</v>
      </c>
      <c r="AL4" t="s">
        <v>179</v>
      </c>
      <c r="AS4" s="65" t="s">
        <v>166</v>
      </c>
      <c r="AT4" s="52" t="s">
        <v>199</v>
      </c>
      <c r="AU4" s="29" t="s">
        <v>200</v>
      </c>
      <c r="AV4" s="11" t="s">
        <v>81</v>
      </c>
      <c r="AW4" s="52" t="s">
        <v>199</v>
      </c>
      <c r="AX4" s="29" t="s">
        <v>200</v>
      </c>
      <c r="AY4" s="52" t="s">
        <v>199</v>
      </c>
      <c r="AZ4" s="29" t="s">
        <v>200</v>
      </c>
      <c r="BA4" s="52" t="s">
        <v>199</v>
      </c>
      <c r="BB4" s="29" t="s">
        <v>200</v>
      </c>
      <c r="BC4" t="s">
        <v>179</v>
      </c>
      <c r="BD4" s="11"/>
      <c r="BE4" t="s">
        <v>179</v>
      </c>
      <c r="BF4" s="11"/>
      <c r="BG4" s="52" t="s">
        <v>199</v>
      </c>
      <c r="BH4" s="29" t="s">
        <v>200</v>
      </c>
      <c r="BM4" s="13" t="s">
        <v>142</v>
      </c>
      <c r="BN4" t="s">
        <v>170</v>
      </c>
      <c r="BO4" t="s">
        <v>171</v>
      </c>
      <c r="BR4" t="s">
        <v>170</v>
      </c>
      <c r="BS4" t="s">
        <v>171</v>
      </c>
      <c r="BT4" t="s">
        <v>170</v>
      </c>
      <c r="BU4" t="s">
        <v>171</v>
      </c>
      <c r="BV4" t="s">
        <v>170</v>
      </c>
      <c r="BW4" t="s">
        <v>171</v>
      </c>
    </row>
    <row r="5" spans="1:75" x14ac:dyDescent="0.25">
      <c r="A5" t="s">
        <v>2</v>
      </c>
      <c r="I5">
        <f>AVERAGE(I3:I4)</f>
        <v>1484</v>
      </c>
      <c r="J5">
        <f>I5/(298.15*8.314)</f>
        <v>0.59867216611329166</v>
      </c>
      <c r="L5" s="14">
        <v>44392</v>
      </c>
      <c r="M5" s="13" t="s">
        <v>49</v>
      </c>
      <c r="N5" t="s">
        <v>9</v>
      </c>
      <c r="O5" s="48" t="s">
        <v>183</v>
      </c>
      <c r="P5" s="56" t="s">
        <v>183</v>
      </c>
      <c r="Q5" t="s">
        <v>50</v>
      </c>
      <c r="R5" t="s">
        <v>51</v>
      </c>
      <c r="S5" t="s">
        <v>52</v>
      </c>
      <c r="T5" t="s">
        <v>53</v>
      </c>
      <c r="U5" t="s">
        <v>54</v>
      </c>
      <c r="W5" s="44" t="s">
        <v>156</v>
      </c>
      <c r="X5" s="45">
        <v>20</v>
      </c>
      <c r="Y5" s="45">
        <v>20</v>
      </c>
      <c r="Z5" s="45">
        <v>20</v>
      </c>
      <c r="AB5" s="14">
        <v>44392</v>
      </c>
      <c r="AC5" s="13" t="s">
        <v>76</v>
      </c>
      <c r="AD5" t="s">
        <v>9</v>
      </c>
      <c r="AE5" s="31" t="s">
        <v>185</v>
      </c>
      <c r="AF5" t="s">
        <v>78</v>
      </c>
      <c r="AG5" s="11" t="s">
        <v>198</v>
      </c>
      <c r="AH5" t="s">
        <v>79</v>
      </c>
      <c r="AJ5" s="11"/>
      <c r="AK5" s="11" t="s">
        <v>178</v>
      </c>
      <c r="AL5" t="s">
        <v>177</v>
      </c>
      <c r="AM5" s="11"/>
      <c r="AN5" s="34" t="s">
        <v>176</v>
      </c>
      <c r="AR5" s="48" t="s">
        <v>182</v>
      </c>
      <c r="AS5" s="49" t="s">
        <v>185</v>
      </c>
      <c r="AT5" s="52"/>
      <c r="AU5" s="11"/>
      <c r="AV5" s="11" t="s">
        <v>79</v>
      </c>
      <c r="AX5" s="11"/>
      <c r="AY5" s="34"/>
      <c r="AZ5" s="11"/>
      <c r="BA5" t="s">
        <v>178</v>
      </c>
      <c r="BB5" t="s">
        <v>178</v>
      </c>
      <c r="BC5" t="s">
        <v>177</v>
      </c>
      <c r="BD5" s="11"/>
      <c r="BE5" t="s">
        <v>177</v>
      </c>
      <c r="BF5" s="11"/>
      <c r="BG5" s="11" t="s">
        <v>176</v>
      </c>
      <c r="BH5" s="34" t="s">
        <v>176</v>
      </c>
      <c r="BL5" t="s">
        <v>126</v>
      </c>
      <c r="BM5">
        <v>2.85</v>
      </c>
      <c r="BN5">
        <v>66</v>
      </c>
      <c r="BO5">
        <v>437</v>
      </c>
      <c r="BQ5">
        <v>0</v>
      </c>
      <c r="BR5">
        <f>$BN$10*BQ5</f>
        <v>0</v>
      </c>
      <c r="BS5">
        <f>$BO$10*BQ5</f>
        <v>0</v>
      </c>
      <c r="BT5">
        <f>$BN$11*BQ5</f>
        <v>0</v>
      </c>
      <c r="BU5">
        <f>$BO$11*BQ5</f>
        <v>0</v>
      </c>
      <c r="BV5">
        <f>$BN$12*BQ5</f>
        <v>0</v>
      </c>
      <c r="BW5">
        <f>$BO$12*BQ5</f>
        <v>0</v>
      </c>
    </row>
    <row r="6" spans="1:75" x14ac:dyDescent="0.25">
      <c r="A6" s="1"/>
      <c r="B6" s="32"/>
      <c r="C6" s="2" t="s">
        <v>8</v>
      </c>
      <c r="D6" s="11"/>
      <c r="E6" t="s">
        <v>7</v>
      </c>
      <c r="F6" s="11"/>
      <c r="G6" s="34" t="s">
        <v>5</v>
      </c>
      <c r="H6" s="34" t="s">
        <v>172</v>
      </c>
      <c r="L6" t="s">
        <v>10</v>
      </c>
      <c r="M6" t="s">
        <v>58</v>
      </c>
      <c r="N6" s="5" t="s">
        <v>19</v>
      </c>
      <c r="O6" s="5" t="s">
        <v>19</v>
      </c>
      <c r="P6" s="5" t="s">
        <v>19</v>
      </c>
      <c r="Q6" t="s">
        <v>56</v>
      </c>
      <c r="R6" t="s">
        <v>57</v>
      </c>
      <c r="S6" t="s">
        <v>57</v>
      </c>
      <c r="T6" t="s">
        <v>57</v>
      </c>
      <c r="U6" t="s">
        <v>56</v>
      </c>
      <c r="W6" s="44" t="s">
        <v>157</v>
      </c>
      <c r="X6" s="45">
        <f>X5/X4</f>
        <v>18.66390964703109</v>
      </c>
      <c r="Y6" s="45">
        <f>Y5/Y4</f>
        <v>24.949608356805658</v>
      </c>
      <c r="Z6" s="45">
        <f>Z5/Z4</f>
        <v>15.086069999364796</v>
      </c>
      <c r="AB6" t="s">
        <v>10</v>
      </c>
      <c r="AC6" t="s">
        <v>55</v>
      </c>
      <c r="AD6" s="5" t="s">
        <v>19</v>
      </c>
      <c r="AE6" s="56" t="s">
        <v>183</v>
      </c>
      <c r="AF6" t="s">
        <v>56</v>
      </c>
      <c r="AG6" s="11" t="s">
        <v>80</v>
      </c>
      <c r="AH6" t="s">
        <v>82</v>
      </c>
      <c r="AI6" t="s">
        <v>83</v>
      </c>
      <c r="AJ6" s="11" t="s">
        <v>84</v>
      </c>
      <c r="AK6" s="11" t="s">
        <v>175</v>
      </c>
      <c r="AL6" t="s">
        <v>88</v>
      </c>
      <c r="AM6" s="11" t="s">
        <v>89</v>
      </c>
      <c r="AN6" s="34" t="s">
        <v>174</v>
      </c>
      <c r="AR6" s="48" t="s">
        <v>183</v>
      </c>
      <c r="AS6" s="66" t="s">
        <v>183</v>
      </c>
      <c r="AT6" s="36" t="s">
        <v>56</v>
      </c>
      <c r="AU6" s="11" t="s">
        <v>56</v>
      </c>
      <c r="AV6" s="11" t="s">
        <v>82</v>
      </c>
      <c r="AW6" s="34" t="s">
        <v>83</v>
      </c>
      <c r="AX6" s="11" t="s">
        <v>83</v>
      </c>
      <c r="AY6" s="34" t="s">
        <v>84</v>
      </c>
      <c r="AZ6" s="11" t="s">
        <v>84</v>
      </c>
      <c r="BA6" t="s">
        <v>175</v>
      </c>
      <c r="BB6" t="s">
        <v>175</v>
      </c>
      <c r="BC6" s="11" t="s">
        <v>88</v>
      </c>
      <c r="BD6" s="11" t="s">
        <v>89</v>
      </c>
      <c r="BE6" s="34" t="s">
        <v>88</v>
      </c>
      <c r="BF6" s="11" t="s">
        <v>89</v>
      </c>
      <c r="BG6" s="11" t="s">
        <v>174</v>
      </c>
      <c r="BH6" s="34" t="s">
        <v>174</v>
      </c>
      <c r="BL6" t="s">
        <v>127</v>
      </c>
      <c r="BM6">
        <v>9.5299999999999994</v>
      </c>
      <c r="BN6">
        <v>66</v>
      </c>
      <c r="BO6">
        <v>437</v>
      </c>
      <c r="BQ6">
        <v>0.05</v>
      </c>
      <c r="BR6">
        <f t="shared" ref="BR6:BR21" si="0">$BN$10*BQ6</f>
        <v>9.4050000000000009E-2</v>
      </c>
      <c r="BS6">
        <f t="shared" ref="BS6:BS21" si="1">$BO$10*BQ6</f>
        <v>0.62272500000000008</v>
      </c>
      <c r="BT6">
        <f t="shared" ref="BT6:BT21" si="2">$BN$11*BQ6</f>
        <v>0.31448999999999999</v>
      </c>
      <c r="BU6">
        <f t="shared" ref="BU6:BU21" si="3">$BO$11*BQ6</f>
        <v>2.0823049999999999</v>
      </c>
      <c r="BV6">
        <f t="shared" ref="BV6:BV21" si="4">$BN$12*BQ6</f>
        <v>2.7059999999999997E-2</v>
      </c>
      <c r="BW6">
        <f t="shared" ref="BW6:BW21" si="5">$BO$12*BQ6</f>
        <v>0.17917</v>
      </c>
    </row>
    <row r="7" spans="1:75" x14ac:dyDescent="0.25">
      <c r="A7" s="4" t="s">
        <v>10</v>
      </c>
      <c r="B7" s="5" t="s">
        <v>11</v>
      </c>
      <c r="C7" s="4" t="s">
        <v>18</v>
      </c>
      <c r="D7" s="5" t="s">
        <v>19</v>
      </c>
      <c r="E7" s="6" t="s">
        <v>16</v>
      </c>
      <c r="F7" s="5" t="s">
        <v>17</v>
      </c>
      <c r="G7" s="5" t="s">
        <v>14</v>
      </c>
      <c r="H7" s="35" t="s">
        <v>173</v>
      </c>
      <c r="L7">
        <v>2</v>
      </c>
      <c r="M7" s="11" t="s">
        <v>23</v>
      </c>
      <c r="N7" s="11">
        <v>0</v>
      </c>
      <c r="O7" s="10">
        <f>IF(N7&lt;=0,0,N7*((9297.527*0+542552.505)/(9297.527*L7+542552.505)))</f>
        <v>0</v>
      </c>
      <c r="P7" s="10">
        <f>IF(AVERAGE($O$7:$O$8,$O$15)&gt;0,IF(O8-AVERAGE($O$7:$O$8,$O$15)&lt;=0,0,O8-AVERAGE($O$7:$O$8,$O$15)),O8)</f>
        <v>0</v>
      </c>
      <c r="Q7">
        <v>0</v>
      </c>
      <c r="R7">
        <f>Q7*10</f>
        <v>0</v>
      </c>
      <c r="S7">
        <f>(Q7*10*10)/($L$2*(10+10))</f>
        <v>0</v>
      </c>
      <c r="T7">
        <f>R7-S7</f>
        <v>0</v>
      </c>
      <c r="U7">
        <f>T7/10</f>
        <v>0</v>
      </c>
      <c r="W7" s="44" t="s">
        <v>158</v>
      </c>
      <c r="X7" s="44">
        <v>2.65</v>
      </c>
      <c r="Y7" s="44">
        <f>0.8*2.65+0.2*1.3</f>
        <v>2.38</v>
      </c>
      <c r="Z7" s="44">
        <v>2.65</v>
      </c>
      <c r="AB7">
        <v>10</v>
      </c>
      <c r="AC7" s="11" t="s">
        <v>32</v>
      </c>
      <c r="AD7" s="11">
        <v>0</v>
      </c>
      <c r="AE7" s="10">
        <f>IF($AD$7&gt;0, AD7-$AD$7, AD7)</f>
        <v>0</v>
      </c>
      <c r="AF7" s="8">
        <v>0</v>
      </c>
      <c r="AG7" s="11">
        <f>IF(((AE7-4446.36)/2451040.533)&lt;0,0,(AE7-4446.36)/2451040.533)</f>
        <v>0</v>
      </c>
      <c r="AH7">
        <f>AF7*8</f>
        <v>0</v>
      </c>
      <c r="AI7">
        <f>AG7*$X$14</f>
        <v>0</v>
      </c>
      <c r="AJ7" s="11">
        <f>(AG7/$AK$3)*8</f>
        <v>0</v>
      </c>
      <c r="AK7" s="11">
        <f>AH7-(AI7+AJ7)</f>
        <v>0</v>
      </c>
      <c r="AL7">
        <f t="shared" ref="AL7:AL17" si="6">AG7/$AK$3</f>
        <v>0</v>
      </c>
      <c r="AM7" s="11">
        <f t="shared" ref="AM7:AM17" si="7">IF(AK7&lt;0,0,AK7/20)</f>
        <v>0</v>
      </c>
      <c r="AN7" s="34"/>
      <c r="AR7" s="58">
        <f>IF(AD7&lt;=0,0,AD7*((9297.527*0+542552.505)/(9297.527*AB7+542552.505)))</f>
        <v>0</v>
      </c>
      <c r="AS7" s="11">
        <f>IF($AR$7&gt;0, AR7-$AR$7, AR7)</f>
        <v>0</v>
      </c>
      <c r="AT7" s="34">
        <f>IF(((AS7-4446.36)/2451040.533)&lt;=0,0,(AS7-4446.36)/2451040.533)</f>
        <v>0</v>
      </c>
      <c r="AU7" s="11">
        <f>IF(((AS7-5626.595)/2141757.915)&lt;0,0,(AS7-5626.595)/2141757.915)</f>
        <v>0</v>
      </c>
      <c r="AV7" s="11">
        <f>AF7*8</f>
        <v>0</v>
      </c>
      <c r="AW7" s="11">
        <f>AT7*$X$14</f>
        <v>0</v>
      </c>
      <c r="AX7" s="11">
        <f>AU7*$X$14</f>
        <v>0</v>
      </c>
      <c r="AY7" s="11">
        <f>(AT7/$AK$3)*8</f>
        <v>0</v>
      </c>
      <c r="AZ7" s="11">
        <f>(AU7/$AK$3)*8</f>
        <v>0</v>
      </c>
      <c r="BA7" s="11">
        <f>AV7-(AW7+AY7)</f>
        <v>0</v>
      </c>
      <c r="BB7" s="11">
        <f>AV7-(AX7+AZ7)</f>
        <v>0</v>
      </c>
      <c r="BC7" s="11">
        <f>AT7/$AZ$2</f>
        <v>0</v>
      </c>
      <c r="BD7" s="11">
        <f>IF(BA7&lt;0,0,BA7/20)</f>
        <v>0</v>
      </c>
      <c r="BE7" s="34">
        <f>AU7/$AK$3</f>
        <v>0</v>
      </c>
      <c r="BF7" s="11">
        <f>IF(BB7&lt;0,0,BB7/20)</f>
        <v>0</v>
      </c>
      <c r="BG7" s="11"/>
      <c r="BH7" s="34"/>
      <c r="BJ7" s="10"/>
      <c r="BK7" s="10"/>
      <c r="BL7" t="s">
        <v>128</v>
      </c>
      <c r="BM7">
        <v>0.82</v>
      </c>
      <c r="BN7">
        <v>66</v>
      </c>
      <c r="BO7">
        <v>437</v>
      </c>
      <c r="BQ7">
        <v>0.1</v>
      </c>
      <c r="BR7">
        <f t="shared" si="0"/>
        <v>0.18810000000000002</v>
      </c>
      <c r="BS7">
        <f t="shared" si="1"/>
        <v>1.2454500000000002</v>
      </c>
      <c r="BT7">
        <f t="shared" si="2"/>
        <v>0.62897999999999998</v>
      </c>
      <c r="BU7">
        <f t="shared" si="3"/>
        <v>4.1646099999999997</v>
      </c>
      <c r="BV7">
        <f t="shared" si="4"/>
        <v>5.4119999999999994E-2</v>
      </c>
      <c r="BW7">
        <f t="shared" si="5"/>
        <v>0.35833999999999999</v>
      </c>
    </row>
    <row r="8" spans="1:75" x14ac:dyDescent="0.25">
      <c r="A8">
        <v>1</v>
      </c>
      <c r="B8" s="3" t="s">
        <v>22</v>
      </c>
      <c r="C8" s="10"/>
      <c r="D8" s="11"/>
      <c r="F8" s="3"/>
      <c r="H8" s="34"/>
      <c r="L8">
        <v>3</v>
      </c>
      <c r="M8" s="11" t="s">
        <v>24</v>
      </c>
      <c r="N8" s="11">
        <v>0</v>
      </c>
      <c r="O8" s="10">
        <f t="shared" ref="O8:O15" si="8">IF(N8&lt;=0,0,N8*((9297.527*0+542552.505)/(9297.527*L8+542552.505)))</f>
        <v>0</v>
      </c>
      <c r="P8" s="10">
        <f t="shared" ref="P8:P15" si="9">IF(AVERAGE($O$7:$O$8,$O$15)&gt;0,IF(O9-AVERAGE($O$7:$O$8,$O$15)&lt;=0,0,O9-AVERAGE($O$7:$O$8,$O$15)),O9)</f>
        <v>40905.096346686871</v>
      </c>
      <c r="Q8">
        <v>0</v>
      </c>
      <c r="R8">
        <f t="shared" ref="R8:R15" si="10">Q8*10</f>
        <v>0</v>
      </c>
      <c r="S8">
        <f t="shared" ref="S8:S15" si="11">(Q8*10*10)/($L$2*(10+10))</f>
        <v>0</v>
      </c>
      <c r="T8">
        <f t="shared" ref="T8:T15" si="12">R8-S8</f>
        <v>0</v>
      </c>
      <c r="U8">
        <f t="shared" ref="U8:U15" si="13">T8/10</f>
        <v>0</v>
      </c>
      <c r="W8" s="44" t="s">
        <v>159</v>
      </c>
      <c r="X8" s="44">
        <f>X5/X7</f>
        <v>7.5471698113207548</v>
      </c>
      <c r="Y8" s="44">
        <f>Y5/Y7</f>
        <v>8.4033613445378155</v>
      </c>
      <c r="Z8" s="44">
        <f>Z5/Z7</f>
        <v>7.5471698113207548</v>
      </c>
      <c r="AB8">
        <v>11</v>
      </c>
      <c r="AC8" s="11" t="s">
        <v>33</v>
      </c>
      <c r="AD8" s="11">
        <v>379614</v>
      </c>
      <c r="AE8" s="10">
        <f>IF($AD$7&gt;0, AD8-$AD$7, AD8)</f>
        <v>379614</v>
      </c>
      <c r="AF8" s="9">
        <v>2.5</v>
      </c>
      <c r="AG8" s="11">
        <f>IF(((AE8-4446.36)/2451040.533)&lt;0,0,(AE8-4446.36)/2451040.533)</f>
        <v>0.15306464130187439</v>
      </c>
      <c r="AH8">
        <f>AF8*8</f>
        <v>20</v>
      </c>
      <c r="AI8">
        <f>AG8*$X$14</f>
        <v>15.988034985795785</v>
      </c>
      <c r="AJ8" s="11">
        <f>(AG8/$AK$3)*8</f>
        <v>2.0453884441710786</v>
      </c>
      <c r="AK8" s="11">
        <f>AH8-(AI8+AJ8)</f>
        <v>1.966576570033137</v>
      </c>
      <c r="AL8">
        <f t="shared" si="6"/>
        <v>0.25567355552138482</v>
      </c>
      <c r="AM8" s="11">
        <f t="shared" si="7"/>
        <v>9.8328828501656848E-2</v>
      </c>
      <c r="AN8" s="34">
        <f>AM8/AL8</f>
        <v>0.3845874020922454</v>
      </c>
      <c r="AR8" s="58">
        <f>IF(AD8&lt;=0,0,AD8*((9297.527*0+542552.505)/(9297.527*AB8+542552.505)))</f>
        <v>319405.15670563746</v>
      </c>
      <c r="AS8" s="11">
        <f>IF($AR$7&gt;0, AR8-$AR$7, AR8)</f>
        <v>319405.15670563746</v>
      </c>
      <c r="AT8" s="34">
        <f t="shared" ref="AT8:AT17" si="14">IF(((AS8-4446.36)/2451040.533)&lt;=0,0,(AS8-4446.36)/2451040.533)</f>
        <v>0.12850003599089296</v>
      </c>
      <c r="AU8" s="11">
        <f t="shared" ref="AU8:AU17" si="15">IF(((AS8-5626.595)/2141757.915)&lt;0,0,(AS8-5626.595)/2141757.915)</f>
        <v>0.14650514864824837</v>
      </c>
      <c r="AV8" s="11">
        <f>AF8*8</f>
        <v>20</v>
      </c>
      <c r="AW8" s="11">
        <f>AT8*$X$14</f>
        <v>13.422192438595914</v>
      </c>
      <c r="AX8" s="11">
        <f>AU8*$X$14</f>
        <v>15.302877413522697</v>
      </c>
      <c r="AY8" s="11">
        <f>(AT8/$AK$3)*8</f>
        <v>1.7171339275736544</v>
      </c>
      <c r="AZ8" s="11">
        <f>(AU8/$AK$3)*8</f>
        <v>1.9577345591246211</v>
      </c>
      <c r="BA8" s="11">
        <f t="shared" ref="BA8:BA31" si="16">AV8-(AW8+AY8)</f>
        <v>4.8606736338304319</v>
      </c>
      <c r="BB8" s="11">
        <f>AV8-(AX8+AZ8)</f>
        <v>2.7393880273526818</v>
      </c>
      <c r="BC8" s="11">
        <f t="shared" ref="BC8:BC31" si="17">AT8/$AZ$2</f>
        <v>0.21464174094670679</v>
      </c>
      <c r="BD8" s="11">
        <f t="shared" ref="BD8:BD31" si="18">IF(BA8&lt;0,0,BA8/20)</f>
        <v>0.24303368169152159</v>
      </c>
      <c r="BE8" s="34">
        <f t="shared" ref="BE8:BE31" si="19">AU8/$AK$3</f>
        <v>0.24471681989057764</v>
      </c>
      <c r="BF8" s="11">
        <f t="shared" ref="BF8:BF31" si="20">IF(BB8&lt;0,0,BB8/20)</f>
        <v>0.13696940136763408</v>
      </c>
      <c r="BG8" s="11">
        <f t="shared" ref="BG8:BG31" si="21">BD8/BC8</f>
        <v>1.1322759525690962</v>
      </c>
      <c r="BH8" s="34">
        <f t="shared" ref="BH8:BH31" si="22">BF8/BE8</f>
        <v>0.55970570976232203</v>
      </c>
      <c r="BJ8" s="10"/>
      <c r="BK8" s="10"/>
      <c r="BQ8">
        <v>0.15</v>
      </c>
      <c r="BR8">
        <f t="shared" si="0"/>
        <v>0.28215000000000001</v>
      </c>
      <c r="BS8">
        <f t="shared" si="1"/>
        <v>1.8681750000000001</v>
      </c>
      <c r="BT8">
        <f t="shared" si="2"/>
        <v>0.94346999999999992</v>
      </c>
      <c r="BU8">
        <f t="shared" si="3"/>
        <v>6.2469149999999996</v>
      </c>
      <c r="BV8">
        <f t="shared" si="4"/>
        <v>8.1179999999999988E-2</v>
      </c>
      <c r="BW8">
        <f t="shared" si="5"/>
        <v>0.53750999999999993</v>
      </c>
    </row>
    <row r="9" spans="1:75" ht="15.75" thickBot="1" x14ac:dyDescent="0.3">
      <c r="A9">
        <v>2</v>
      </c>
      <c r="B9" s="11" t="s">
        <v>23</v>
      </c>
      <c r="C9" s="12">
        <v>0</v>
      </c>
      <c r="D9" s="11">
        <v>0</v>
      </c>
      <c r="E9" s="12">
        <v>0</v>
      </c>
      <c r="F9" s="29">
        <v>0</v>
      </c>
      <c r="G9" s="31">
        <v>542544</v>
      </c>
      <c r="H9" s="34"/>
      <c r="L9">
        <v>4</v>
      </c>
      <c r="M9" s="11" t="s">
        <v>25</v>
      </c>
      <c r="N9" s="11">
        <v>43709</v>
      </c>
      <c r="O9" s="10">
        <f t="shared" si="8"/>
        <v>40905.096346686871</v>
      </c>
      <c r="P9" s="10">
        <f t="shared" si="9"/>
        <v>42274.763010182978</v>
      </c>
      <c r="Q9">
        <v>0.1</v>
      </c>
      <c r="R9">
        <f t="shared" si="10"/>
        <v>1</v>
      </c>
      <c r="S9">
        <f t="shared" si="11"/>
        <v>0.83518163746630725</v>
      </c>
      <c r="T9">
        <f t="shared" si="12"/>
        <v>0.16481836253369275</v>
      </c>
      <c r="U9">
        <f t="shared" si="13"/>
        <v>1.6481836253369277E-2</v>
      </c>
      <c r="W9" s="44" t="s">
        <v>160</v>
      </c>
      <c r="X9" s="45">
        <f>X6-X8</f>
        <v>11.116739835710336</v>
      </c>
      <c r="Y9" s="45">
        <f>Y6-Y8</f>
        <v>16.546247012267841</v>
      </c>
      <c r="Z9" s="45">
        <f>Z6-Z8</f>
        <v>7.5389001880440407</v>
      </c>
      <c r="AB9">
        <v>12</v>
      </c>
      <c r="AC9" s="11" t="s">
        <v>34</v>
      </c>
      <c r="AD9" s="11">
        <v>347232</v>
      </c>
      <c r="AE9" s="10">
        <f t="shared" ref="AE9:AE13" si="23">IF($AD$7&gt;0, AD9-$AD$7, AD9)</f>
        <v>347232</v>
      </c>
      <c r="AF9" s="9">
        <v>2.5</v>
      </c>
      <c r="AG9" s="11">
        <f t="shared" ref="AG9:AG17" si="24">IF(((AE9-4446.36)/2451040.533)&lt;0,0,(AE9-4446.36)/2451040.533)</f>
        <v>0.13985310947936089</v>
      </c>
      <c r="AH9">
        <f>AF9*8</f>
        <v>20</v>
      </c>
      <c r="AI9">
        <f>AG9*$X$14</f>
        <v>14.608053095806451</v>
      </c>
      <c r="AJ9" s="11">
        <f>(AG9/$AK$3)*8</f>
        <v>1.8688439836756376</v>
      </c>
      <c r="AK9" s="11">
        <f t="shared" ref="AK9:AK31" si="25">AH9-(AI9+AJ9)</f>
        <v>3.5231029205179105</v>
      </c>
      <c r="AL9">
        <f t="shared" si="6"/>
        <v>0.23360549795945471</v>
      </c>
      <c r="AM9" s="11">
        <f t="shared" si="7"/>
        <v>0.17615514602589552</v>
      </c>
      <c r="AN9" s="34">
        <f t="shared" ref="AN9:AN31" si="26">AM9/AL9</f>
        <v>0.75407106238770782</v>
      </c>
      <c r="AR9" s="58">
        <f>IF(AD9&lt;=0,0,AD9*((9297.527*0+542552.505)/(9297.527*AB9+542552.505)))</f>
        <v>288006.44628802582</v>
      </c>
      <c r="AS9" s="11">
        <f>IF($AR$7&gt;0, AR9-$AR$7, AR9)</f>
        <v>288006.44628802582</v>
      </c>
      <c r="AT9" s="34">
        <f t="shared" si="14"/>
        <v>0.11568967647424289</v>
      </c>
      <c r="AU9" s="11">
        <f t="shared" si="15"/>
        <v>0.13184489680666167</v>
      </c>
      <c r="AV9" s="11">
        <f>AF9*8</f>
        <v>20</v>
      </c>
      <c r="AW9" s="11">
        <f>AT9*$X$14</f>
        <v>12.084114131347333</v>
      </c>
      <c r="AX9" s="11">
        <f>AU9*$X$14</f>
        <v>13.77157261739017</v>
      </c>
      <c r="AY9" s="11">
        <f>(AT9/$AK$3)*8</f>
        <v>1.5459502949712878</v>
      </c>
      <c r="AZ9" s="11">
        <f>(AU9/$AK$3)*8</f>
        <v>1.7618309889050239</v>
      </c>
      <c r="BA9" s="11">
        <f t="shared" si="16"/>
        <v>6.3699355736813796</v>
      </c>
      <c r="BB9" s="11">
        <f>AV9-(AX9+AZ9)</f>
        <v>4.4665963937048065</v>
      </c>
      <c r="BC9" s="11">
        <f t="shared" si="17"/>
        <v>0.19324378687141097</v>
      </c>
      <c r="BD9" s="11">
        <f t="shared" si="18"/>
        <v>0.318496778684069</v>
      </c>
      <c r="BE9" s="34">
        <f>AU9/$AK$3</f>
        <v>0.22022887361312798</v>
      </c>
      <c r="BF9" s="11">
        <f t="shared" si="20"/>
        <v>0.22332981968524032</v>
      </c>
      <c r="BG9" s="11">
        <f t="shared" si="21"/>
        <v>1.6481605118616536</v>
      </c>
      <c r="BH9" s="34">
        <f t="shared" si="22"/>
        <v>1.0140805609239036</v>
      </c>
      <c r="BJ9" s="10"/>
      <c r="BK9" s="10"/>
      <c r="BL9" s="13" t="s">
        <v>130</v>
      </c>
      <c r="BM9" t="s">
        <v>143</v>
      </c>
      <c r="BQ9">
        <v>0.2</v>
      </c>
      <c r="BR9">
        <f t="shared" si="0"/>
        <v>0.37620000000000003</v>
      </c>
      <c r="BS9">
        <f t="shared" si="1"/>
        <v>2.4909000000000003</v>
      </c>
      <c r="BT9">
        <f t="shared" si="2"/>
        <v>1.25796</v>
      </c>
      <c r="BU9">
        <f t="shared" si="3"/>
        <v>8.3292199999999994</v>
      </c>
      <c r="BV9">
        <f t="shared" si="4"/>
        <v>0.10823999999999999</v>
      </c>
      <c r="BW9">
        <f t="shared" si="5"/>
        <v>0.71667999999999998</v>
      </c>
    </row>
    <row r="10" spans="1:75" x14ac:dyDescent="0.25">
      <c r="A10">
        <v>3</v>
      </c>
      <c r="B10" s="11" t="s">
        <v>24</v>
      </c>
      <c r="C10" s="12">
        <v>0</v>
      </c>
      <c r="D10" s="11">
        <v>0</v>
      </c>
      <c r="E10" s="12">
        <v>0</v>
      </c>
      <c r="F10" s="29">
        <v>0</v>
      </c>
      <c r="G10" s="31">
        <v>590909</v>
      </c>
      <c r="H10" s="34"/>
      <c r="L10">
        <v>5</v>
      </c>
      <c r="M10" s="11" t="s">
        <v>26</v>
      </c>
      <c r="N10" s="11">
        <v>45897</v>
      </c>
      <c r="O10" s="10">
        <f t="shared" si="8"/>
        <v>42274.763010182978</v>
      </c>
      <c r="P10" s="10">
        <f t="shared" si="9"/>
        <v>197768.47677218856</v>
      </c>
      <c r="Q10">
        <v>0.1</v>
      </c>
      <c r="R10">
        <f t="shared" si="10"/>
        <v>1</v>
      </c>
      <c r="S10">
        <f t="shared" si="11"/>
        <v>0.83518163746630725</v>
      </c>
      <c r="T10">
        <f t="shared" si="12"/>
        <v>0.16481836253369275</v>
      </c>
      <c r="U10">
        <f t="shared" si="13"/>
        <v>1.6481836253369277E-2</v>
      </c>
      <c r="W10" s="44" t="s">
        <v>161</v>
      </c>
      <c r="X10" s="45">
        <f>(X9/X6)*100</f>
        <v>59.562760675273097</v>
      </c>
      <c r="Y10" s="45">
        <f>(Y9/Y6)*100</f>
        <v>66.318664307828385</v>
      </c>
      <c r="Z10" s="45">
        <f>(Z9/Z6)*100</f>
        <v>49.972591857000985</v>
      </c>
      <c r="AB10">
        <v>14</v>
      </c>
      <c r="AC10" s="11" t="s">
        <v>35</v>
      </c>
      <c r="AD10" s="11">
        <v>322619</v>
      </c>
      <c r="AE10" s="10">
        <f t="shared" si="23"/>
        <v>322619</v>
      </c>
      <c r="AF10" s="9">
        <v>2.5</v>
      </c>
      <c r="AG10" s="11">
        <f t="shared" si="24"/>
        <v>0.1298112518810802</v>
      </c>
      <c r="AH10">
        <f>AF10*8</f>
        <v>20</v>
      </c>
      <c r="AI10">
        <f>AG10*$X$14</f>
        <v>13.559152649314338</v>
      </c>
      <c r="AJ10" s="11">
        <f>(AG10/$AK$3)*8</f>
        <v>1.7346555825214689</v>
      </c>
      <c r="AK10" s="11">
        <f t="shared" si="25"/>
        <v>4.7061917681641923</v>
      </c>
      <c r="AL10">
        <f t="shared" si="6"/>
        <v>0.21683194781518361</v>
      </c>
      <c r="AM10" s="11">
        <f t="shared" si="7"/>
        <v>0.23530958840820962</v>
      </c>
      <c r="AN10" s="34">
        <f t="shared" si="26"/>
        <v>1.0852164119688461</v>
      </c>
      <c r="AR10" s="58">
        <f>IF(AD10&lt;=0,0,AD10*((9297.527*0+542552.505)/(9297.527*AB10+542552.505)))</f>
        <v>260194.8766844288</v>
      </c>
      <c r="AS10" s="11">
        <f>IF($AR$7&gt;0, AR10-$AR$7, AR10)</f>
        <v>260194.8766844288</v>
      </c>
      <c r="AT10" s="34">
        <f t="shared" si="14"/>
        <v>0.1043428344987018</v>
      </c>
      <c r="AU10" s="11">
        <f t="shared" si="15"/>
        <v>0.11885950316865238</v>
      </c>
      <c r="AV10" s="11">
        <f>AF10*8</f>
        <v>20</v>
      </c>
      <c r="AW10" s="11">
        <f>AT10*$X$14</f>
        <v>10.898904373298361</v>
      </c>
      <c r="AX10" s="11">
        <f>AU10*$X$14</f>
        <v>12.415211500786029</v>
      </c>
      <c r="AY10" s="11">
        <f>(AT10/$AK$3)*8</f>
        <v>1.3943235099920266</v>
      </c>
      <c r="AZ10" s="11">
        <f>(AU10/$AK$3)*8</f>
        <v>1.5883083917572292</v>
      </c>
      <c r="BA10" s="11">
        <f t="shared" si="16"/>
        <v>7.7067721167096117</v>
      </c>
      <c r="BB10" s="11">
        <f>AV10-(AX10+AZ10)</f>
        <v>5.9964801074567422</v>
      </c>
      <c r="BC10" s="11">
        <f t="shared" si="17"/>
        <v>0.17429043874900332</v>
      </c>
      <c r="BD10" s="11">
        <f t="shared" si="18"/>
        <v>0.38533860583548057</v>
      </c>
      <c r="BE10" s="34">
        <f t="shared" si="19"/>
        <v>0.19853854896965364</v>
      </c>
      <c r="BF10" s="11">
        <f t="shared" si="20"/>
        <v>0.2998240053728371</v>
      </c>
      <c r="BG10" s="11">
        <f t="shared" si="21"/>
        <v>2.2108992816892781</v>
      </c>
      <c r="BH10" s="34">
        <f t="shared" si="22"/>
        <v>1.5101551156126602</v>
      </c>
      <c r="BI10" t="s">
        <v>126</v>
      </c>
      <c r="BJ10" s="22" t="s">
        <v>166</v>
      </c>
      <c r="BK10" s="50" t="s">
        <v>181</v>
      </c>
      <c r="BL10" t="s">
        <v>126</v>
      </c>
      <c r="BM10">
        <f>BN5*(BM5/100)</f>
        <v>1.881</v>
      </c>
      <c r="BN10">
        <f>BN5*($BM5/100)</f>
        <v>1.881</v>
      </c>
      <c r="BO10">
        <f>BO5*($BM5/100)</f>
        <v>12.454500000000001</v>
      </c>
      <c r="BQ10">
        <v>0.25</v>
      </c>
      <c r="BR10">
        <f t="shared" si="0"/>
        <v>0.47025</v>
      </c>
      <c r="BS10">
        <f t="shared" si="1"/>
        <v>3.1136250000000003</v>
      </c>
      <c r="BT10">
        <f t="shared" si="2"/>
        <v>1.5724499999999999</v>
      </c>
      <c r="BU10">
        <f t="shared" si="3"/>
        <v>10.411524999999999</v>
      </c>
      <c r="BV10">
        <f t="shared" si="4"/>
        <v>0.13529999999999998</v>
      </c>
      <c r="BW10">
        <f t="shared" si="5"/>
        <v>0.89584999999999992</v>
      </c>
    </row>
    <row r="11" spans="1:75" ht="15.75" thickBot="1" x14ac:dyDescent="0.3">
      <c r="A11">
        <v>4</v>
      </c>
      <c r="B11" s="11" t="s">
        <v>25</v>
      </c>
      <c r="C11" s="12">
        <v>0</v>
      </c>
      <c r="D11" s="11">
        <v>43709</v>
      </c>
      <c r="E11">
        <v>0</v>
      </c>
      <c r="F11" s="11">
        <v>35094</v>
      </c>
      <c r="G11">
        <v>605417</v>
      </c>
      <c r="H11" s="34">
        <f t="shared" ref="H11:H28" si="27">F11/D11</f>
        <v>0.80290100436980938</v>
      </c>
      <c r="L11">
        <v>6</v>
      </c>
      <c r="M11" s="11" t="s">
        <v>27</v>
      </c>
      <c r="N11" s="11">
        <v>218103</v>
      </c>
      <c r="O11" s="10">
        <f t="shared" si="8"/>
        <v>197768.47677218856</v>
      </c>
      <c r="P11" s="10">
        <f t="shared" si="9"/>
        <v>197857.68809164796</v>
      </c>
      <c r="Q11">
        <v>0.5</v>
      </c>
      <c r="R11">
        <f t="shared" si="10"/>
        <v>5</v>
      </c>
      <c r="S11">
        <f t="shared" si="11"/>
        <v>4.1759081873315358</v>
      </c>
      <c r="T11">
        <f t="shared" si="12"/>
        <v>0.82409181266846421</v>
      </c>
      <c r="U11">
        <f t="shared" si="13"/>
        <v>8.2409181266846418E-2</v>
      </c>
      <c r="W11" s="44"/>
      <c r="X11" s="44"/>
      <c r="Y11" s="44"/>
      <c r="Z11" s="44"/>
      <c r="AB11">
        <v>15</v>
      </c>
      <c r="AC11" s="11" t="s">
        <v>36</v>
      </c>
      <c r="AD11" s="11">
        <v>337578</v>
      </c>
      <c r="AE11" s="10">
        <f t="shared" si="23"/>
        <v>337578</v>
      </c>
      <c r="AF11" s="9">
        <v>2.5</v>
      </c>
      <c r="AG11" s="11">
        <f t="shared" si="24"/>
        <v>0.13591437412593782</v>
      </c>
      <c r="AH11">
        <f>AF11*8</f>
        <v>20</v>
      </c>
      <c r="AI11">
        <f>AG11*$X$14</f>
        <v>14.196641040777203</v>
      </c>
      <c r="AJ11" s="11">
        <f>(AG11/$AK$3)*8</f>
        <v>1.8162110326033447</v>
      </c>
      <c r="AK11" s="11">
        <f t="shared" si="25"/>
        <v>3.9871479266194534</v>
      </c>
      <c r="AL11">
        <f t="shared" si="6"/>
        <v>0.22702637907541809</v>
      </c>
      <c r="AM11" s="11">
        <f t="shared" si="7"/>
        <v>0.19935739633097266</v>
      </c>
      <c r="AN11" s="34">
        <f t="shared" si="26"/>
        <v>0.87812437102186347</v>
      </c>
      <c r="AR11" s="58">
        <f>IF(AD11&lt;=0,0,AD11*((9297.527*0+542552.505)/(9297.527*AB11+542552.505)))</f>
        <v>268547.87567467132</v>
      </c>
      <c r="AS11" s="11">
        <f>IF($AR$7&gt;0, AR11-$AR$7, AR11)</f>
        <v>268547.87567467132</v>
      </c>
      <c r="AT11" s="34">
        <f t="shared" si="14"/>
        <v>0.10775077446451652</v>
      </c>
      <c r="AU11" s="11">
        <f t="shared" si="15"/>
        <v>0.12275956999307802</v>
      </c>
      <c r="AV11" s="11">
        <f>AF11*8</f>
        <v>20</v>
      </c>
      <c r="AW11" s="11">
        <f>AT11*$X$14</f>
        <v>11.254873347840819</v>
      </c>
      <c r="AX11" s="11">
        <f>AU11*$X$14</f>
        <v>12.822584518522262</v>
      </c>
      <c r="AY11" s="11">
        <f>(AT11/$AK$3)*8</f>
        <v>1.4398634920886026</v>
      </c>
      <c r="AZ11" s="11">
        <f>(AU11/$AK$3)*8</f>
        <v>1.6404246189036584</v>
      </c>
      <c r="BA11" s="11">
        <f t="shared" si="16"/>
        <v>7.3052631600705773</v>
      </c>
      <c r="BB11" s="11">
        <f>AV11-(AX11+AZ11)</f>
        <v>5.5369908625740791</v>
      </c>
      <c r="BC11" s="11">
        <f t="shared" si="17"/>
        <v>0.17998293651107533</v>
      </c>
      <c r="BD11" s="11">
        <f t="shared" si="18"/>
        <v>0.36526315800352888</v>
      </c>
      <c r="BE11" s="34">
        <f t="shared" si="19"/>
        <v>0.2050530773629573</v>
      </c>
      <c r="BF11" s="11">
        <f t="shared" si="20"/>
        <v>0.27684954312870397</v>
      </c>
      <c r="BG11" s="11">
        <f t="shared" si="21"/>
        <v>2.0294321510920135</v>
      </c>
      <c r="BH11" s="34">
        <f t="shared" si="22"/>
        <v>1.3501360071698034</v>
      </c>
      <c r="BI11" s="64" t="s">
        <v>186</v>
      </c>
      <c r="BJ11" s="51">
        <f>AVERAGE(BH8:BH13)</f>
        <v>1.2432357640783176</v>
      </c>
      <c r="BK11" s="21">
        <f>STDEV(BH8:BH13)</f>
        <v>0.38759660046729771</v>
      </c>
      <c r="BL11" t="s">
        <v>127</v>
      </c>
      <c r="BM11">
        <f>BN6*(BM6/100)</f>
        <v>6.2897999999999996</v>
      </c>
      <c r="BN11">
        <f t="shared" ref="BN11:BO12" si="28">BN6*($BM6/100)</f>
        <v>6.2897999999999996</v>
      </c>
      <c r="BO11">
        <f t="shared" si="28"/>
        <v>41.646099999999997</v>
      </c>
      <c r="BQ11">
        <v>0.3</v>
      </c>
      <c r="BR11">
        <f t="shared" si="0"/>
        <v>0.56430000000000002</v>
      </c>
      <c r="BS11">
        <f t="shared" si="1"/>
        <v>3.7363500000000003</v>
      </c>
      <c r="BT11">
        <f t="shared" si="2"/>
        <v>1.8869399999999998</v>
      </c>
      <c r="BU11">
        <f t="shared" si="3"/>
        <v>12.493829999999999</v>
      </c>
      <c r="BV11">
        <f t="shared" si="4"/>
        <v>0.16235999999999998</v>
      </c>
      <c r="BW11">
        <f t="shared" si="5"/>
        <v>1.0750199999999999</v>
      </c>
    </row>
    <row r="12" spans="1:75" ht="15.75" thickBot="1" x14ac:dyDescent="0.3">
      <c r="A12">
        <v>5</v>
      </c>
      <c r="B12" s="11" t="s">
        <v>26</v>
      </c>
      <c r="C12" s="12">
        <v>0</v>
      </c>
      <c r="D12" s="11">
        <v>45897</v>
      </c>
      <c r="E12">
        <v>0</v>
      </c>
      <c r="F12" s="11">
        <v>34572</v>
      </c>
      <c r="G12">
        <v>627937</v>
      </c>
      <c r="H12" s="34">
        <f t="shared" si="27"/>
        <v>0.7532518465259167</v>
      </c>
      <c r="L12">
        <v>7</v>
      </c>
      <c r="M12" s="11" t="s">
        <v>28</v>
      </c>
      <c r="N12" s="11">
        <v>221592</v>
      </c>
      <c r="O12" s="10">
        <f t="shared" si="8"/>
        <v>197857.68809164796</v>
      </c>
      <c r="P12" s="10">
        <f t="shared" si="9"/>
        <v>360516.64773378911</v>
      </c>
      <c r="Q12">
        <v>0.5</v>
      </c>
      <c r="R12">
        <f t="shared" si="10"/>
        <v>5</v>
      </c>
      <c r="S12">
        <f t="shared" si="11"/>
        <v>4.1759081873315358</v>
      </c>
      <c r="T12">
        <f t="shared" si="12"/>
        <v>0.82409181266846421</v>
      </c>
      <c r="U12">
        <f t="shared" si="13"/>
        <v>8.2409181266846418E-2</v>
      </c>
      <c r="W12" s="44" t="s">
        <v>162</v>
      </c>
      <c r="X12" s="44">
        <v>120</v>
      </c>
      <c r="Y12" s="44">
        <v>120</v>
      </c>
      <c r="Z12" s="44">
        <v>120</v>
      </c>
      <c r="AB12">
        <v>16</v>
      </c>
      <c r="AC12" s="11" t="s">
        <v>37</v>
      </c>
      <c r="AD12" s="34">
        <v>328680</v>
      </c>
      <c r="AE12" s="10">
        <f t="shared" si="23"/>
        <v>328680</v>
      </c>
      <c r="AF12" s="9">
        <v>2.5</v>
      </c>
      <c r="AG12" s="11">
        <f t="shared" si="24"/>
        <v>0.13228407920416876</v>
      </c>
      <c r="AH12" s="10">
        <f>AF12*8</f>
        <v>20</v>
      </c>
      <c r="AI12" s="10">
        <f>AG12*$X$14</f>
        <v>13.817446461778836</v>
      </c>
      <c r="AJ12" s="11">
        <f>(AG12/$AK$3)*8</f>
        <v>1.7676997420873655</v>
      </c>
      <c r="AK12" s="11">
        <f t="shared" si="25"/>
        <v>4.4148537961337979</v>
      </c>
      <c r="AL12" s="10">
        <f t="shared" si="6"/>
        <v>0.22096246776092068</v>
      </c>
      <c r="AM12" s="11">
        <f t="shared" si="7"/>
        <v>0.2207426898066899</v>
      </c>
      <c r="AN12" s="9">
        <f t="shared" si="26"/>
        <v>0.99900536070013224</v>
      </c>
      <c r="AO12" s="22" t="s">
        <v>166</v>
      </c>
      <c r="AP12" s="50" t="s">
        <v>181</v>
      </c>
      <c r="AR12" s="58">
        <f>IF(AD12&lt;=0,0,AD12*((9297.527*0+542552.505)/(9297.527*AB12+542552.505)))</f>
        <v>257952.87170128568</v>
      </c>
      <c r="AS12" s="11">
        <f>IF($AR$7&gt;0, AR12-$AR$7, AR12)</f>
        <v>257952.87170128568</v>
      </c>
      <c r="AT12" s="34">
        <f t="shared" si="14"/>
        <v>0.10342811891038022</v>
      </c>
      <c r="AU12" s="11">
        <f t="shared" si="15"/>
        <v>0.11781269719331733</v>
      </c>
      <c r="AV12" s="11">
        <f>AF12*8</f>
        <v>20</v>
      </c>
      <c r="AW12" s="11">
        <f>AT12*$X$14</f>
        <v>10.803359741280468</v>
      </c>
      <c r="AX12" s="11">
        <f>AU12*$X$14</f>
        <v>12.305869654003862</v>
      </c>
      <c r="AY12" s="11">
        <f>(AT12/$AK$3)*8</f>
        <v>1.3821002513861005</v>
      </c>
      <c r="AZ12" s="11">
        <f>(AU12/$AK$3)*8</f>
        <v>1.5743200216997917</v>
      </c>
      <c r="BA12" s="11">
        <f t="shared" si="16"/>
        <v>7.8145400073334308</v>
      </c>
      <c r="BB12" s="11">
        <f>AV12-(AX12+AZ12)</f>
        <v>6.1198103242963455</v>
      </c>
      <c r="BC12" s="11">
        <f t="shared" si="17"/>
        <v>0.17276253142326256</v>
      </c>
      <c r="BD12" s="11">
        <f t="shared" si="18"/>
        <v>0.39072700036667152</v>
      </c>
      <c r="BE12" s="34">
        <f t="shared" si="19"/>
        <v>0.19679000271247396</v>
      </c>
      <c r="BF12" s="11">
        <f t="shared" si="20"/>
        <v>0.30599051621481727</v>
      </c>
      <c r="BG12" s="11">
        <f t="shared" si="21"/>
        <v>2.2616420189479807</v>
      </c>
      <c r="BH12" s="34">
        <f t="shared" si="22"/>
        <v>1.5549088469798644</v>
      </c>
      <c r="BI12" t="s">
        <v>201</v>
      </c>
      <c r="BJ12" s="51">
        <f>AVERAGE(BG8:BG13)</f>
        <v>1.9080437747420165</v>
      </c>
      <c r="BK12" s="21">
        <f>STDEV(BG8:BG13)</f>
        <v>0.43984288038890001</v>
      </c>
      <c r="BL12" t="s">
        <v>128</v>
      </c>
      <c r="BM12">
        <f>BN7*(BM7/100)</f>
        <v>0.5411999999999999</v>
      </c>
      <c r="BN12">
        <f t="shared" si="28"/>
        <v>0.5411999999999999</v>
      </c>
      <c r="BO12">
        <f t="shared" si="28"/>
        <v>3.5833999999999997</v>
      </c>
      <c r="BQ12">
        <v>0.35</v>
      </c>
      <c r="BR12">
        <f t="shared" si="0"/>
        <v>0.65834999999999999</v>
      </c>
      <c r="BS12">
        <f t="shared" si="1"/>
        <v>4.3590749999999998</v>
      </c>
      <c r="BT12">
        <f t="shared" si="2"/>
        <v>2.2014299999999998</v>
      </c>
      <c r="BU12">
        <f t="shared" si="3"/>
        <v>14.576134999999997</v>
      </c>
      <c r="BV12">
        <f t="shared" si="4"/>
        <v>0.18941999999999995</v>
      </c>
      <c r="BW12">
        <f t="shared" si="5"/>
        <v>1.2541899999999999</v>
      </c>
    </row>
    <row r="13" spans="1:75" ht="15.75" thickBot="1" x14ac:dyDescent="0.3">
      <c r="A13">
        <v>6</v>
      </c>
      <c r="B13" s="11" t="s">
        <v>27</v>
      </c>
      <c r="C13" s="10">
        <v>217080</v>
      </c>
      <c r="D13" s="11">
        <v>218103</v>
      </c>
      <c r="E13">
        <v>0</v>
      </c>
      <c r="F13" s="11">
        <v>171596</v>
      </c>
      <c r="G13">
        <v>687693</v>
      </c>
      <c r="H13" s="34">
        <f t="shared" si="27"/>
        <v>0.78676588584292739</v>
      </c>
      <c r="L13">
        <v>8</v>
      </c>
      <c r="M13" s="11" t="s">
        <v>29</v>
      </c>
      <c r="N13" s="11">
        <v>409941</v>
      </c>
      <c r="O13" s="10">
        <f t="shared" si="8"/>
        <v>360516.64773378911</v>
      </c>
      <c r="P13" s="10">
        <f t="shared" si="9"/>
        <v>340919.99132801389</v>
      </c>
      <c r="Q13">
        <v>1</v>
      </c>
      <c r="R13">
        <f t="shared" si="10"/>
        <v>10</v>
      </c>
      <c r="S13">
        <f t="shared" si="11"/>
        <v>8.3518163746630716</v>
      </c>
      <c r="T13">
        <f t="shared" si="12"/>
        <v>1.6481836253369284</v>
      </c>
      <c r="U13">
        <f t="shared" si="13"/>
        <v>0.16481836253369284</v>
      </c>
      <c r="W13" s="44" t="s">
        <v>163</v>
      </c>
      <c r="X13" s="44">
        <v>8</v>
      </c>
      <c r="Y13" s="44">
        <v>6</v>
      </c>
      <c r="Z13" s="44">
        <v>6</v>
      </c>
      <c r="AB13">
        <v>17</v>
      </c>
      <c r="AC13" s="5" t="s">
        <v>38</v>
      </c>
      <c r="AD13" s="35">
        <v>338609</v>
      </c>
      <c r="AE13" s="5">
        <f t="shared" si="23"/>
        <v>338609</v>
      </c>
      <c r="AF13" s="4">
        <v>2.5</v>
      </c>
      <c r="AG13" s="5">
        <f t="shared" si="24"/>
        <v>0.13633501180455593</v>
      </c>
      <c r="AH13" s="6">
        <f>AF13*8</f>
        <v>20</v>
      </c>
      <c r="AI13" s="6">
        <f>AG13*$X$14</f>
        <v>14.240577836792861</v>
      </c>
      <c r="AJ13" s="5">
        <f>(AG13/$AK$3)*8</f>
        <v>1.8218319744466775</v>
      </c>
      <c r="AK13" s="5">
        <f t="shared" si="25"/>
        <v>3.9375901887604599</v>
      </c>
      <c r="AL13" s="6">
        <f t="shared" si="6"/>
        <v>0.22772899680583469</v>
      </c>
      <c r="AM13" s="5">
        <f t="shared" si="7"/>
        <v>0.19687950943802299</v>
      </c>
      <c r="AN13" s="4">
        <f t="shared" si="26"/>
        <v>0.8645342147881393</v>
      </c>
      <c r="AO13" s="51">
        <f>AVERAGE(AN8:AN13)</f>
        <v>0.82758980382648906</v>
      </c>
      <c r="AP13" s="21">
        <f>STDEV(AN8:AN13)</f>
        <v>0.24549115162433616</v>
      </c>
      <c r="AR13" s="59">
        <f>IF(AD13&lt;=0,0,AD13*((9297.527*0+542552.505)/(9297.527*AB13+542552.505)))</f>
        <v>262218.69441782276</v>
      </c>
      <c r="AS13" s="5">
        <f>IF($AR$7&gt;0, AR13-$AR$7, AR13)</f>
        <v>262218.69441782276</v>
      </c>
      <c r="AT13" s="35">
        <f t="shared" si="14"/>
        <v>0.10516853187340693</v>
      </c>
      <c r="AU13" s="5">
        <f t="shared" si="15"/>
        <v>0.11980443616935238</v>
      </c>
      <c r="AV13" s="11">
        <f>AF13*8</f>
        <v>20</v>
      </c>
      <c r="AW13" s="5">
        <f>AT13*$X$14</f>
        <v>10.985150800965673</v>
      </c>
      <c r="AX13" s="5">
        <f>AU13*$X$14</f>
        <v>12.513912427047826</v>
      </c>
      <c r="AY13" s="5">
        <f>(AT13/$AK$3)*8</f>
        <v>1.4053572265593524</v>
      </c>
      <c r="AZ13" s="5">
        <f>(AU13/$AK$3)*8</f>
        <v>1.6009354428103584</v>
      </c>
      <c r="BA13" s="35">
        <f t="shared" si="16"/>
        <v>7.6094919724749737</v>
      </c>
      <c r="BB13" s="5">
        <f>AV13-(AX13+AZ13)</f>
        <v>5.8851521301418153</v>
      </c>
      <c r="BC13" s="5">
        <f t="shared" si="17"/>
        <v>0.17566965331991904</v>
      </c>
      <c r="BD13" s="5">
        <f t="shared" si="18"/>
        <v>0.38047459862374866</v>
      </c>
      <c r="BE13" s="35">
        <f t="shared" si="19"/>
        <v>0.2001169303512948</v>
      </c>
      <c r="BF13" s="5">
        <f t="shared" si="20"/>
        <v>0.29425760650709076</v>
      </c>
      <c r="BG13" s="5">
        <f t="shared" si="21"/>
        <v>2.1658527322920773</v>
      </c>
      <c r="BH13" s="72">
        <f t="shared" si="22"/>
        <v>1.4704283440213526</v>
      </c>
      <c r="BK13" s="10"/>
      <c r="BQ13">
        <v>0.4</v>
      </c>
      <c r="BR13">
        <f t="shared" si="0"/>
        <v>0.75240000000000007</v>
      </c>
      <c r="BS13">
        <f t="shared" si="1"/>
        <v>4.9818000000000007</v>
      </c>
      <c r="BT13">
        <f t="shared" si="2"/>
        <v>2.5159199999999999</v>
      </c>
      <c r="BU13">
        <f t="shared" si="3"/>
        <v>16.658439999999999</v>
      </c>
      <c r="BV13">
        <f t="shared" si="4"/>
        <v>0.21647999999999998</v>
      </c>
      <c r="BW13">
        <f t="shared" si="5"/>
        <v>1.43336</v>
      </c>
    </row>
    <row r="14" spans="1:75" x14ac:dyDescent="0.25">
      <c r="A14">
        <v>7</v>
      </c>
      <c r="B14" s="11" t="s">
        <v>28</v>
      </c>
      <c r="C14" s="10">
        <v>218103</v>
      </c>
      <c r="D14" s="11">
        <v>221592</v>
      </c>
      <c r="F14" s="11">
        <v>167459</v>
      </c>
      <c r="G14">
        <v>609976</v>
      </c>
      <c r="H14" s="34">
        <f t="shared" si="27"/>
        <v>0.75570868984439876</v>
      </c>
      <c r="L14">
        <v>9</v>
      </c>
      <c r="M14" s="11" t="s">
        <v>30</v>
      </c>
      <c r="N14" s="11">
        <v>393500</v>
      </c>
      <c r="O14" s="10">
        <f t="shared" si="8"/>
        <v>340919.99132801389</v>
      </c>
      <c r="P14" s="10">
        <f t="shared" si="9"/>
        <v>0</v>
      </c>
      <c r="Q14">
        <v>1</v>
      </c>
      <c r="R14">
        <f t="shared" si="10"/>
        <v>10</v>
      </c>
      <c r="S14">
        <f t="shared" si="11"/>
        <v>8.3518163746630716</v>
      </c>
      <c r="T14">
        <f t="shared" si="12"/>
        <v>1.6481836253369284</v>
      </c>
      <c r="U14">
        <f t="shared" si="13"/>
        <v>0.16481836253369284</v>
      </c>
      <c r="W14" s="44" t="s">
        <v>164</v>
      </c>
      <c r="X14" s="44">
        <f>X12-X8-X13</f>
        <v>104.45283018867924</v>
      </c>
      <c r="Y14" s="44">
        <f>Y12-Y8-Y13</f>
        <v>105.59663865546219</v>
      </c>
      <c r="Z14" s="44">
        <f>Z12-Z8-Z13</f>
        <v>106.45283018867924</v>
      </c>
      <c r="AB14">
        <v>18</v>
      </c>
      <c r="AC14" s="11" t="s">
        <v>39</v>
      </c>
      <c r="AD14" s="36">
        <v>0</v>
      </c>
      <c r="AE14" s="10">
        <f>IF($AD$14&gt;0, AD14-$AD$14, AD14)</f>
        <v>0</v>
      </c>
      <c r="AF14" s="9">
        <v>0</v>
      </c>
      <c r="AG14" s="11">
        <f t="shared" si="24"/>
        <v>0</v>
      </c>
      <c r="AH14" s="12">
        <f>AF14*6</f>
        <v>0</v>
      </c>
      <c r="AI14">
        <f>AG14*$Y$14</f>
        <v>0</v>
      </c>
      <c r="AJ14" s="11">
        <f>(AG14/$AK$3)*6</f>
        <v>0</v>
      </c>
      <c r="AK14" s="11">
        <f t="shared" si="25"/>
        <v>0</v>
      </c>
      <c r="AL14">
        <f t="shared" si="6"/>
        <v>0</v>
      </c>
      <c r="AM14" s="11">
        <f t="shared" si="7"/>
        <v>0</v>
      </c>
      <c r="AN14" s="34"/>
      <c r="AR14" s="58">
        <f>IF(AD14&lt;=0,0,AD14*((9297.527*0+542552.505)/(9297.527*AB14+542552.505)))</f>
        <v>0</v>
      </c>
      <c r="AS14" s="11">
        <f>IF($AR$14&gt;0, AR14-$AR$14, AR14)</f>
        <v>0</v>
      </c>
      <c r="AT14" s="34">
        <f t="shared" si="14"/>
        <v>0</v>
      </c>
      <c r="AU14" s="11">
        <f t="shared" si="15"/>
        <v>0</v>
      </c>
      <c r="AV14" s="11">
        <f>AF14*6</f>
        <v>0</v>
      </c>
      <c r="AW14" s="11">
        <f>AT14*$Y$14</f>
        <v>0</v>
      </c>
      <c r="AX14" s="11">
        <f>AU14*$Y$14</f>
        <v>0</v>
      </c>
      <c r="AY14" s="11">
        <f>(AT14/$AK$3)*6</f>
        <v>0</v>
      </c>
      <c r="AZ14" s="11">
        <f>(AU14/$AK$3)*6</f>
        <v>0</v>
      </c>
      <c r="BA14" s="11">
        <f t="shared" si="16"/>
        <v>0</v>
      </c>
      <c r="BB14" s="11">
        <f>AV14-(AX14+AZ14)</f>
        <v>0</v>
      </c>
      <c r="BC14" s="11">
        <f t="shared" si="17"/>
        <v>0</v>
      </c>
      <c r="BD14" s="11">
        <f t="shared" si="18"/>
        <v>0</v>
      </c>
      <c r="BE14" s="34">
        <f t="shared" si="19"/>
        <v>0</v>
      </c>
      <c r="BF14" s="11">
        <f t="shared" si="20"/>
        <v>0</v>
      </c>
      <c r="BG14" s="11"/>
      <c r="BH14" s="33"/>
      <c r="BQ14">
        <v>0.45</v>
      </c>
      <c r="BR14">
        <f t="shared" si="0"/>
        <v>0.84645000000000004</v>
      </c>
      <c r="BS14">
        <f t="shared" si="1"/>
        <v>5.6045250000000006</v>
      </c>
      <c r="BT14">
        <f t="shared" si="2"/>
        <v>2.8304100000000001</v>
      </c>
      <c r="BU14">
        <f t="shared" si="3"/>
        <v>18.740745</v>
      </c>
      <c r="BV14">
        <f t="shared" si="4"/>
        <v>0.24353999999999995</v>
      </c>
      <c r="BW14">
        <f t="shared" si="5"/>
        <v>1.6125299999999998</v>
      </c>
    </row>
    <row r="15" spans="1:75" ht="15.75" thickBot="1" x14ac:dyDescent="0.3">
      <c r="A15">
        <v>8</v>
      </c>
      <c r="B15" s="11" t="s">
        <v>29</v>
      </c>
      <c r="C15" s="10">
        <v>408045</v>
      </c>
      <c r="D15" s="11">
        <v>409941</v>
      </c>
      <c r="E15">
        <v>318878</v>
      </c>
      <c r="F15" s="11">
        <v>323230</v>
      </c>
      <c r="G15">
        <v>627062</v>
      </c>
      <c r="H15" s="34">
        <f t="shared" si="27"/>
        <v>0.78847931775548186</v>
      </c>
      <c r="L15">
        <v>13</v>
      </c>
      <c r="M15" s="11" t="s">
        <v>31</v>
      </c>
      <c r="N15" s="11">
        <v>0</v>
      </c>
      <c r="O15" s="10">
        <f t="shared" si="8"/>
        <v>0</v>
      </c>
      <c r="P15" s="10">
        <f t="shared" si="9"/>
        <v>0</v>
      </c>
      <c r="Q15">
        <v>0</v>
      </c>
      <c r="R15">
        <f t="shared" si="10"/>
        <v>0</v>
      </c>
      <c r="S15">
        <f t="shared" si="11"/>
        <v>0</v>
      </c>
      <c r="T15">
        <f t="shared" si="12"/>
        <v>0</v>
      </c>
      <c r="U15">
        <f t="shared" si="13"/>
        <v>0</v>
      </c>
      <c r="AB15">
        <v>19</v>
      </c>
      <c r="AC15" s="11" t="s">
        <v>40</v>
      </c>
      <c r="AD15" s="34">
        <v>51443</v>
      </c>
      <c r="AE15" s="10">
        <f>IF($AD$14&gt;0, AD15-$AD$14, AD15)</f>
        <v>51443</v>
      </c>
      <c r="AF15" s="9">
        <v>2.5</v>
      </c>
      <c r="AG15" s="11">
        <f t="shared" si="24"/>
        <v>1.9174158634772769E-2</v>
      </c>
      <c r="AH15" s="12">
        <f>AF15*6</f>
        <v>15</v>
      </c>
      <c r="AI15">
        <f>AG15*$Y$14</f>
        <v>2.0247267008786101</v>
      </c>
      <c r="AJ15" s="11">
        <f>(AG15/$AK$3)*6</f>
        <v>0.19216686246753906</v>
      </c>
      <c r="AK15" s="11">
        <f t="shared" si="25"/>
        <v>12.783106436653851</v>
      </c>
      <c r="AL15">
        <f t="shared" si="6"/>
        <v>3.2027810411256512E-2</v>
      </c>
      <c r="AM15" s="11">
        <f t="shared" si="7"/>
        <v>0.63915532183269252</v>
      </c>
      <c r="AN15" s="34">
        <f t="shared" si="26"/>
        <v>19.956260313319909</v>
      </c>
      <c r="AR15" s="58">
        <f>IF(AD15&lt;=0,0,AD15*((9297.527*0+542552.505)/(9297.527*AB15+542552.505)))</f>
        <v>38807.444904385447</v>
      </c>
      <c r="AS15" s="11">
        <f t="shared" ref="AS15:AS17" si="29">IF($AR$14&gt;0, AR15-$AR$14, AR15)</f>
        <v>38807.444904385447</v>
      </c>
      <c r="AT15" s="34">
        <f t="shared" si="14"/>
        <v>1.4018978650805302E-2</v>
      </c>
      <c r="AU15" s="11">
        <f t="shared" si="15"/>
        <v>1.5492343776110404E-2</v>
      </c>
      <c r="AV15" s="11">
        <f>AF15*6</f>
        <v>15</v>
      </c>
      <c r="AW15" s="11">
        <f>AT15*$Y$14</f>
        <v>1.4803570229077263</v>
      </c>
      <c r="AX15" s="11">
        <f>AU15*$Y$14</f>
        <v>1.6359394276521289</v>
      </c>
      <c r="AY15" s="11">
        <f>(AT15/$AK$3)*6</f>
        <v>0.14050072254221729</v>
      </c>
      <c r="AZ15" s="11">
        <f>(AU15/$AK$3)*6</f>
        <v>0.15526705251747408</v>
      </c>
      <c r="BA15" s="11">
        <f t="shared" si="16"/>
        <v>13.379142254550057</v>
      </c>
      <c r="BB15" s="11">
        <f>AV15-(AX15+AZ15)</f>
        <v>13.208793519830397</v>
      </c>
      <c r="BC15" s="11">
        <f t="shared" si="17"/>
        <v>2.3416787090369547E-2</v>
      </c>
      <c r="BD15" s="11">
        <f t="shared" si="18"/>
        <v>0.66895711272750291</v>
      </c>
      <c r="BE15" s="34">
        <f t="shared" si="19"/>
        <v>2.5877842086245679E-2</v>
      </c>
      <c r="BF15" s="11">
        <f t="shared" si="20"/>
        <v>0.66043967599151987</v>
      </c>
      <c r="BG15" s="11">
        <f t="shared" si="21"/>
        <v>28.567416620643918</v>
      </c>
      <c r="BH15" s="34">
        <f t="shared" si="22"/>
        <v>25.521435434624198</v>
      </c>
      <c r="BL15" t="s">
        <v>144</v>
      </c>
      <c r="BM15" t="s">
        <v>139</v>
      </c>
      <c r="BQ15">
        <v>0.5</v>
      </c>
      <c r="BR15">
        <f t="shared" si="0"/>
        <v>0.9405</v>
      </c>
      <c r="BS15">
        <f t="shared" si="1"/>
        <v>6.2272500000000006</v>
      </c>
      <c r="BT15">
        <f t="shared" si="2"/>
        <v>3.1448999999999998</v>
      </c>
      <c r="BU15">
        <f t="shared" si="3"/>
        <v>20.823049999999999</v>
      </c>
      <c r="BV15">
        <f t="shared" si="4"/>
        <v>0.27059999999999995</v>
      </c>
      <c r="BW15">
        <f t="shared" si="5"/>
        <v>1.7916999999999998</v>
      </c>
    </row>
    <row r="16" spans="1:75" x14ac:dyDescent="0.25">
      <c r="A16">
        <v>9</v>
      </c>
      <c r="B16" s="11" t="s">
        <v>30</v>
      </c>
      <c r="C16" s="10">
        <v>391072</v>
      </c>
      <c r="D16" s="11">
        <v>393500</v>
      </c>
      <c r="E16">
        <v>302456</v>
      </c>
      <c r="F16" s="11">
        <v>305663</v>
      </c>
      <c r="G16">
        <v>670760</v>
      </c>
      <c r="H16" s="34">
        <f t="shared" si="27"/>
        <v>0.77678017789072429</v>
      </c>
      <c r="AB16">
        <v>20</v>
      </c>
      <c r="AC16" s="11" t="s">
        <v>41</v>
      </c>
      <c r="AD16" s="34">
        <v>57424</v>
      </c>
      <c r="AE16" s="10">
        <f t="shared" ref="AE16:AE17" si="30">IF($AD$14&gt;0, AD16-$AD$14, AD16)</f>
        <v>57424</v>
      </c>
      <c r="AF16" s="9">
        <v>2.5</v>
      </c>
      <c r="AG16" s="11">
        <f t="shared" si="24"/>
        <v>2.1614346758744525E-2</v>
      </c>
      <c r="AH16" s="12">
        <f>AF16*6</f>
        <v>15</v>
      </c>
      <c r="AI16">
        <f>AG16*$Y$14</f>
        <v>2.2824023644570057</v>
      </c>
      <c r="AJ16" s="11">
        <f>(AG16/$AK$3)*6</f>
        <v>0.21662286622479385</v>
      </c>
      <c r="AK16" s="11">
        <f t="shared" si="25"/>
        <v>12.500974769318201</v>
      </c>
      <c r="AL16">
        <f t="shared" si="6"/>
        <v>3.6103811037465641E-2</v>
      </c>
      <c r="AM16" s="11">
        <f t="shared" si="7"/>
        <v>0.62504873846591003</v>
      </c>
      <c r="AN16" s="9">
        <f t="shared" si="26"/>
        <v>17.312541820509878</v>
      </c>
      <c r="AO16" s="22" t="s">
        <v>166</v>
      </c>
      <c r="AP16" s="50" t="s">
        <v>181</v>
      </c>
      <c r="AR16" s="58">
        <f>IF(AD16&lt;=0,0,AD16*((9297.527*0+542552.505)/(9297.527*AB16+542552.505)))</f>
        <v>42766.513140820156</v>
      </c>
      <c r="AS16" s="11">
        <f t="shared" si="29"/>
        <v>42766.513140820156</v>
      </c>
      <c r="AT16" s="34">
        <f t="shared" si="14"/>
        <v>1.5634238856881505E-2</v>
      </c>
      <c r="AU16" s="11">
        <f t="shared" si="15"/>
        <v>1.7340857190585032E-2</v>
      </c>
      <c r="AV16" s="11">
        <f>AF16*6</f>
        <v>15</v>
      </c>
      <c r="AW16" s="11">
        <f>AT16*$Y$14</f>
        <v>1.6509230712233025</v>
      </c>
      <c r="AX16" s="11">
        <f>AU16*$Y$14</f>
        <v>1.8311362307301808</v>
      </c>
      <c r="AY16" s="11">
        <f>(AT16/$AK$3)*6</f>
        <v>0.15668915050835594</v>
      </c>
      <c r="AZ16" s="11">
        <f>(AU16/$AK$3)*6</f>
        <v>0.17379318604202634</v>
      </c>
      <c r="BA16" s="11">
        <f t="shared" si="16"/>
        <v>13.192387778268342</v>
      </c>
      <c r="BB16" s="11">
        <f>AV16-(AX16+AZ16)</f>
        <v>12.995070583227793</v>
      </c>
      <c r="BC16" s="11">
        <f t="shared" si="17"/>
        <v>2.6114858418059324E-2</v>
      </c>
      <c r="BD16" s="11">
        <f t="shared" si="18"/>
        <v>0.65961938891341709</v>
      </c>
      <c r="BE16" s="34">
        <f t="shared" si="19"/>
        <v>2.8965531007004389E-2</v>
      </c>
      <c r="BF16" s="11">
        <f t="shared" si="20"/>
        <v>0.64975352916138962</v>
      </c>
      <c r="BG16" s="11">
        <f t="shared" si="21"/>
        <v>25.258394219639634</v>
      </c>
      <c r="BH16" s="34">
        <f t="shared" si="22"/>
        <v>22.431956417587077</v>
      </c>
      <c r="BI16" s="57"/>
      <c r="BJ16" s="57"/>
      <c r="BK16" s="57"/>
      <c r="BL16" t="s">
        <v>145</v>
      </c>
      <c r="BM16">
        <v>106.8</v>
      </c>
      <c r="BQ16">
        <v>0.55000000000000004</v>
      </c>
      <c r="BR16">
        <f t="shared" si="0"/>
        <v>1.0345500000000001</v>
      </c>
      <c r="BS16">
        <f t="shared" si="1"/>
        <v>6.8499750000000015</v>
      </c>
      <c r="BT16">
        <f t="shared" si="2"/>
        <v>3.45939</v>
      </c>
      <c r="BU16">
        <f t="shared" si="3"/>
        <v>22.905355</v>
      </c>
      <c r="BV16">
        <f t="shared" si="4"/>
        <v>0.29765999999999998</v>
      </c>
      <c r="BW16">
        <f t="shared" si="5"/>
        <v>1.9708699999999999</v>
      </c>
    </row>
    <row r="17" spans="1:75" ht="15.75" thickBot="1" x14ac:dyDescent="0.3">
      <c r="A17">
        <v>10</v>
      </c>
      <c r="B17" s="11" t="s">
        <v>32</v>
      </c>
      <c r="C17" s="12">
        <v>0</v>
      </c>
      <c r="D17" s="11">
        <v>0</v>
      </c>
      <c r="E17" s="12">
        <v>0</v>
      </c>
      <c r="F17" s="29">
        <v>0</v>
      </c>
      <c r="G17" s="12">
        <v>0</v>
      </c>
      <c r="H17" s="34"/>
      <c r="AB17">
        <v>21</v>
      </c>
      <c r="AC17" s="11" t="s">
        <v>42</v>
      </c>
      <c r="AD17" s="35">
        <v>52605</v>
      </c>
      <c r="AE17" s="5">
        <f t="shared" si="30"/>
        <v>52605</v>
      </c>
      <c r="AF17" s="4">
        <v>2.5</v>
      </c>
      <c r="AG17" s="5">
        <f t="shared" si="24"/>
        <v>1.9648243001944676E-2</v>
      </c>
      <c r="AH17" s="39">
        <f>AF17*6</f>
        <v>15</v>
      </c>
      <c r="AI17" s="6">
        <f>AG17*$Y$14</f>
        <v>2.0747884164910655</v>
      </c>
      <c r="AJ17" s="5">
        <f>(AG17/$AK$3)*6</f>
        <v>0.19691822116440078</v>
      </c>
      <c r="AK17" s="5">
        <f t="shared" si="25"/>
        <v>12.728293362344534</v>
      </c>
      <c r="AL17" s="6">
        <f t="shared" si="6"/>
        <v>3.2819703527400129E-2</v>
      </c>
      <c r="AM17" s="5">
        <f t="shared" si="7"/>
        <v>0.63641466811722669</v>
      </c>
      <c r="AN17" s="4">
        <f t="shared" si="26"/>
        <v>19.391237571232303</v>
      </c>
      <c r="AO17" s="51">
        <f>AVERAGE(AN15:AN17)</f>
        <v>18.886679901687362</v>
      </c>
      <c r="AP17" s="21">
        <f>STDEV(AN15:AN17)</f>
        <v>1.3922089278297638</v>
      </c>
      <c r="AR17" s="58">
        <f>IF(AD17&lt;=0,0,AD17*((9297.527*0+542552.505)/(9297.527*AB17+542552.505)))</f>
        <v>38683.860664620086</v>
      </c>
      <c r="AS17" s="11">
        <f t="shared" si="29"/>
        <v>38683.860664620086</v>
      </c>
      <c r="AT17" s="34">
        <f t="shared" si="14"/>
        <v>1.3968557518187761E-2</v>
      </c>
      <c r="AU17" s="11">
        <f t="shared" si="15"/>
        <v>1.5434641531192887E-2</v>
      </c>
      <c r="AV17" s="11">
        <f>AF17*6</f>
        <v>15</v>
      </c>
      <c r="AW17" s="11">
        <f>AT17*$Y$14</f>
        <v>1.4750327207861127</v>
      </c>
      <c r="AX17" s="11">
        <f>AU17*$Y$14</f>
        <v>1.6298462645459648</v>
      </c>
      <c r="AY17" s="11">
        <f>(AT17/$AK$3)*6</f>
        <v>0.13999539289298821</v>
      </c>
      <c r="AZ17" s="11">
        <f>(AU17/$AK$3)*6</f>
        <v>0.15468875025272577</v>
      </c>
      <c r="BA17" s="34">
        <f t="shared" si="16"/>
        <v>13.3849718863209</v>
      </c>
      <c r="BB17" s="11">
        <f>AV17-(AX17+AZ17)</f>
        <v>13.21546498520131</v>
      </c>
      <c r="BC17" s="11">
        <f t="shared" si="17"/>
        <v>2.33325654821647E-2</v>
      </c>
      <c r="BD17" s="11">
        <f t="shared" si="18"/>
        <v>0.669248594316045</v>
      </c>
      <c r="BE17" s="34">
        <f t="shared" si="19"/>
        <v>2.5781458375454293E-2</v>
      </c>
      <c r="BF17" s="11">
        <f t="shared" si="20"/>
        <v>0.66077324926006553</v>
      </c>
      <c r="BG17" s="11">
        <f t="shared" si="21"/>
        <v>28.683026511920232</v>
      </c>
      <c r="BH17" s="34">
        <f t="shared" si="22"/>
        <v>25.62978554732058</v>
      </c>
      <c r="BI17" s="10"/>
      <c r="BJ17" s="10"/>
      <c r="BK17" s="10"/>
      <c r="BL17" t="s">
        <v>146</v>
      </c>
      <c r="BM17">
        <v>155</v>
      </c>
      <c r="BQ17">
        <v>0.6</v>
      </c>
      <c r="BR17">
        <f t="shared" si="0"/>
        <v>1.1286</v>
      </c>
      <c r="BS17">
        <f t="shared" si="1"/>
        <v>7.4727000000000006</v>
      </c>
      <c r="BT17">
        <f t="shared" si="2"/>
        <v>3.7738799999999997</v>
      </c>
      <c r="BU17">
        <f t="shared" si="3"/>
        <v>24.987659999999998</v>
      </c>
      <c r="BV17">
        <f t="shared" si="4"/>
        <v>0.32471999999999995</v>
      </c>
      <c r="BW17">
        <f t="shared" si="5"/>
        <v>2.1500399999999997</v>
      </c>
    </row>
    <row r="18" spans="1:75" x14ac:dyDescent="0.25">
      <c r="A18">
        <v>11</v>
      </c>
      <c r="B18" s="11" t="s">
        <v>33</v>
      </c>
      <c r="C18" s="10">
        <v>342954</v>
      </c>
      <c r="D18" s="11">
        <v>379614</v>
      </c>
      <c r="E18">
        <v>329247</v>
      </c>
      <c r="F18" s="11">
        <v>331145</v>
      </c>
      <c r="G18" s="12">
        <v>0</v>
      </c>
      <c r="H18" s="34">
        <f t="shared" si="27"/>
        <v>0.872320304309114</v>
      </c>
      <c r="AB18" s="14">
        <v>44393</v>
      </c>
      <c r="AK18" s="11"/>
      <c r="AM18" s="11"/>
      <c r="AN18" s="34"/>
      <c r="AR18" s="58"/>
      <c r="AS18" s="67"/>
      <c r="AT18" s="69"/>
      <c r="AU18" s="11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1"/>
      <c r="BH18" s="10"/>
      <c r="BL18" t="s">
        <v>147</v>
      </c>
      <c r="BM18">
        <v>265</v>
      </c>
      <c r="BQ18">
        <v>0.65</v>
      </c>
      <c r="BR18">
        <f t="shared" si="0"/>
        <v>1.22265</v>
      </c>
      <c r="BS18">
        <f t="shared" si="1"/>
        <v>8.0954250000000005</v>
      </c>
      <c r="BT18">
        <f t="shared" si="2"/>
        <v>4.0883700000000003</v>
      </c>
      <c r="BU18">
        <f t="shared" si="3"/>
        <v>27.069965</v>
      </c>
      <c r="BV18">
        <f t="shared" si="4"/>
        <v>0.35177999999999993</v>
      </c>
      <c r="BW18">
        <f t="shared" si="5"/>
        <v>2.3292099999999998</v>
      </c>
    </row>
    <row r="19" spans="1:75" ht="15.75" thickBot="1" x14ac:dyDescent="0.3">
      <c r="A19">
        <v>12</v>
      </c>
      <c r="B19" s="11" t="s">
        <v>34</v>
      </c>
      <c r="C19" s="10">
        <v>346506</v>
      </c>
      <c r="D19" s="11">
        <v>347232</v>
      </c>
      <c r="E19">
        <v>265905</v>
      </c>
      <c r="F19" s="11">
        <v>267774</v>
      </c>
      <c r="G19" s="12">
        <v>0</v>
      </c>
      <c r="H19" s="34">
        <f t="shared" si="27"/>
        <v>0.77116740392590544</v>
      </c>
      <c r="O19" s="48" t="s">
        <v>182</v>
      </c>
      <c r="P19" s="52"/>
      <c r="AB19" t="s">
        <v>10</v>
      </c>
      <c r="AF19" s="10"/>
      <c r="AK19" s="11"/>
      <c r="AM19" s="11"/>
      <c r="AN19" s="34"/>
      <c r="AR19" s="58"/>
      <c r="AS19" s="67"/>
      <c r="AT19" s="69"/>
      <c r="AU19" s="11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1"/>
      <c r="BH19" s="10"/>
      <c r="BL19" t="s">
        <v>148</v>
      </c>
      <c r="BM19">
        <v>66</v>
      </c>
      <c r="BQ19">
        <v>0.7</v>
      </c>
      <c r="BR19">
        <f t="shared" si="0"/>
        <v>1.3167</v>
      </c>
      <c r="BS19">
        <f t="shared" si="1"/>
        <v>8.7181499999999996</v>
      </c>
      <c r="BT19">
        <f t="shared" si="2"/>
        <v>4.4028599999999996</v>
      </c>
      <c r="BU19">
        <f t="shared" si="3"/>
        <v>29.152269999999994</v>
      </c>
      <c r="BV19">
        <f t="shared" si="4"/>
        <v>0.3788399999999999</v>
      </c>
      <c r="BW19">
        <f t="shared" si="5"/>
        <v>2.5083799999999998</v>
      </c>
    </row>
    <row r="20" spans="1:75" x14ac:dyDescent="0.25">
      <c r="A20">
        <v>13</v>
      </c>
      <c r="B20" s="11" t="s">
        <v>31</v>
      </c>
      <c r="C20" s="12">
        <v>0</v>
      </c>
      <c r="D20" s="11">
        <v>0</v>
      </c>
      <c r="E20" s="12">
        <v>0</v>
      </c>
      <c r="F20" s="29">
        <v>0</v>
      </c>
      <c r="G20" s="31">
        <v>661560</v>
      </c>
      <c r="H20" s="34"/>
      <c r="L20" s="14">
        <v>44393</v>
      </c>
      <c r="M20" s="13" t="s">
        <v>49</v>
      </c>
      <c r="N20" t="s">
        <v>9</v>
      </c>
      <c r="O20" s="48" t="s">
        <v>183</v>
      </c>
      <c r="P20" s="52"/>
      <c r="Q20" t="s">
        <v>50</v>
      </c>
      <c r="R20" t="s">
        <v>51</v>
      </c>
      <c r="S20" t="s">
        <v>52</v>
      </c>
      <c r="T20" t="s">
        <v>53</v>
      </c>
      <c r="U20" t="s">
        <v>54</v>
      </c>
      <c r="AB20">
        <v>10</v>
      </c>
      <c r="AC20" s="11" t="s">
        <v>103</v>
      </c>
      <c r="AD20" s="11">
        <v>0</v>
      </c>
      <c r="AE20" s="10">
        <f>IF($AD$20&gt;0, AD20-$AD$20, AD20)</f>
        <v>0</v>
      </c>
      <c r="AF20" s="9">
        <v>0</v>
      </c>
      <c r="AG20" s="11">
        <f>IF(((AE20+9208.388)/3621708.254)&lt;0,0,((AE20+9208.388)/3621708.254))</f>
        <v>2.5425537768896168E-3</v>
      </c>
      <c r="AH20" s="12">
        <f>AF20*6</f>
        <v>0</v>
      </c>
      <c r="AI20">
        <f>AG20*$Y$14</f>
        <v>0.26848513244029348</v>
      </c>
      <c r="AJ20" s="11">
        <f>(AG20/$AK$3)*6</f>
        <v>2.5481930720745768E-2</v>
      </c>
      <c r="AK20" s="11">
        <f>AH20-(AI20+AJ20)</f>
        <v>-0.29396706316103927</v>
      </c>
      <c r="AL20">
        <f t="shared" ref="AL20:AL31" si="31">AG20/$AK$3</f>
        <v>4.2469884534576284E-3</v>
      </c>
      <c r="AM20" s="11">
        <f t="shared" ref="AM20:AM31" si="32">IF(AK20&lt;0,0,AK20/20)</f>
        <v>0</v>
      </c>
      <c r="AN20" s="34">
        <f t="shared" si="26"/>
        <v>0</v>
      </c>
      <c r="AR20" s="58">
        <f>IF(AD20&lt;=0,0,AD20*((78167.635*0+490037.486)/(78167.635*AB20+490037.486)))</f>
        <v>0</v>
      </c>
      <c r="AS20" s="11">
        <f>IF($AR$20&gt;0, AR20-$AR$20, AR20)</f>
        <v>0</v>
      </c>
      <c r="AT20" s="34">
        <f>IF(((AS20+9208.388)/3621708.254)&lt;=0,0,((AS20+9208.388)/3621708.254))</f>
        <v>2.5425537768896168E-3</v>
      </c>
      <c r="AU20" s="11">
        <f>IF(((AS20-726.712)/1662850.43)&lt;0,0,((AS20-726.712)/1662850.43))</f>
        <v>0</v>
      </c>
      <c r="AV20" s="11">
        <f>AF20*6</f>
        <v>0</v>
      </c>
      <c r="AW20" s="11">
        <f>AT20*$Y$14</f>
        <v>0.26848513244029348</v>
      </c>
      <c r="AX20" s="11">
        <f>AU20*$Y$14</f>
        <v>0</v>
      </c>
      <c r="AY20" s="11">
        <f>(AT20/$AK$3)*6</f>
        <v>2.5481930720745768E-2</v>
      </c>
      <c r="AZ20" s="11">
        <f>(AU20/$AK$3)*6</f>
        <v>0</v>
      </c>
      <c r="BA20" s="11">
        <f t="shared" si="16"/>
        <v>-0.29396706316103927</v>
      </c>
      <c r="BB20" s="11">
        <f>AV20-(AX20+AZ20)</f>
        <v>0</v>
      </c>
      <c r="BC20" s="11">
        <f t="shared" si="17"/>
        <v>4.2469884534576284E-3</v>
      </c>
      <c r="BD20" s="11">
        <f t="shared" si="18"/>
        <v>0</v>
      </c>
      <c r="BE20" s="34">
        <f t="shared" si="19"/>
        <v>0</v>
      </c>
      <c r="BF20" s="11">
        <f t="shared" si="20"/>
        <v>0</v>
      </c>
      <c r="BG20" s="11">
        <f t="shared" si="21"/>
        <v>0</v>
      </c>
      <c r="BH20" s="34"/>
      <c r="BI20" t="s">
        <v>127</v>
      </c>
      <c r="BJ20" s="22" t="s">
        <v>166</v>
      </c>
      <c r="BK20" s="50" t="s">
        <v>181</v>
      </c>
      <c r="BL20" t="s">
        <v>149</v>
      </c>
      <c r="BM20">
        <v>437</v>
      </c>
      <c r="BQ20">
        <v>0.75</v>
      </c>
      <c r="BR20">
        <f t="shared" si="0"/>
        <v>1.4107499999999999</v>
      </c>
      <c r="BS20">
        <f t="shared" si="1"/>
        <v>9.3408750000000005</v>
      </c>
      <c r="BT20">
        <f t="shared" si="2"/>
        <v>4.7173499999999997</v>
      </c>
      <c r="BU20">
        <f t="shared" si="3"/>
        <v>31.234575</v>
      </c>
      <c r="BV20">
        <f t="shared" si="4"/>
        <v>0.40589999999999993</v>
      </c>
      <c r="BW20">
        <f t="shared" si="5"/>
        <v>2.6875499999999999</v>
      </c>
    </row>
    <row r="21" spans="1:75" ht="15.75" thickBot="1" x14ac:dyDescent="0.3">
      <c r="A21">
        <v>14</v>
      </c>
      <c r="B21" s="11" t="s">
        <v>35</v>
      </c>
      <c r="C21" s="10">
        <v>320047</v>
      </c>
      <c r="D21" s="11">
        <v>322619</v>
      </c>
      <c r="E21">
        <v>250315</v>
      </c>
      <c r="F21" s="11">
        <v>253787</v>
      </c>
      <c r="G21" s="12">
        <v>0</v>
      </c>
      <c r="H21" s="34">
        <f t="shared" si="27"/>
        <v>0.7866461677706521</v>
      </c>
      <c r="L21" t="s">
        <v>10</v>
      </c>
      <c r="M21" t="s">
        <v>58</v>
      </c>
      <c r="N21" s="5" t="s">
        <v>19</v>
      </c>
      <c r="O21" s="5" t="s">
        <v>19</v>
      </c>
      <c r="P21" s="10"/>
      <c r="Q21" t="s">
        <v>56</v>
      </c>
      <c r="R21" t="s">
        <v>57</v>
      </c>
      <c r="S21" t="s">
        <v>57</v>
      </c>
      <c r="T21" t="s">
        <v>57</v>
      </c>
      <c r="U21" t="s">
        <v>56</v>
      </c>
      <c r="AB21">
        <v>11</v>
      </c>
      <c r="AC21" s="11" t="s">
        <v>104</v>
      </c>
      <c r="AD21" s="11">
        <v>67077</v>
      </c>
      <c r="AE21" s="10">
        <f t="shared" ref="AE21:AE23" si="33">IF($AD$20&gt;0, AD21-$AD$20, AD21)</f>
        <v>67077</v>
      </c>
      <c r="AF21" s="9">
        <v>2.5</v>
      </c>
      <c r="AG21" s="11">
        <f t="shared" ref="AG21:AG31" si="34">IF(((AE21+9208.388)/3621708.254)&lt;0,0,((AE21+9208.388)/3621708.254))</f>
        <v>2.1063371936639711E-2</v>
      </c>
      <c r="AH21" s="12">
        <f>AF21*6</f>
        <v>15</v>
      </c>
      <c r="AI21">
        <f>AG21*$Y$14</f>
        <v>2.2242212752589463</v>
      </c>
      <c r="AJ21" s="11">
        <f>(AG21/$AK$3)*6</f>
        <v>0.21110089757525541</v>
      </c>
      <c r="AK21" s="11">
        <f t="shared" si="25"/>
        <v>12.564677827165799</v>
      </c>
      <c r="AL21">
        <f t="shared" si="31"/>
        <v>3.5183482929209232E-2</v>
      </c>
      <c r="AM21" s="11">
        <f t="shared" si="32"/>
        <v>0.62823389135828989</v>
      </c>
      <c r="AN21" s="34">
        <f t="shared" si="26"/>
        <v>17.855932359576936</v>
      </c>
      <c r="AR21" s="58">
        <f>IF(AD21&lt;=0,0,AD21*((78167.635*0+490037.486)/(78167.635*AB21+490037.486)))</f>
        <v>24350.467174033831</v>
      </c>
      <c r="AS21" s="11">
        <f>IF($AR$20&gt;0, AR21-$AR$20, AR21)</f>
        <v>24350.467174033831</v>
      </c>
      <c r="AT21" s="34">
        <f t="shared" ref="AT21:AT31" si="35">IF(((AS21+9208.388)/3621708.254)&lt;=0,0,((AS21+9208.388)/3621708.254))</f>
        <v>9.2660294039338242E-3</v>
      </c>
      <c r="AU21" s="11">
        <f>IF(((AS21-726.712)/1662850.43)&lt;0,0,((AS21-726.712)/1662850.43))</f>
        <v>1.4206782972076348E-2</v>
      </c>
      <c r="AV21" s="11">
        <f>AF21*6</f>
        <v>15</v>
      </c>
      <c r="AW21" s="11">
        <f>AT21*$Y$14</f>
        <v>0.97846155873808771</v>
      </c>
      <c r="AX21" s="11">
        <f>AU21*$Y$14</f>
        <v>1.5001885279589193</v>
      </c>
      <c r="AY21" s="11">
        <f>(AT21/$AK$3)*6</f>
        <v>9.2865811324660819E-2</v>
      </c>
      <c r="AZ21" s="11">
        <f>(AU21/$AK$3)*6</f>
        <v>0.14238293118896611</v>
      </c>
      <c r="BA21" s="11">
        <f t="shared" si="16"/>
        <v>13.928672629937251</v>
      </c>
      <c r="BB21" s="11">
        <f>AV21-(AX21+AZ21)</f>
        <v>13.357428540852114</v>
      </c>
      <c r="BC21" s="11">
        <f t="shared" si="17"/>
        <v>1.5477635220776803E-2</v>
      </c>
      <c r="BD21" s="11">
        <f t="shared" si="18"/>
        <v>0.69643363149686255</v>
      </c>
      <c r="BE21" s="34">
        <f t="shared" si="19"/>
        <v>2.373048853149435E-2</v>
      </c>
      <c r="BF21" s="11">
        <f t="shared" si="20"/>
        <v>0.66787142704260571</v>
      </c>
      <c r="BG21" s="11">
        <f t="shared" si="21"/>
        <v>44.996126447145294</v>
      </c>
      <c r="BH21" s="34">
        <f t="shared" si="22"/>
        <v>28.144023506141814</v>
      </c>
      <c r="BI21" s="71" t="s">
        <v>186</v>
      </c>
      <c r="BJ21" s="51">
        <f>AVERAGE(BH15:BH17,BH21:BH22)</f>
        <v>25.405730986599234</v>
      </c>
      <c r="BK21" s="21">
        <f>STDEV(BH15:BH17,BH21:BH22)</f>
        <v>2.0258358003300194</v>
      </c>
      <c r="BQ21">
        <v>0.8</v>
      </c>
      <c r="BR21">
        <f t="shared" si="0"/>
        <v>1.5048000000000001</v>
      </c>
      <c r="BS21">
        <f t="shared" si="1"/>
        <v>9.9636000000000013</v>
      </c>
      <c r="BT21">
        <f t="shared" si="2"/>
        <v>5.0318399999999999</v>
      </c>
      <c r="BU21">
        <f t="shared" si="3"/>
        <v>33.316879999999998</v>
      </c>
      <c r="BV21">
        <f t="shared" si="4"/>
        <v>0.43295999999999996</v>
      </c>
      <c r="BW21">
        <f t="shared" si="5"/>
        <v>2.8667199999999999</v>
      </c>
    </row>
    <row r="22" spans="1:75" ht="15.75" thickBot="1" x14ac:dyDescent="0.3">
      <c r="A22">
        <v>15</v>
      </c>
      <c r="B22" s="11" t="s">
        <v>36</v>
      </c>
      <c r="C22" s="10">
        <v>335754</v>
      </c>
      <c r="D22" s="11">
        <v>337578</v>
      </c>
      <c r="E22">
        <v>262372</v>
      </c>
      <c r="F22" s="11">
        <v>263366</v>
      </c>
      <c r="G22" s="12">
        <v>0</v>
      </c>
      <c r="H22" s="34">
        <f t="shared" si="27"/>
        <v>0.78016339927364931</v>
      </c>
      <c r="L22">
        <v>1</v>
      </c>
      <c r="M22" s="3" t="s">
        <v>94</v>
      </c>
      <c r="N22" s="3">
        <v>0</v>
      </c>
      <c r="O22" s="10">
        <f>IF(N22&lt;=0,0,N22*((78167.635*0+490037.486)/(78167.635*L22+490037.486)))</f>
        <v>0</v>
      </c>
      <c r="P22" s="10">
        <f>IF(AVERAGE($O$22:$O$23,$O$30:$O$31)&gt;0,IF(O22-AVERAGE($O$22:$O$23,$O$30:$O$31)&lt;=0,0,O22-AVERAGE($O$22:$O$23,$O$30:$O$31)),O22)</f>
        <v>0</v>
      </c>
      <c r="Q22" s="12">
        <v>0</v>
      </c>
      <c r="R22">
        <f>Q22*10</f>
        <v>0</v>
      </c>
      <c r="S22">
        <f>(Q22*10*10)/($L$2*(10+10))</f>
        <v>0</v>
      </c>
      <c r="T22">
        <f>R22-S22</f>
        <v>0</v>
      </c>
      <c r="U22">
        <f>T22/10</f>
        <v>0</v>
      </c>
      <c r="AB22">
        <v>12</v>
      </c>
      <c r="AC22" s="11" t="s">
        <v>105</v>
      </c>
      <c r="AD22" s="11">
        <v>77765</v>
      </c>
      <c r="AE22" s="10">
        <f>IF($AD$20&gt;0, AD22-$AD$20, AD22)</f>
        <v>77765</v>
      </c>
      <c r="AF22" s="9">
        <v>2.5</v>
      </c>
      <c r="AG22" s="11">
        <f t="shared" si="34"/>
        <v>2.4014465522986878E-2</v>
      </c>
      <c r="AH22" s="12">
        <f>AF22*6</f>
        <v>15</v>
      </c>
      <c r="AI22">
        <f>AG22*$Y$14</f>
        <v>2.5358468383349</v>
      </c>
      <c r="AJ22" s="11">
        <f>(AG22/$AK$3)*6</f>
        <v>0.24067728766039634</v>
      </c>
      <c r="AK22" s="11">
        <f t="shared" si="25"/>
        <v>12.223475874004704</v>
      </c>
      <c r="AL22">
        <f t="shared" si="31"/>
        <v>4.0112881276732723E-2</v>
      </c>
      <c r="AM22" s="11">
        <f t="shared" si="32"/>
        <v>0.61117379370023517</v>
      </c>
      <c r="AN22" s="9">
        <f t="shared" si="26"/>
        <v>15.236347383870015</v>
      </c>
      <c r="AO22" s="22" t="s">
        <v>166</v>
      </c>
      <c r="AP22" s="50" t="s">
        <v>181</v>
      </c>
      <c r="AR22" s="58">
        <f>IF(AD22&lt;=0,0,AD22*((78167.635*0+490037.486)/(78167.635*AB22+490037.486)))</f>
        <v>26685.192363959224</v>
      </c>
      <c r="AS22" s="11">
        <f>IF($AR$20&gt;0, AR22-$AR$20, AR22)</f>
        <v>26685.192363959224</v>
      </c>
      <c r="AT22" s="34">
        <f t="shared" si="35"/>
        <v>9.9106769089742433E-3</v>
      </c>
      <c r="AU22" s="11">
        <f>IF(((AS22-726.712)/1662850.43)&lt;0,0,((AS22-726.712)/1662850.43))</f>
        <v>1.5610832998346836E-2</v>
      </c>
      <c r="AV22" s="11">
        <f>AF22*6</f>
        <v>15</v>
      </c>
      <c r="AW22" s="11">
        <f>AT22*$Y$14</f>
        <v>1.0465341683879861</v>
      </c>
      <c r="AX22" s="11">
        <f>AU22*$Y$14</f>
        <v>1.6484514912371961</v>
      </c>
      <c r="AY22" s="11">
        <f>(AT22/$AK$3)*6</f>
        <v>9.932658443083954E-2</v>
      </c>
      <c r="AZ22" s="11">
        <f>(AU22/$AK$3)*6</f>
        <v>0.15645457278926847</v>
      </c>
      <c r="BA22" s="11">
        <f t="shared" si="16"/>
        <v>13.854139247181175</v>
      </c>
      <c r="BB22" s="11">
        <f>AV22-(AX22+AZ22)</f>
        <v>13.195093935973535</v>
      </c>
      <c r="BC22" s="11">
        <f t="shared" si="17"/>
        <v>1.6554430738473257E-2</v>
      </c>
      <c r="BD22" s="11">
        <f t="shared" si="18"/>
        <v>0.69270696235905871</v>
      </c>
      <c r="BE22" s="34">
        <f t="shared" si="19"/>
        <v>2.6075762131544746E-2</v>
      </c>
      <c r="BF22" s="11">
        <f t="shared" si="20"/>
        <v>0.65975469679867671</v>
      </c>
      <c r="BG22" s="11">
        <f t="shared" si="21"/>
        <v>41.844203120145714</v>
      </c>
      <c r="BH22" s="34">
        <f t="shared" si="22"/>
        <v>25.301454027322514</v>
      </c>
      <c r="BI22" t="s">
        <v>201</v>
      </c>
      <c r="BJ22" s="19">
        <f>AVERAGE(BG15:BG17,BG21:BG22)</f>
        <v>33.869833383898957</v>
      </c>
      <c r="BK22" s="21">
        <f>STDEV(BG15:BG17,BG21:BG22)</f>
        <v>8.8960727790104706</v>
      </c>
    </row>
    <row r="23" spans="1:75" ht="15.75" thickBot="1" x14ac:dyDescent="0.3">
      <c r="A23">
        <v>16</v>
      </c>
      <c r="B23" s="11" t="s">
        <v>37</v>
      </c>
      <c r="C23" s="10">
        <v>325153</v>
      </c>
      <c r="D23" s="11">
        <v>328680</v>
      </c>
      <c r="E23">
        <v>255814</v>
      </c>
      <c r="F23" s="11">
        <v>258103</v>
      </c>
      <c r="G23" s="12">
        <v>0</v>
      </c>
      <c r="H23" s="34">
        <f t="shared" si="27"/>
        <v>0.78527138858464163</v>
      </c>
      <c r="L23">
        <v>2</v>
      </c>
      <c r="M23" s="11" t="s">
        <v>95</v>
      </c>
      <c r="N23" s="11">
        <v>0</v>
      </c>
      <c r="O23" s="10">
        <f t="shared" ref="O23:O31" si="36">IF(N23&lt;=0,0,N23*((78167.635*0+490037.486)/(78167.635*L23+490037.486)))</f>
        <v>0</v>
      </c>
      <c r="P23" s="10">
        <f t="shared" ref="P23:P31" si="37">IF(AVERAGE($O$22:$O$23,$O$30:$O$31)&gt;0,IF(O23-AVERAGE($O$22:$O$23,$O$30:$O$31)&lt;=0,0,O23-AVERAGE($O$22:$O$23,$O$30:$O$31)),O23)</f>
        <v>0</v>
      </c>
      <c r="Q23">
        <v>0</v>
      </c>
      <c r="R23">
        <f t="shared" ref="R23:R31" si="38">Q23*10</f>
        <v>0</v>
      </c>
      <c r="S23">
        <f t="shared" ref="S23:S31" si="39">(Q23*10*10)/($L$2*(10+10))</f>
        <v>0</v>
      </c>
      <c r="T23">
        <f t="shared" ref="T23:T31" si="40">R23-S23</f>
        <v>0</v>
      </c>
      <c r="U23">
        <f t="shared" ref="U23:U31" si="41">T23/10</f>
        <v>0</v>
      </c>
      <c r="AB23">
        <v>13</v>
      </c>
      <c r="AC23" s="5" t="s">
        <v>106</v>
      </c>
      <c r="AD23" s="35">
        <v>32193</v>
      </c>
      <c r="AE23" s="35">
        <f t="shared" si="33"/>
        <v>32193</v>
      </c>
      <c r="AF23" s="4">
        <v>2.5</v>
      </c>
      <c r="AG23" s="5">
        <f t="shared" si="34"/>
        <v>1.1431453086889091E-2</v>
      </c>
      <c r="AH23" s="39">
        <f>AF23*6</f>
        <v>15</v>
      </c>
      <c r="AI23" s="6">
        <f>AG23*$Y$14</f>
        <v>1.2071230209230952</v>
      </c>
      <c r="AJ23" s="5">
        <f>(AG23/$AK$3)*6</f>
        <v>0.11456807649272763</v>
      </c>
      <c r="AK23" s="5">
        <f t="shared" si="25"/>
        <v>13.678308902584178</v>
      </c>
      <c r="AL23" s="6">
        <f t="shared" si="31"/>
        <v>1.9094679415454605E-2</v>
      </c>
      <c r="AM23" s="5">
        <f t="shared" si="32"/>
        <v>0.68391544512920888</v>
      </c>
      <c r="AN23" s="4">
        <f t="shared" si="26"/>
        <v>35.817068736732509</v>
      </c>
      <c r="AO23" s="51">
        <f>AVERAGE(AN21:AN23)</f>
        <v>22.969782826726487</v>
      </c>
      <c r="AP23" s="21">
        <f>STDEV(AN21:AN23)</f>
        <v>11.202906890683192</v>
      </c>
      <c r="AR23" s="59">
        <f>IF(AD23&lt;=0,0,AD23*((78167.635*0+490037.486)/(78167.635*AB23+490037.486)))</f>
        <v>10473.776022648788</v>
      </c>
      <c r="AS23" s="5">
        <f>IF($AR$20&gt;0, AR23-$AR$20, AR23)</f>
        <v>10473.776022648788</v>
      </c>
      <c r="AT23" s="35">
        <f t="shared" si="35"/>
        <v>5.4344973814251319E-3</v>
      </c>
      <c r="AU23" s="5">
        <f>IF(((AS23-726.712)/1662850.43)&lt;0,0,((AS23-726.712)/1662850.43))</f>
        <v>5.861660102916646E-3</v>
      </c>
      <c r="AV23" s="11">
        <f>AF23*6</f>
        <v>15</v>
      </c>
      <c r="AW23" s="5">
        <f>AT23*$Y$14</f>
        <v>0.57386465626040506</v>
      </c>
      <c r="AX23" s="5">
        <f>AU23*$Y$14</f>
        <v>0.61897160380882832</v>
      </c>
      <c r="AY23" s="5">
        <f>(AT23/$AK$3)*6</f>
        <v>5.4465509061900001E-2</v>
      </c>
      <c r="AZ23" s="5">
        <f>(AU23/$AK$3)*6</f>
        <v>5.8746610596298168E-2</v>
      </c>
      <c r="BA23" s="35">
        <f t="shared" si="16"/>
        <v>14.371669834677695</v>
      </c>
      <c r="BB23" s="35">
        <f>AV23-(AX23+AZ23)</f>
        <v>14.322281785594873</v>
      </c>
      <c r="BC23" s="5">
        <f t="shared" si="17"/>
        <v>9.0775848436500002E-3</v>
      </c>
      <c r="BD23" s="5">
        <f t="shared" si="18"/>
        <v>0.71858349173388469</v>
      </c>
      <c r="BE23" s="35">
        <f t="shared" si="19"/>
        <v>9.7911017660496941E-3</v>
      </c>
      <c r="BF23" s="5">
        <f t="shared" si="20"/>
        <v>0.71611408927974363</v>
      </c>
      <c r="BG23" s="73">
        <f t="shared" si="21"/>
        <v>79.160206608980587</v>
      </c>
      <c r="BH23" s="74">
        <f t="shared" si="22"/>
        <v>73.139275475906544</v>
      </c>
      <c r="BK23" s="10"/>
    </row>
    <row r="24" spans="1:75" x14ac:dyDescent="0.25">
      <c r="A24">
        <v>17</v>
      </c>
      <c r="B24" s="11" t="s">
        <v>38</v>
      </c>
      <c r="C24" s="10">
        <v>337632</v>
      </c>
      <c r="D24" s="11">
        <v>338609</v>
      </c>
      <c r="E24">
        <v>265080</v>
      </c>
      <c r="F24" s="11">
        <v>267778</v>
      </c>
      <c r="G24" s="12">
        <v>0</v>
      </c>
      <c r="H24" s="34">
        <f t="shared" si="27"/>
        <v>0.79081772782176496</v>
      </c>
      <c r="L24">
        <v>3</v>
      </c>
      <c r="M24" s="11" t="s">
        <v>96</v>
      </c>
      <c r="N24" s="11">
        <v>40054</v>
      </c>
      <c r="O24" s="10">
        <f t="shared" si="36"/>
        <v>27090.223965504225</v>
      </c>
      <c r="P24" s="10">
        <f t="shared" si="37"/>
        <v>27090.223965504225</v>
      </c>
      <c r="Q24">
        <v>0.1</v>
      </c>
      <c r="R24">
        <f t="shared" si="38"/>
        <v>1</v>
      </c>
      <c r="S24">
        <f t="shared" si="39"/>
        <v>0.83518163746630725</v>
      </c>
      <c r="T24">
        <f t="shared" si="40"/>
        <v>0.16481836253369275</v>
      </c>
      <c r="U24">
        <f t="shared" si="41"/>
        <v>1.6481836253369277E-2</v>
      </c>
      <c r="AB24">
        <v>14</v>
      </c>
      <c r="AC24" s="49" t="s">
        <v>107</v>
      </c>
      <c r="AD24" s="11">
        <v>69765</v>
      </c>
      <c r="AE24" s="10">
        <f>IF(AVERAGE($AD$24:$AD$25)&gt;0, AD24-AVERAGE($AD$24:$AD$25), AD24)</f>
        <v>1518</v>
      </c>
      <c r="AF24" s="9">
        <v>0</v>
      </c>
      <c r="AG24" s="11">
        <f t="shared" si="34"/>
        <v>2.9616930044415444E-3</v>
      </c>
      <c r="AH24" s="12">
        <f>AF24*6</f>
        <v>0</v>
      </c>
      <c r="AI24">
        <f>AG24*$Z$14</f>
        <v>0.31528060247281497</v>
      </c>
      <c r="AJ24" s="11">
        <f>(AG24/$AK$3)*6</f>
        <v>2.9682619357463951E-2</v>
      </c>
      <c r="AK24" s="11">
        <f t="shared" si="25"/>
        <v>-0.34496322183027894</v>
      </c>
      <c r="AL24">
        <f t="shared" si="31"/>
        <v>4.9471032262439919E-3</v>
      </c>
      <c r="AM24" s="11">
        <f t="shared" si="32"/>
        <v>0</v>
      </c>
      <c r="AN24" s="34">
        <f t="shared" si="26"/>
        <v>0</v>
      </c>
      <c r="AR24" s="58">
        <f>IF(AD24&lt;=0,0,AD24*((78167.635*0+490037.486)/(78167.635*AB24+490037.486)))</f>
        <v>21577.759619860073</v>
      </c>
      <c r="AS24" s="11">
        <f>IF(AVERAGE($AR$24:$AR$25)&gt;0, AR24-AVERAGE($AR$24:$AR$25), AR24)</f>
        <v>954.68780061490543</v>
      </c>
      <c r="AT24" s="34">
        <f t="shared" si="35"/>
        <v>2.8061552968520545E-3</v>
      </c>
      <c r="AU24" s="11">
        <f t="shared" ref="AU24:AU31" si="42">IF(((AS24-726.712)/1662850.43)&lt;0,0,((AS24-726.712)/1662850.43))</f>
        <v>1.3709940262931854E-4</v>
      </c>
      <c r="AV24" s="11">
        <f>AF24*6</f>
        <v>0</v>
      </c>
      <c r="AW24" s="11">
        <f>AT24*$Z$14</f>
        <v>0.29872317329885456</v>
      </c>
      <c r="AX24" s="11">
        <f>AU24*$Z$14</f>
        <v>1.459461942706821E-2</v>
      </c>
      <c r="AY24" s="11">
        <f>(AT24/$AK$3)*6</f>
        <v>2.8123792509715799E-2</v>
      </c>
      <c r="AZ24" s="11">
        <f>(AU24/$AK$3)*6</f>
        <v>1.3740348430032817E-3</v>
      </c>
      <c r="BA24" s="11">
        <f t="shared" si="16"/>
        <v>-0.32684696580857037</v>
      </c>
      <c r="BB24" s="11">
        <f>AV24-(AX24+AZ24)</f>
        <v>-1.5968654270071492E-2</v>
      </c>
      <c r="BC24" s="11">
        <f t="shared" si="17"/>
        <v>4.6872987516193001E-3</v>
      </c>
      <c r="BD24" s="11">
        <f t="shared" si="18"/>
        <v>0</v>
      </c>
      <c r="BE24" s="34">
        <f t="shared" si="19"/>
        <v>2.2900580716721361E-4</v>
      </c>
      <c r="BF24" s="11">
        <f t="shared" si="20"/>
        <v>0</v>
      </c>
      <c r="BG24" s="11">
        <f t="shared" si="21"/>
        <v>0</v>
      </c>
      <c r="BH24" s="34"/>
    </row>
    <row r="25" spans="1:75" x14ac:dyDescent="0.25">
      <c r="A25">
        <v>18</v>
      </c>
      <c r="B25" s="11" t="s">
        <v>39</v>
      </c>
      <c r="C25" s="12">
        <v>0</v>
      </c>
      <c r="D25" s="29">
        <v>0</v>
      </c>
      <c r="E25" s="12">
        <v>0</v>
      </c>
      <c r="F25" s="29">
        <v>0</v>
      </c>
      <c r="G25" s="12">
        <v>0</v>
      </c>
      <c r="H25" s="34"/>
      <c r="L25">
        <v>4</v>
      </c>
      <c r="M25" s="11" t="s">
        <v>97</v>
      </c>
      <c r="N25" s="11">
        <v>47478</v>
      </c>
      <c r="O25" s="10">
        <f t="shared" si="36"/>
        <v>28984.386609718535</v>
      </c>
      <c r="P25" s="10">
        <f t="shared" si="37"/>
        <v>28984.386609718535</v>
      </c>
      <c r="Q25">
        <v>0.1</v>
      </c>
      <c r="R25">
        <f t="shared" si="38"/>
        <v>1</v>
      </c>
      <c r="S25">
        <f t="shared" si="39"/>
        <v>0.83518163746630725</v>
      </c>
      <c r="T25">
        <f t="shared" si="40"/>
        <v>0.16481836253369275</v>
      </c>
      <c r="U25">
        <f t="shared" si="41"/>
        <v>1.6481836253369277E-2</v>
      </c>
      <c r="AB25">
        <v>15</v>
      </c>
      <c r="AC25" s="49" t="s">
        <v>119</v>
      </c>
      <c r="AD25" s="11">
        <v>66729</v>
      </c>
      <c r="AE25" s="10">
        <f>IF(AVERAGE($AD$24:$AD$25)&gt;0, AD25-AVERAGE($AD$24:$AD$25), AD25)</f>
        <v>-1518</v>
      </c>
      <c r="AF25" s="28">
        <v>0</v>
      </c>
      <c r="AG25" s="11">
        <f t="shared" si="34"/>
        <v>2.1234145493376896E-3</v>
      </c>
      <c r="AH25" s="12">
        <f>AF25*6</f>
        <v>0</v>
      </c>
      <c r="AI25">
        <f>AG25*$Z$14</f>
        <v>0.22604348844081593</v>
      </c>
      <c r="AJ25" s="11">
        <f>(AG25/$AK$3)*6</f>
        <v>2.1281242084027589E-2</v>
      </c>
      <c r="AK25" s="11">
        <f>AH25-(AI25+AJ25)</f>
        <v>-0.24732473052484352</v>
      </c>
      <c r="AL25">
        <f t="shared" si="31"/>
        <v>3.5468736806712649E-3</v>
      </c>
      <c r="AM25" s="11">
        <f t="shared" si="32"/>
        <v>0</v>
      </c>
      <c r="AN25" s="34">
        <f t="shared" si="26"/>
        <v>0</v>
      </c>
      <c r="AR25" s="58">
        <f>IF(AD25&lt;=0,0,AD25*((78167.635*0+490037.486)/(78167.635*AB25+490037.486)))</f>
        <v>19668.384018630259</v>
      </c>
      <c r="AS25" s="11">
        <f t="shared" ref="AS25:AS31" si="43">IF(AVERAGE($AR$24:$AR$25)&gt;0, AR25-AVERAGE($AR$24:$AR$25), AR25)</f>
        <v>-954.68780061490907</v>
      </c>
      <c r="AT25" s="34">
        <f>IF(((AS25+9208.388)/3621708.254)&lt;=0,0,((AS25+9208.388)/3621708.254))</f>
        <v>2.2789522569271786E-3</v>
      </c>
      <c r="AU25" s="11">
        <f t="shared" si="42"/>
        <v>0</v>
      </c>
      <c r="AV25" s="11">
        <f>AF25*6</f>
        <v>0</v>
      </c>
      <c r="AW25" s="11">
        <f>AT25*$Z$14</f>
        <v>0.24260091761477626</v>
      </c>
      <c r="AX25" s="11">
        <f>AU25*$Z$14</f>
        <v>0</v>
      </c>
      <c r="AY25" s="11">
        <f>(AT25/$AK$3)*6</f>
        <v>2.2840068931775731E-2</v>
      </c>
      <c r="AZ25" s="11">
        <f>(AU25/$AK$3)*6</f>
        <v>0</v>
      </c>
      <c r="BA25" s="11">
        <f t="shared" si="16"/>
        <v>-0.26544098654655202</v>
      </c>
      <c r="BB25" s="11">
        <f>AV25-(AX25+AZ25)</f>
        <v>0</v>
      </c>
      <c r="BC25" s="11">
        <f t="shared" si="17"/>
        <v>3.8066781552959549E-3</v>
      </c>
      <c r="BD25" s="11">
        <f t="shared" si="18"/>
        <v>0</v>
      </c>
      <c r="BE25" s="34">
        <f t="shared" si="19"/>
        <v>0</v>
      </c>
      <c r="BF25" s="11">
        <f t="shared" si="20"/>
        <v>0</v>
      </c>
      <c r="BG25" s="11">
        <f t="shared" si="21"/>
        <v>0</v>
      </c>
      <c r="BH25" s="34"/>
    </row>
    <row r="26" spans="1:75" x14ac:dyDescent="0.25">
      <c r="A26">
        <v>19</v>
      </c>
      <c r="B26" s="11" t="s">
        <v>40</v>
      </c>
      <c r="C26" s="12">
        <v>0</v>
      </c>
      <c r="D26">
        <v>51443</v>
      </c>
      <c r="E26" s="12">
        <v>0</v>
      </c>
      <c r="F26" s="11">
        <v>39839</v>
      </c>
      <c r="G26" s="12">
        <v>0</v>
      </c>
      <c r="H26" s="34">
        <f t="shared" si="27"/>
        <v>0.77442995159691308</v>
      </c>
      <c r="L26">
        <v>5</v>
      </c>
      <c r="M26" s="11" t="s">
        <v>98</v>
      </c>
      <c r="N26" s="11">
        <v>250729</v>
      </c>
      <c r="O26" s="10">
        <f t="shared" si="36"/>
        <v>139482.35178596224</v>
      </c>
      <c r="P26" s="10">
        <f t="shared" si="37"/>
        <v>139482.35178596224</v>
      </c>
      <c r="Q26">
        <v>0.5</v>
      </c>
      <c r="R26">
        <f t="shared" si="38"/>
        <v>5</v>
      </c>
      <c r="S26">
        <f t="shared" si="39"/>
        <v>4.1759081873315358</v>
      </c>
      <c r="T26">
        <f t="shared" si="40"/>
        <v>0.82409181266846421</v>
      </c>
      <c r="U26">
        <f t="shared" si="41"/>
        <v>8.2409181266846418E-2</v>
      </c>
      <c r="AB26">
        <v>16</v>
      </c>
      <c r="AC26" s="11" t="s">
        <v>108</v>
      </c>
      <c r="AD26" s="11">
        <v>467353</v>
      </c>
      <c r="AE26" s="10">
        <f t="shared" ref="AE26:AE31" si="44">IF(AVERAGE($AD$24:$AD$25)&gt;0, AD26-AVERAGE($AD$24:$AD$25), AD26)</f>
        <v>399106</v>
      </c>
      <c r="AF26" s="9">
        <v>2.5</v>
      </c>
      <c r="AG26" s="11">
        <f t="shared" si="34"/>
        <v>0.11274082818488669</v>
      </c>
      <c r="AH26" s="12">
        <f>AF26*6</f>
        <v>15</v>
      </c>
      <c r="AI26">
        <f>AG26*$Z$14</f>
        <v>12.001580238096805</v>
      </c>
      <c r="AJ26" s="11">
        <f>(AG26/$AK$3)*6</f>
        <v>1.1299088339131351</v>
      </c>
      <c r="AK26" s="11">
        <f t="shared" si="25"/>
        <v>1.8685109279900605</v>
      </c>
      <c r="AL26">
        <f t="shared" si="31"/>
        <v>0.18831813898552252</v>
      </c>
      <c r="AM26" s="11">
        <f t="shared" si="32"/>
        <v>9.3425546399503026E-2</v>
      </c>
      <c r="AN26" s="34">
        <f t="shared" si="26"/>
        <v>0.49610487286455912</v>
      </c>
      <c r="AR26" s="58">
        <f>IF(AD26&lt;=0,0,AD26*((78167.635*0+490037.486)/(78167.635*AB26+490037.486)))</f>
        <v>131566.55623484473</v>
      </c>
      <c r="AS26" s="11">
        <f t="shared" si="43"/>
        <v>110943.48441559955</v>
      </c>
      <c r="AT26" s="34">
        <f t="shared" si="35"/>
        <v>3.3175469692484943E-2</v>
      </c>
      <c r="AU26" s="11">
        <f t="shared" si="42"/>
        <v>6.6281831743339389E-2</v>
      </c>
      <c r="AV26" s="11">
        <f>AF26*6</f>
        <v>15</v>
      </c>
      <c r="AW26" s="11">
        <f>AT26*$Z$14</f>
        <v>3.5316226416037746</v>
      </c>
      <c r="AX26" s="11">
        <f>AU26*$Z$14</f>
        <v>7.0558885791683172</v>
      </c>
      <c r="AY26" s="11">
        <f>(AT26/$AK$3)*6</f>
        <v>0.3324905172178011</v>
      </c>
      <c r="AZ26" s="11">
        <f>(AU26/$AK$3)*6</f>
        <v>0.66428842523602138</v>
      </c>
      <c r="BA26" s="11">
        <f t="shared" si="16"/>
        <v>11.135886841178424</v>
      </c>
      <c r="BB26" s="11">
        <f>AV26-(AX26+AZ26)</f>
        <v>7.2798229955956613</v>
      </c>
      <c r="BC26" s="11">
        <f>AT26/$AZ$2</f>
        <v>5.5415086202966847E-2</v>
      </c>
      <c r="BD26" s="11">
        <f>IF(BA26&lt;0,0,BA26/20)</f>
        <v>0.5567943420589212</v>
      </c>
      <c r="BE26" s="34">
        <f t="shared" si="19"/>
        <v>0.1107147375393369</v>
      </c>
      <c r="BF26" s="11">
        <f t="shared" si="20"/>
        <v>0.36399114977978309</v>
      </c>
      <c r="BG26" s="11">
        <f>BD26/BC26</f>
        <v>10.047703255744665</v>
      </c>
      <c r="BH26" s="34">
        <f t="shared" si="22"/>
        <v>3.2876485811155645</v>
      </c>
    </row>
    <row r="27" spans="1:75" ht="15.75" thickBot="1" x14ac:dyDescent="0.3">
      <c r="A27">
        <v>20</v>
      </c>
      <c r="B27" s="11" t="s">
        <v>41</v>
      </c>
      <c r="C27" s="12">
        <v>0</v>
      </c>
      <c r="D27">
        <v>57424</v>
      </c>
      <c r="E27" s="12">
        <v>0</v>
      </c>
      <c r="F27" s="11">
        <v>46678</v>
      </c>
      <c r="G27" s="12">
        <v>0</v>
      </c>
      <c r="H27" s="34">
        <f t="shared" si="27"/>
        <v>0.81286570075229869</v>
      </c>
      <c r="L27">
        <v>6</v>
      </c>
      <c r="M27" s="11" t="s">
        <v>99</v>
      </c>
      <c r="N27" s="11">
        <v>278296</v>
      </c>
      <c r="O27" s="10">
        <f t="shared" si="36"/>
        <v>142199.49482224003</v>
      </c>
      <c r="P27" s="10">
        <f t="shared" si="37"/>
        <v>142199.49482224003</v>
      </c>
      <c r="Q27">
        <v>0.5</v>
      </c>
      <c r="R27">
        <f t="shared" si="38"/>
        <v>5</v>
      </c>
      <c r="S27">
        <f t="shared" si="39"/>
        <v>4.1759081873315358</v>
      </c>
      <c r="T27">
        <f t="shared" si="40"/>
        <v>0.82409181266846421</v>
      </c>
      <c r="U27">
        <f t="shared" si="41"/>
        <v>8.2409181266846418E-2</v>
      </c>
      <c r="AB27">
        <v>17</v>
      </c>
      <c r="AC27" s="11" t="s">
        <v>109</v>
      </c>
      <c r="AD27" s="11">
        <v>479265</v>
      </c>
      <c r="AE27" s="10">
        <f t="shared" si="44"/>
        <v>411018</v>
      </c>
      <c r="AF27" s="9">
        <v>2.5</v>
      </c>
      <c r="AG27" s="11">
        <f t="shared" si="34"/>
        <v>0.11602988383613738</v>
      </c>
      <c r="AH27" s="12">
        <f>AF27*6</f>
        <v>15</v>
      </c>
      <c r="AI27">
        <f>AG27*$Z$14</f>
        <v>12.351709520820512</v>
      </c>
      <c r="AJ27" s="11">
        <f>(AG27/$AK$3)*6</f>
        <v>1.1628723405274877</v>
      </c>
      <c r="AK27" s="11">
        <f t="shared" si="25"/>
        <v>1.4854181386520011</v>
      </c>
      <c r="AL27">
        <f t="shared" si="31"/>
        <v>0.19381205675458127</v>
      </c>
      <c r="AM27" s="11">
        <f t="shared" si="32"/>
        <v>7.427090693260005E-2</v>
      </c>
      <c r="AN27" s="34">
        <f t="shared" si="26"/>
        <v>0.3832109734362254</v>
      </c>
      <c r="AR27" s="58">
        <f>IF(AD27&lt;=0,0,AD27*((78167.635*0+490037.486)/(78167.635*AB27+490037.486)))</f>
        <v>129121.69884362943</v>
      </c>
      <c r="AS27" s="11">
        <f t="shared" si="43"/>
        <v>108498.62702438427</v>
      </c>
      <c r="AT27" s="34">
        <f t="shared" si="35"/>
        <v>3.2500413277182838E-2</v>
      </c>
      <c r="AU27" s="11">
        <f t="shared" si="42"/>
        <v>6.4811550744455271E-2</v>
      </c>
      <c r="AV27" s="11">
        <f>AF27*6</f>
        <v>15</v>
      </c>
      <c r="AW27" s="11">
        <f>AT27*$Z$14</f>
        <v>3.4597609756578409</v>
      </c>
      <c r="AX27" s="11">
        <f>AU27*$Z$14</f>
        <v>6.8993730056644651</v>
      </c>
      <c r="AY27" s="11">
        <f>(AT27/$AK$3)*6</f>
        <v>0.3257249805500313</v>
      </c>
      <c r="AZ27" s="11">
        <f>(AU27/$AK$3)*6</f>
        <v>0.64955300492981782</v>
      </c>
      <c r="BA27" s="11">
        <f t="shared" si="16"/>
        <v>11.214514043792128</v>
      </c>
      <c r="BB27" s="11">
        <f>AV27-(AX27+AZ27)</f>
        <v>7.4510739894057174</v>
      </c>
      <c r="BC27" s="11">
        <f t="shared" si="17"/>
        <v>5.4287496758338549E-2</v>
      </c>
      <c r="BD27" s="11">
        <f t="shared" si="18"/>
        <v>0.56072570218960638</v>
      </c>
      <c r="BE27" s="34">
        <f t="shared" si="19"/>
        <v>0.10825883415496963</v>
      </c>
      <c r="BF27" s="11">
        <f t="shared" si="20"/>
        <v>0.37255369947028588</v>
      </c>
      <c r="BG27" s="11">
        <f>BD27/BC27</f>
        <v>10.328818524930034</v>
      </c>
      <c r="BH27" s="34">
        <f>BF27/BE27</f>
        <v>3.4413237716654623</v>
      </c>
    </row>
    <row r="28" spans="1:75" x14ac:dyDescent="0.25">
      <c r="A28">
        <v>21</v>
      </c>
      <c r="B28" s="11" t="s">
        <v>42</v>
      </c>
      <c r="C28" s="12">
        <v>0</v>
      </c>
      <c r="D28">
        <v>52605</v>
      </c>
      <c r="E28" s="12">
        <v>0</v>
      </c>
      <c r="F28" s="11">
        <v>40566</v>
      </c>
      <c r="G28" s="12">
        <v>0</v>
      </c>
      <c r="H28" s="34">
        <f t="shared" si="27"/>
        <v>0.77114342743085262</v>
      </c>
      <c r="L28">
        <v>7</v>
      </c>
      <c r="M28" s="11" t="s">
        <v>100</v>
      </c>
      <c r="N28" s="11">
        <v>563189</v>
      </c>
      <c r="O28" s="10">
        <f t="shared" si="36"/>
        <v>266082.54257094214</v>
      </c>
      <c r="P28" s="10">
        <f t="shared" si="37"/>
        <v>266082.54257094214</v>
      </c>
      <c r="Q28">
        <v>1</v>
      </c>
      <c r="R28">
        <f t="shared" si="38"/>
        <v>10</v>
      </c>
      <c r="S28">
        <f t="shared" si="39"/>
        <v>8.3518163746630716</v>
      </c>
      <c r="T28">
        <f t="shared" si="40"/>
        <v>1.6481836253369284</v>
      </c>
      <c r="U28">
        <f t="shared" si="41"/>
        <v>0.16481836253369284</v>
      </c>
      <c r="AB28">
        <v>19</v>
      </c>
      <c r="AC28" s="11" t="s">
        <v>110</v>
      </c>
      <c r="AD28" s="11">
        <v>430853</v>
      </c>
      <c r="AE28" s="10">
        <f t="shared" si="44"/>
        <v>362606</v>
      </c>
      <c r="AF28" s="9">
        <v>2.5</v>
      </c>
      <c r="AG28" s="11">
        <f t="shared" si="34"/>
        <v>0.10266271105336801</v>
      </c>
      <c r="AH28" s="12">
        <f>AF28*6</f>
        <v>15</v>
      </c>
      <c r="AI28">
        <f>AG28*$Z$14</f>
        <v>10.928736146473629</v>
      </c>
      <c r="AJ28" s="11">
        <f>(AG28/$AK$3)*6</f>
        <v>1.0289041334913869</v>
      </c>
      <c r="AK28" s="11">
        <f t="shared" si="25"/>
        <v>3.0423597200349839</v>
      </c>
      <c r="AL28">
        <f t="shared" si="31"/>
        <v>0.17148402224856449</v>
      </c>
      <c r="AM28" s="11">
        <f t="shared" si="32"/>
        <v>0.15211798600174919</v>
      </c>
      <c r="AN28" s="34">
        <f t="shared" si="26"/>
        <v>0.88706798456858915</v>
      </c>
      <c r="AR28" s="58">
        <f>IF(AD28&lt;=0,0,AD28*((78167.635*0+490037.486)/(78167.635*AB28+490037.486)))</f>
        <v>106891.30743706155</v>
      </c>
      <c r="AS28" s="11">
        <f t="shared" si="43"/>
        <v>86268.23561781639</v>
      </c>
      <c r="AT28" s="34">
        <f t="shared" si="35"/>
        <v>2.6362317702528115E-2</v>
      </c>
      <c r="AU28" s="11">
        <f t="shared" si="42"/>
        <v>5.1442704692217206E-2</v>
      </c>
      <c r="AV28" s="11">
        <f>AF28*6</f>
        <v>15</v>
      </c>
      <c r="AW28" s="11">
        <f>AT28*$Z$14</f>
        <v>2.806343329767238</v>
      </c>
      <c r="AX28" s="11">
        <f>AU28*$Z$14</f>
        <v>5.4762215070469713</v>
      </c>
      <c r="AY28" s="11">
        <f>(AT28/$AK$3)*6</f>
        <v>0.26420788399445339</v>
      </c>
      <c r="AZ28" s="11">
        <f>(AU28/$AK$3)*6</f>
        <v>0.51556802808649982</v>
      </c>
      <c r="BA28" s="11">
        <f t="shared" si="16"/>
        <v>11.929448786238309</v>
      </c>
      <c r="BB28" s="11">
        <f>AV28-(AX28+AZ28)</f>
        <v>9.0082104648665293</v>
      </c>
      <c r="BC28" s="11">
        <f t="shared" si="17"/>
        <v>4.4034647332408895E-2</v>
      </c>
      <c r="BD28" s="11">
        <f t="shared" si="18"/>
        <v>0.5964724393119154</v>
      </c>
      <c r="BE28" s="34">
        <f t="shared" si="19"/>
        <v>8.5928004681083303E-2</v>
      </c>
      <c r="BF28" s="11">
        <f t="shared" si="20"/>
        <v>0.45041052324332648</v>
      </c>
      <c r="BG28" s="11">
        <f t="shared" si="21"/>
        <v>13.545525522420158</v>
      </c>
      <c r="BH28" s="34">
        <f t="shared" si="22"/>
        <v>5.2417197968811031</v>
      </c>
      <c r="BI28" t="s">
        <v>128</v>
      </c>
      <c r="BJ28" s="22" t="s">
        <v>166</v>
      </c>
      <c r="BK28" s="50" t="s">
        <v>181</v>
      </c>
    </row>
    <row r="29" spans="1:75" ht="15.75" thickBot="1" x14ac:dyDescent="0.3">
      <c r="L29">
        <v>8</v>
      </c>
      <c r="M29" s="11" t="s">
        <v>101</v>
      </c>
      <c r="N29" s="11">
        <v>638327</v>
      </c>
      <c r="O29" s="10">
        <f t="shared" si="36"/>
        <v>280446.62849108578</v>
      </c>
      <c r="P29" s="10">
        <f t="shared" si="37"/>
        <v>280446.62849108578</v>
      </c>
      <c r="Q29">
        <v>1</v>
      </c>
      <c r="R29">
        <f t="shared" si="38"/>
        <v>10</v>
      </c>
      <c r="S29">
        <f t="shared" si="39"/>
        <v>8.3518163746630716</v>
      </c>
      <c r="T29">
        <f t="shared" si="40"/>
        <v>1.6481836253369284</v>
      </c>
      <c r="U29">
        <f t="shared" si="41"/>
        <v>0.16481836253369284</v>
      </c>
      <c r="AB29">
        <v>20</v>
      </c>
      <c r="AC29" s="11" t="s">
        <v>111</v>
      </c>
      <c r="AD29" s="11">
        <v>510648</v>
      </c>
      <c r="AE29" s="10">
        <f t="shared" si="44"/>
        <v>442401</v>
      </c>
      <c r="AF29" s="9">
        <v>2.5</v>
      </c>
      <c r="AG29" s="11">
        <f t="shared" si="34"/>
        <v>0.12469513177965658</v>
      </c>
      <c r="AH29" s="12">
        <f>AF29*6</f>
        <v>15</v>
      </c>
      <c r="AI29">
        <f>AG29*$Z$14</f>
        <v>13.274149688694761</v>
      </c>
      <c r="AJ29" s="11">
        <f>(AG29/$AK$3)*6</f>
        <v>1.2497170121257266</v>
      </c>
      <c r="AK29" s="11">
        <f t="shared" si="25"/>
        <v>0.47613329917951219</v>
      </c>
      <c r="AL29">
        <f t="shared" si="31"/>
        <v>0.20828616868762109</v>
      </c>
      <c r="AM29" s="11">
        <f t="shared" si="32"/>
        <v>2.3806664958975609E-2</v>
      </c>
      <c r="AN29" s="34">
        <f t="shared" si="26"/>
        <v>0.1142978677315816</v>
      </c>
      <c r="AR29" s="58">
        <f>IF(AD29&lt;=0,0,AD29*((78167.635*0+490037.486)/(78167.635*AB29+490037.486)))</f>
        <v>121865.13009414374</v>
      </c>
      <c r="AS29" s="11">
        <f t="shared" si="43"/>
        <v>101242.05827489856</v>
      </c>
      <c r="AT29" s="34">
        <f t="shared" si="35"/>
        <v>3.0496781774984619E-2</v>
      </c>
      <c r="AU29" s="11">
        <f t="shared" si="42"/>
        <v>6.0447617212871375E-2</v>
      </c>
      <c r="AV29" s="11">
        <f>AF29*6</f>
        <v>15</v>
      </c>
      <c r="AW29" s="11">
        <f>AT29*$Z$14</f>
        <v>3.2464687315936458</v>
      </c>
      <c r="AX29" s="11">
        <f>AU29*$Z$14</f>
        <v>6.4348199304720808</v>
      </c>
      <c r="AY29" s="11">
        <f>(AT29/$AK$3)*6</f>
        <v>0.30564422568341149</v>
      </c>
      <c r="AZ29" s="11">
        <f>(AU29/$AK$3)*6</f>
        <v>0.60581687909738946</v>
      </c>
      <c r="BA29" s="11">
        <f t="shared" si="16"/>
        <v>11.447887042722943</v>
      </c>
      <c r="BB29" s="11">
        <f>AV29-(AX29+AZ29)</f>
        <v>7.9593631904305298</v>
      </c>
      <c r="BC29" s="11">
        <f t="shared" si="17"/>
        <v>5.0940704280568579E-2</v>
      </c>
      <c r="BD29" s="11">
        <f t="shared" si="18"/>
        <v>0.5723943521361472</v>
      </c>
      <c r="BE29" s="34">
        <f t="shared" si="19"/>
        <v>0.10096947984956491</v>
      </c>
      <c r="BF29" s="11">
        <f t="shared" si="20"/>
        <v>0.39796815952152648</v>
      </c>
      <c r="BG29" s="11">
        <f t="shared" si="21"/>
        <v>11.236482891629121</v>
      </c>
      <c r="BH29" s="34">
        <f t="shared" si="22"/>
        <v>3.941469839346126</v>
      </c>
      <c r="BI29" s="64" t="s">
        <v>186</v>
      </c>
      <c r="BJ29" s="51">
        <f>AVERAGE(BH26:BH31)</f>
        <v>4.8922917145960598</v>
      </c>
      <c r="BK29" s="21">
        <f>STDEV(BH26:BH31)</f>
        <v>1.5885665871128736</v>
      </c>
    </row>
    <row r="30" spans="1:75" ht="15.75" thickBot="1" x14ac:dyDescent="0.3">
      <c r="L30">
        <v>9</v>
      </c>
      <c r="M30" s="11" t="s">
        <v>102</v>
      </c>
      <c r="N30" s="11">
        <v>0</v>
      </c>
      <c r="O30" s="10">
        <f t="shared" si="36"/>
        <v>0</v>
      </c>
      <c r="P30" s="10">
        <f t="shared" si="37"/>
        <v>0</v>
      </c>
      <c r="Q30" s="12">
        <v>0</v>
      </c>
      <c r="R30">
        <f t="shared" si="38"/>
        <v>0</v>
      </c>
      <c r="S30">
        <f t="shared" si="39"/>
        <v>0</v>
      </c>
      <c r="T30">
        <f t="shared" si="40"/>
        <v>0</v>
      </c>
      <c r="U30">
        <f t="shared" si="41"/>
        <v>0</v>
      </c>
      <c r="AB30">
        <v>21</v>
      </c>
      <c r="AC30" s="11" t="s">
        <v>112</v>
      </c>
      <c r="AD30" s="11">
        <v>421836</v>
      </c>
      <c r="AE30" s="10">
        <f t="shared" si="44"/>
        <v>353589</v>
      </c>
      <c r="AF30" s="9">
        <v>2.5</v>
      </c>
      <c r="AG30" s="11">
        <f t="shared" si="34"/>
        <v>0.10017300195268571</v>
      </c>
      <c r="AH30" s="12">
        <f>AF30*6</f>
        <v>15</v>
      </c>
      <c r="AI30">
        <f>AG30*$Z$14</f>
        <v>10.663699566359485</v>
      </c>
      <c r="AJ30" s="11">
        <f>(AG30/$AK$3)*6</f>
        <v>1.0039518216091157</v>
      </c>
      <c r="AK30" s="11">
        <f t="shared" si="25"/>
        <v>3.3323486120313994</v>
      </c>
      <c r="AL30">
        <f t="shared" si="31"/>
        <v>0.16732530360151929</v>
      </c>
      <c r="AM30" s="11">
        <f t="shared" si="32"/>
        <v>0.16661743060156997</v>
      </c>
      <c r="AN30" s="34">
        <f t="shared" si="26"/>
        <v>0.99576948025963186</v>
      </c>
      <c r="AO30" s="22" t="s">
        <v>166</v>
      </c>
      <c r="AP30" s="50" t="s">
        <v>181</v>
      </c>
      <c r="AR30" s="58">
        <f>IF(AD30&lt;=0,0,AD30*((78167.635*0+490037.486)/(78167.635*AB30+490037.486)))</f>
        <v>96978.581067680076</v>
      </c>
      <c r="AS30" s="11">
        <f t="shared" si="43"/>
        <v>76355.509248434915</v>
      </c>
      <c r="AT30" s="34">
        <f t="shared" si="35"/>
        <v>2.3625287087642624E-2</v>
      </c>
      <c r="AU30" s="11">
        <f t="shared" si="42"/>
        <v>4.5481419064512564E-2</v>
      </c>
      <c r="AV30" s="11">
        <f>AF30*6</f>
        <v>15</v>
      </c>
      <c r="AW30" s="11">
        <f>AT30*$Z$14</f>
        <v>2.5149786744996168</v>
      </c>
      <c r="AX30" s="11">
        <f>AU30*$Z$14</f>
        <v>4.8416257804147147</v>
      </c>
      <c r="AY30" s="11">
        <f>(AT30/$AK$3)*6</f>
        <v>0.23677687146562765</v>
      </c>
      <c r="AZ30" s="11">
        <f>(AU30/$AK$3)*6</f>
        <v>0.45582295258309108</v>
      </c>
      <c r="BA30" s="11">
        <f t="shared" si="16"/>
        <v>12.248244454034756</v>
      </c>
      <c r="BB30" s="11">
        <f>AV30-(AX30+AZ30)</f>
        <v>9.7025512670021943</v>
      </c>
      <c r="BC30" s="11">
        <f t="shared" si="17"/>
        <v>3.9462811910937944E-2</v>
      </c>
      <c r="BD30" s="11">
        <f t="shared" si="18"/>
        <v>0.61241222270173779</v>
      </c>
      <c r="BE30" s="34">
        <f t="shared" si="19"/>
        <v>7.5970492097181846E-2</v>
      </c>
      <c r="BF30" s="11">
        <f t="shared" si="20"/>
        <v>0.4851275633501097</v>
      </c>
      <c r="BG30" s="11">
        <f t="shared" si="21"/>
        <v>15.518717320090284</v>
      </c>
      <c r="BH30" s="34">
        <f t="shared" si="22"/>
        <v>6.3857367506522404</v>
      </c>
      <c r="BI30" t="s">
        <v>201</v>
      </c>
      <c r="BJ30" s="51">
        <f>AVERAGE(BG26:BG31)</f>
        <v>12.887884180659498</v>
      </c>
      <c r="BK30" s="21">
        <f>STDEV(BG26:BG31)</f>
        <v>2.7874825445525708</v>
      </c>
    </row>
    <row r="31" spans="1:75" ht="15.75" thickBot="1" x14ac:dyDescent="0.3">
      <c r="A31" t="s">
        <v>93</v>
      </c>
      <c r="L31">
        <v>18</v>
      </c>
      <c r="M31" s="11" t="s">
        <v>114</v>
      </c>
      <c r="N31" s="11">
        <v>0</v>
      </c>
      <c r="O31" s="10">
        <f t="shared" si="36"/>
        <v>0</v>
      </c>
      <c r="P31" s="10">
        <f t="shared" si="37"/>
        <v>0</v>
      </c>
      <c r="Q31">
        <v>0</v>
      </c>
      <c r="R31">
        <f t="shared" si="38"/>
        <v>0</v>
      </c>
      <c r="S31">
        <f t="shared" si="39"/>
        <v>0</v>
      </c>
      <c r="T31">
        <f t="shared" si="40"/>
        <v>0</v>
      </c>
      <c r="U31">
        <f t="shared" si="41"/>
        <v>0</v>
      </c>
      <c r="AB31">
        <v>22</v>
      </c>
      <c r="AC31" s="11" t="s">
        <v>113</v>
      </c>
      <c r="AD31" s="11">
        <v>415628</v>
      </c>
      <c r="AE31" s="10">
        <f t="shared" si="44"/>
        <v>347381</v>
      </c>
      <c r="AF31" s="9">
        <v>2.5</v>
      </c>
      <c r="AG31" s="11">
        <f t="shared" si="34"/>
        <v>9.845889370193317E-2</v>
      </c>
      <c r="AH31" s="12">
        <f>AF31*6</f>
        <v>15</v>
      </c>
      <c r="AI31">
        <f>AG31*$Z$14</f>
        <v>10.481227891817111</v>
      </c>
      <c r="AJ31" s="11">
        <f>(AG31/$AK$3)*6</f>
        <v>0.98677272078121958</v>
      </c>
      <c r="AK31" s="11">
        <f t="shared" si="25"/>
        <v>3.5319993874016689</v>
      </c>
      <c r="AL31">
        <f t="shared" si="31"/>
        <v>0.16446212013020325</v>
      </c>
      <c r="AM31" s="11">
        <f t="shared" si="32"/>
        <v>0.17659996937008343</v>
      </c>
      <c r="AN31" s="9">
        <f t="shared" si="26"/>
        <v>1.0738033124604665</v>
      </c>
      <c r="AO31" s="51">
        <f>AVERAGE(AN26:AN31)</f>
        <v>0.65837574855350889</v>
      </c>
      <c r="AP31" s="21">
        <f>STDEV(AN26:AN31)</f>
        <v>0.38387054089203398</v>
      </c>
      <c r="AR31" s="58">
        <f>IF(AD31&lt;=0,0,AD31*((78167.635*0+490037.486)/(78167.635*AB31+490037.486)))</f>
        <v>92171.314621090205</v>
      </c>
      <c r="AS31" s="11">
        <f t="shared" si="43"/>
        <v>71548.242801845045</v>
      </c>
      <c r="AT31" s="34">
        <f t="shared" si="35"/>
        <v>2.2297939297748041E-2</v>
      </c>
      <c r="AU31" s="11">
        <f t="shared" si="42"/>
        <v>4.2590439599456367E-2</v>
      </c>
      <c r="AV31" s="11">
        <f>AF31*6</f>
        <v>15</v>
      </c>
      <c r="AW31" s="11">
        <f>AT31*$Z$14</f>
        <v>2.3736787456206501</v>
      </c>
      <c r="AX31" s="11">
        <f>AU31*$Z$14</f>
        <v>4.5338728343421284</v>
      </c>
      <c r="AY31" s="11">
        <f>(AT31/$AK$3)*6</f>
        <v>0.22347395345781035</v>
      </c>
      <c r="AZ31" s="11">
        <f>(AU31/$AK$3)*6</f>
        <v>0.42684903702100585</v>
      </c>
      <c r="BA31" s="11">
        <f t="shared" si="16"/>
        <v>12.40284730092154</v>
      </c>
      <c r="BB31" s="11">
        <f>AV31-(AX31+AZ31)</f>
        <v>10.039278128636866</v>
      </c>
      <c r="BC31" s="11">
        <f t="shared" si="17"/>
        <v>3.7245658909635056E-2</v>
      </c>
      <c r="BD31" s="11">
        <f t="shared" si="18"/>
        <v>0.620142365046077</v>
      </c>
      <c r="BE31" s="34">
        <f t="shared" si="19"/>
        <v>7.1141506170167637E-2</v>
      </c>
      <c r="BF31" s="11">
        <f t="shared" si="20"/>
        <v>0.5019639064318433</v>
      </c>
      <c r="BG31" s="11">
        <f t="shared" si="21"/>
        <v>16.650057569142717</v>
      </c>
      <c r="BH31" s="34">
        <f t="shared" si="22"/>
        <v>7.0558515479158634</v>
      </c>
      <c r="BK31" s="57"/>
      <c r="BS31" t="s">
        <v>133</v>
      </c>
    </row>
    <row r="32" spans="1:75" x14ac:dyDescent="0.25">
      <c r="A32" t="s">
        <v>21</v>
      </c>
      <c r="AC32" s="11"/>
      <c r="AD32" s="11"/>
      <c r="AE32" s="10"/>
      <c r="AF32" s="9"/>
      <c r="AG32" s="11"/>
      <c r="AH32" s="12"/>
      <c r="AJ32" s="11"/>
      <c r="AK32" s="11"/>
      <c r="AM32" s="11"/>
      <c r="AR32" s="59"/>
      <c r="AS32" s="68"/>
      <c r="AT32" s="70"/>
      <c r="AU32" s="5"/>
      <c r="AV32" s="11"/>
      <c r="AW32" s="34"/>
      <c r="AX32" s="11"/>
      <c r="AY32" s="34"/>
      <c r="AZ32" s="11"/>
      <c r="BA32" s="11"/>
      <c r="BB32" s="11"/>
      <c r="BC32" s="10"/>
      <c r="BD32" s="10"/>
      <c r="BF32" s="11"/>
      <c r="BG32" s="11"/>
      <c r="BH32" s="34"/>
      <c r="BK32" s="10"/>
      <c r="BP32" t="s">
        <v>130</v>
      </c>
      <c r="BQ32" s="8" t="s">
        <v>131</v>
      </c>
      <c r="BR32" s="3"/>
      <c r="BS32" s="8" t="s">
        <v>132</v>
      </c>
      <c r="BT32" s="3"/>
    </row>
    <row r="33" spans="1:72" x14ac:dyDescent="0.25">
      <c r="A33" t="s">
        <v>0</v>
      </c>
      <c r="BJ33" s="10"/>
      <c r="BK33" s="10"/>
      <c r="BQ33" s="9" t="s">
        <v>18</v>
      </c>
      <c r="BR33" s="11" t="s">
        <v>19</v>
      </c>
      <c r="BS33" s="9" t="s">
        <v>18</v>
      </c>
      <c r="BT33" s="11" t="s">
        <v>19</v>
      </c>
    </row>
    <row r="34" spans="1:72" x14ac:dyDescent="0.25">
      <c r="A34" t="s">
        <v>2</v>
      </c>
      <c r="BJ34" s="10"/>
      <c r="BK34" s="10"/>
      <c r="BP34" t="s">
        <v>126</v>
      </c>
      <c r="BQ34" s="9" t="e">
        <f>AVERAGE(AQ52:AQ57)</f>
        <v>#DIV/0!</v>
      </c>
      <c r="BR34" s="11" t="e">
        <f>AVERAGE(#REF!)</f>
        <v>#REF!</v>
      </c>
      <c r="BS34" s="9">
        <v>1.5807</v>
      </c>
      <c r="BT34" s="11">
        <f>1.6446</f>
        <v>1.6446000000000001</v>
      </c>
    </row>
    <row r="35" spans="1:72" x14ac:dyDescent="0.25">
      <c r="A35" s="1"/>
      <c r="B35" s="32"/>
      <c r="C35" s="2" t="s">
        <v>8</v>
      </c>
      <c r="D35" s="11"/>
      <c r="E35" t="s">
        <v>7</v>
      </c>
      <c r="F35" s="11"/>
      <c r="G35" s="34" t="s">
        <v>5</v>
      </c>
      <c r="H35" s="34" t="s">
        <v>172</v>
      </c>
      <c r="BJ35" s="10"/>
      <c r="BK35" s="10"/>
      <c r="BP35" t="s">
        <v>127</v>
      </c>
      <c r="BQ35" s="38" t="s">
        <v>129</v>
      </c>
      <c r="BR35" s="11" t="e">
        <f>AVERAGE(#REF!,#REF!)</f>
        <v>#REF!</v>
      </c>
      <c r="BS35" s="38" t="s">
        <v>129</v>
      </c>
      <c r="BT35" s="11">
        <f>18.441</f>
        <v>18.440999999999999</v>
      </c>
    </row>
    <row r="36" spans="1:72" x14ac:dyDescent="0.25">
      <c r="A36" s="4" t="s">
        <v>10</v>
      </c>
      <c r="B36" s="5" t="s">
        <v>11</v>
      </c>
      <c r="C36" s="4" t="s">
        <v>18</v>
      </c>
      <c r="D36" s="5" t="s">
        <v>19</v>
      </c>
      <c r="E36" s="6" t="s">
        <v>16</v>
      </c>
      <c r="F36" s="5" t="s">
        <v>17</v>
      </c>
      <c r="G36" s="5" t="s">
        <v>14</v>
      </c>
      <c r="H36" s="35" t="s">
        <v>173</v>
      </c>
      <c r="BJ36" s="10"/>
      <c r="BK36" s="10"/>
      <c r="BP36" t="s">
        <v>128</v>
      </c>
      <c r="BQ36" s="4" t="e">
        <f>AVERAGE(AP75:AP81)</f>
        <v>#DIV/0!</v>
      </c>
      <c r="BR36" s="5" t="e">
        <f>AVERAGE(#REF!)</f>
        <v>#REF!</v>
      </c>
      <c r="BS36" s="4">
        <v>0.89680000000000004</v>
      </c>
      <c r="BT36" s="5">
        <f>0.795</f>
        <v>0.79500000000000004</v>
      </c>
    </row>
    <row r="37" spans="1:72" x14ac:dyDescent="0.25">
      <c r="A37">
        <v>1</v>
      </c>
      <c r="B37" s="3" t="s">
        <v>94</v>
      </c>
      <c r="C37" s="2">
        <v>0</v>
      </c>
      <c r="D37" s="3">
        <v>0</v>
      </c>
      <c r="E37" s="8">
        <v>0</v>
      </c>
      <c r="F37" s="3">
        <v>0</v>
      </c>
      <c r="G37" s="46">
        <v>394976</v>
      </c>
      <c r="H37" s="11"/>
      <c r="BJ37" s="10"/>
      <c r="BK37" s="10"/>
    </row>
    <row r="38" spans="1:72" x14ac:dyDescent="0.25">
      <c r="A38">
        <v>2</v>
      </c>
      <c r="B38" s="11" t="s">
        <v>95</v>
      </c>
      <c r="C38" s="10">
        <v>0</v>
      </c>
      <c r="D38" s="11">
        <v>0</v>
      </c>
      <c r="E38" s="9">
        <v>0</v>
      </c>
      <c r="F38" s="11">
        <v>0</v>
      </c>
      <c r="G38" s="47">
        <v>947039</v>
      </c>
      <c r="H38" s="11"/>
      <c r="BJ38" s="10"/>
      <c r="BK38" s="10"/>
    </row>
    <row r="39" spans="1:72" x14ac:dyDescent="0.25">
      <c r="A39">
        <v>3</v>
      </c>
      <c r="B39" s="11" t="s">
        <v>96</v>
      </c>
      <c r="C39" s="12">
        <v>0</v>
      </c>
      <c r="D39" s="11">
        <v>40054</v>
      </c>
      <c r="E39" s="28">
        <v>0</v>
      </c>
      <c r="F39" s="29">
        <v>0</v>
      </c>
      <c r="G39" s="34">
        <v>686637</v>
      </c>
      <c r="H39" s="11">
        <f t="shared" ref="H39:H59" si="45">F39/D39</f>
        <v>0</v>
      </c>
      <c r="BJ39" s="10"/>
      <c r="BK39" s="10"/>
    </row>
    <row r="40" spans="1:72" x14ac:dyDescent="0.25">
      <c r="A40">
        <v>4</v>
      </c>
      <c r="B40" s="11" t="s">
        <v>97</v>
      </c>
      <c r="C40" s="12">
        <v>0</v>
      </c>
      <c r="D40" s="11">
        <v>47478</v>
      </c>
      <c r="E40" s="28">
        <v>0</v>
      </c>
      <c r="F40" s="11">
        <v>39850</v>
      </c>
      <c r="G40" s="34">
        <v>865187</v>
      </c>
      <c r="H40" s="11">
        <f t="shared" si="45"/>
        <v>0.83933611356838955</v>
      </c>
      <c r="BJ40" s="10"/>
      <c r="BK40" s="10"/>
      <c r="BT40" t="e">
        <f>AVERAGE(#REF!,#REF!)</f>
        <v>#REF!</v>
      </c>
    </row>
    <row r="41" spans="1:72" x14ac:dyDescent="0.25">
      <c r="A41">
        <v>5</v>
      </c>
      <c r="B41" s="11" t="s">
        <v>98</v>
      </c>
      <c r="C41" s="10">
        <v>245292</v>
      </c>
      <c r="D41" s="11">
        <v>250729</v>
      </c>
      <c r="E41" s="9"/>
      <c r="F41" s="11">
        <v>195027</v>
      </c>
      <c r="G41" s="34">
        <v>829990</v>
      </c>
      <c r="H41" s="11">
        <f t="shared" si="45"/>
        <v>0.77783981908754074</v>
      </c>
      <c r="BJ41" s="10"/>
      <c r="BK41" s="10"/>
    </row>
    <row r="42" spans="1:72" x14ac:dyDescent="0.25">
      <c r="A42">
        <v>6</v>
      </c>
      <c r="B42" s="11" t="s">
        <v>99</v>
      </c>
      <c r="C42" s="10">
        <v>274487</v>
      </c>
      <c r="D42" s="11">
        <v>278296</v>
      </c>
      <c r="E42" s="9">
        <v>216956</v>
      </c>
      <c r="F42" s="11">
        <v>218155</v>
      </c>
      <c r="G42" s="34">
        <v>928185</v>
      </c>
      <c r="H42" s="11">
        <f t="shared" si="45"/>
        <v>0.78389556443499009</v>
      </c>
      <c r="BJ42" s="12"/>
      <c r="BK42" s="12"/>
    </row>
    <row r="43" spans="1:72" x14ac:dyDescent="0.25">
      <c r="A43">
        <v>7</v>
      </c>
      <c r="B43" s="11" t="s">
        <v>100</v>
      </c>
      <c r="C43" s="10">
        <v>562767</v>
      </c>
      <c r="D43" s="11">
        <v>563189</v>
      </c>
      <c r="E43" s="9">
        <v>439729</v>
      </c>
      <c r="F43" s="11">
        <v>441585</v>
      </c>
      <c r="G43" s="34">
        <v>1101833</v>
      </c>
      <c r="H43" s="11">
        <f t="shared" si="45"/>
        <v>0.78407958962266666</v>
      </c>
    </row>
    <row r="44" spans="1:72" x14ac:dyDescent="0.25">
      <c r="A44">
        <v>8</v>
      </c>
      <c r="B44" s="11" t="s">
        <v>101</v>
      </c>
      <c r="C44" s="10">
        <v>635811</v>
      </c>
      <c r="D44" s="11">
        <v>638327</v>
      </c>
      <c r="E44" s="9">
        <v>485255</v>
      </c>
      <c r="F44" s="11">
        <v>478715</v>
      </c>
      <c r="G44" s="34">
        <v>988806</v>
      </c>
      <c r="H44" s="11">
        <f t="shared" si="45"/>
        <v>0.74995261049587436</v>
      </c>
    </row>
    <row r="45" spans="1:72" x14ac:dyDescent="0.25">
      <c r="A45">
        <v>9</v>
      </c>
      <c r="B45" s="11" t="s">
        <v>102</v>
      </c>
      <c r="C45" s="12">
        <v>0</v>
      </c>
      <c r="D45" s="11">
        <v>0</v>
      </c>
      <c r="E45" s="28">
        <v>0</v>
      </c>
      <c r="F45" s="29">
        <v>0</v>
      </c>
      <c r="G45" s="47">
        <v>986239</v>
      </c>
      <c r="H45" s="11"/>
    </row>
    <row r="46" spans="1:72" x14ac:dyDescent="0.25">
      <c r="A46">
        <v>10</v>
      </c>
      <c r="B46" s="11" t="s">
        <v>103</v>
      </c>
      <c r="C46" s="12">
        <v>0</v>
      </c>
      <c r="D46" s="11">
        <v>0</v>
      </c>
      <c r="E46" s="28">
        <v>0</v>
      </c>
      <c r="F46" s="29">
        <v>0</v>
      </c>
      <c r="G46" s="36">
        <v>0</v>
      </c>
      <c r="H46" s="11"/>
    </row>
    <row r="47" spans="1:72" x14ac:dyDescent="0.25">
      <c r="A47">
        <v>11</v>
      </c>
      <c r="B47" s="11" t="s">
        <v>104</v>
      </c>
      <c r="C47" s="12">
        <v>0</v>
      </c>
      <c r="D47" s="11">
        <v>67077</v>
      </c>
      <c r="E47" s="28">
        <v>0</v>
      </c>
      <c r="F47" s="11">
        <v>53470</v>
      </c>
      <c r="G47" s="36">
        <v>0</v>
      </c>
      <c r="H47" s="11">
        <f t="shared" si="45"/>
        <v>0.79714358125736096</v>
      </c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72" x14ac:dyDescent="0.25">
      <c r="A48">
        <v>12</v>
      </c>
      <c r="B48" s="11" t="s">
        <v>105</v>
      </c>
      <c r="C48" s="12">
        <v>0</v>
      </c>
      <c r="D48" s="11">
        <v>77765</v>
      </c>
      <c r="E48" s="28">
        <v>0</v>
      </c>
      <c r="F48" s="11">
        <v>59062</v>
      </c>
      <c r="G48" s="36">
        <v>0</v>
      </c>
      <c r="H48" s="11">
        <f t="shared" si="45"/>
        <v>0.7594933453353051</v>
      </c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 x14ac:dyDescent="0.25">
      <c r="A49">
        <v>13</v>
      </c>
      <c r="B49" s="11" t="s">
        <v>106</v>
      </c>
      <c r="C49" s="12">
        <v>0</v>
      </c>
      <c r="D49" s="11">
        <v>32193</v>
      </c>
      <c r="E49" s="28">
        <v>0</v>
      </c>
      <c r="F49" s="29">
        <v>0</v>
      </c>
      <c r="G49" s="36">
        <v>0</v>
      </c>
      <c r="H49" s="11">
        <f t="shared" si="45"/>
        <v>0</v>
      </c>
      <c r="AA49" s="12"/>
      <c r="AB49" s="53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 x14ac:dyDescent="0.25">
      <c r="A50">
        <v>14</v>
      </c>
      <c r="B50" s="11" t="s">
        <v>107</v>
      </c>
      <c r="C50" s="12">
        <v>0</v>
      </c>
      <c r="D50" s="11">
        <v>69765</v>
      </c>
      <c r="E50" s="9">
        <v>0</v>
      </c>
      <c r="F50" s="11">
        <v>56024</v>
      </c>
      <c r="G50" s="36">
        <v>0</v>
      </c>
      <c r="H50" s="11">
        <f t="shared" si="45"/>
        <v>0.80303877302372251</v>
      </c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 x14ac:dyDescent="0.25">
      <c r="A51">
        <v>15</v>
      </c>
      <c r="B51" s="11" t="s">
        <v>119</v>
      </c>
      <c r="C51" s="12">
        <v>0</v>
      </c>
      <c r="D51" s="11">
        <v>66729</v>
      </c>
      <c r="E51" s="9">
        <v>0</v>
      </c>
      <c r="F51" s="11">
        <v>52797</v>
      </c>
      <c r="G51" s="36">
        <v>0</v>
      </c>
      <c r="H51" s="11">
        <f t="shared" si="45"/>
        <v>0.79121521377512027</v>
      </c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 x14ac:dyDescent="0.25">
      <c r="A52">
        <v>16</v>
      </c>
      <c r="B52" s="11" t="s">
        <v>108</v>
      </c>
      <c r="C52" s="10">
        <v>464051</v>
      </c>
      <c r="D52" s="11">
        <v>467353</v>
      </c>
      <c r="E52" s="9">
        <v>359390</v>
      </c>
      <c r="F52" s="11">
        <v>361110</v>
      </c>
      <c r="G52" s="36">
        <v>0</v>
      </c>
      <c r="H52" s="11">
        <f t="shared" si="45"/>
        <v>0.77267076492501385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 x14ac:dyDescent="0.25">
      <c r="A53">
        <v>17</v>
      </c>
      <c r="B53" s="11" t="s">
        <v>109</v>
      </c>
      <c r="C53" s="10">
        <v>476415</v>
      </c>
      <c r="D53" s="11">
        <v>479265</v>
      </c>
      <c r="E53" s="9">
        <v>368063</v>
      </c>
      <c r="F53" s="11">
        <v>370209</v>
      </c>
      <c r="G53" s="36">
        <v>0</v>
      </c>
      <c r="H53" s="11">
        <f t="shared" si="45"/>
        <v>0.77245156646114366</v>
      </c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 x14ac:dyDescent="0.25">
      <c r="A54">
        <v>18</v>
      </c>
      <c r="B54" s="11" t="s">
        <v>114</v>
      </c>
      <c r="C54" s="12">
        <v>0</v>
      </c>
      <c r="D54" s="11">
        <v>0</v>
      </c>
      <c r="E54" s="28">
        <v>0</v>
      </c>
      <c r="F54" s="29">
        <v>0</v>
      </c>
      <c r="G54" s="47">
        <v>1976925</v>
      </c>
      <c r="H54" s="11"/>
      <c r="N54" s="10"/>
      <c r="O54" s="10"/>
      <c r="P54" s="10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 x14ac:dyDescent="0.25">
      <c r="A55">
        <v>19</v>
      </c>
      <c r="B55" s="11" t="s">
        <v>110</v>
      </c>
      <c r="C55" s="10">
        <v>429428</v>
      </c>
      <c r="D55" s="11">
        <v>430853</v>
      </c>
      <c r="E55" s="9">
        <v>334293</v>
      </c>
      <c r="F55" s="11">
        <v>336171</v>
      </c>
      <c r="G55" s="36">
        <v>0</v>
      </c>
      <c r="H55" s="11">
        <f t="shared" si="45"/>
        <v>0.78024523445351435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 x14ac:dyDescent="0.25">
      <c r="A56">
        <v>20</v>
      </c>
      <c r="B56" s="11" t="s">
        <v>111</v>
      </c>
      <c r="C56" s="10">
        <v>507573</v>
      </c>
      <c r="D56" s="11">
        <v>510648</v>
      </c>
      <c r="E56" s="9">
        <v>396058</v>
      </c>
      <c r="F56" s="11">
        <v>397618</v>
      </c>
      <c r="G56" s="36">
        <v>0</v>
      </c>
      <c r="H56" s="11">
        <f t="shared" si="45"/>
        <v>0.77865378891134407</v>
      </c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 x14ac:dyDescent="0.25">
      <c r="A57">
        <v>21</v>
      </c>
      <c r="B57" s="11" t="s">
        <v>112</v>
      </c>
      <c r="C57" s="10">
        <v>419243</v>
      </c>
      <c r="D57" s="11">
        <v>421836</v>
      </c>
      <c r="E57" s="9">
        <v>330133</v>
      </c>
      <c r="F57" s="11">
        <v>332039</v>
      </c>
      <c r="G57" s="36">
        <v>0</v>
      </c>
      <c r="H57" s="11">
        <f t="shared" si="45"/>
        <v>0.78712817303407012</v>
      </c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 x14ac:dyDescent="0.25">
      <c r="A58">
        <v>22</v>
      </c>
      <c r="B58" s="11" t="s">
        <v>113</v>
      </c>
      <c r="C58">
        <v>414545</v>
      </c>
      <c r="D58" s="11">
        <v>415628</v>
      </c>
      <c r="E58" s="9">
        <v>319686</v>
      </c>
      <c r="F58" s="11">
        <v>320872</v>
      </c>
      <c r="G58" s="36">
        <v>0</v>
      </c>
      <c r="H58" s="11">
        <f t="shared" si="45"/>
        <v>0.77201728468726838</v>
      </c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 x14ac:dyDescent="0.25">
      <c r="A59">
        <v>23</v>
      </c>
      <c r="B59" s="11" t="s">
        <v>122</v>
      </c>
      <c r="C59">
        <v>299817</v>
      </c>
      <c r="D59" s="11">
        <v>311032</v>
      </c>
      <c r="E59" s="9">
        <v>250974</v>
      </c>
      <c r="F59" s="11">
        <v>264994</v>
      </c>
      <c r="G59" s="36">
        <v>0</v>
      </c>
      <c r="H59" s="11">
        <f t="shared" si="45"/>
        <v>0.85198307569639142</v>
      </c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 x14ac:dyDescent="0.25"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 x14ac:dyDescent="0.25"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 x14ac:dyDescent="0.25"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  <row r="63" spans="1:63" x14ac:dyDescent="0.25"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</row>
    <row r="64" spans="1:63" x14ac:dyDescent="0.25"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</row>
    <row r="65" spans="17:63" x14ac:dyDescent="0.25"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</row>
    <row r="66" spans="17:63" x14ac:dyDescent="0.25"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</row>
    <row r="67" spans="17:63" x14ac:dyDescent="0.25">
      <c r="AA67" s="12"/>
      <c r="AB67" s="53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</row>
    <row r="68" spans="17:63" x14ac:dyDescent="0.25"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</row>
    <row r="69" spans="17:63" x14ac:dyDescent="0.25"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</row>
    <row r="70" spans="17:63" x14ac:dyDescent="0.25">
      <c r="AA70" s="54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</row>
    <row r="71" spans="17:63" x14ac:dyDescent="0.25"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</row>
    <row r="72" spans="17:63" x14ac:dyDescent="0.25"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</row>
    <row r="73" spans="17:63" x14ac:dyDescent="0.25"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</row>
    <row r="74" spans="17:63" x14ac:dyDescent="0.25"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</row>
    <row r="75" spans="17:63" x14ac:dyDescent="0.25"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</row>
    <row r="76" spans="17:63" x14ac:dyDescent="0.25">
      <c r="Q76" s="10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</row>
    <row r="77" spans="17:63" x14ac:dyDescent="0.25">
      <c r="Q77" s="10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</row>
    <row r="78" spans="17:63" x14ac:dyDescent="0.25">
      <c r="Q78" s="10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</row>
    <row r="79" spans="17:63" x14ac:dyDescent="0.25">
      <c r="Q79" s="10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</row>
    <row r="80" spans="17:63" x14ac:dyDescent="0.25">
      <c r="Q80" s="10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</row>
    <row r="81" spans="17:63" x14ac:dyDescent="0.25">
      <c r="Q81" s="10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</row>
    <row r="82" spans="17:63" x14ac:dyDescent="0.25">
      <c r="Q82" s="10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</row>
    <row r="83" spans="17:63" x14ac:dyDescent="0.25">
      <c r="Q83" s="10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</row>
    <row r="84" spans="17:63" x14ac:dyDescent="0.25">
      <c r="Q84" s="10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</row>
    <row r="85" spans="17:63" x14ac:dyDescent="0.25">
      <c r="Q85" s="10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</row>
    <row r="86" spans="17:63" x14ac:dyDescent="0.25">
      <c r="Q86" s="10"/>
    </row>
    <row r="87" spans="17:63" x14ac:dyDescent="0.25">
      <c r="Q87" s="10"/>
    </row>
    <row r="88" spans="17:63" x14ac:dyDescent="0.25">
      <c r="Q88" s="10"/>
    </row>
    <row r="89" spans="17:63" x14ac:dyDescent="0.25">
      <c r="Q89" s="10"/>
    </row>
    <row r="90" spans="17:63" x14ac:dyDescent="0.25">
      <c r="Q90" s="10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raw data</vt:lpstr>
      <vt:lpstr>1st processing</vt:lpstr>
      <vt:lpstr>Processing_final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2021-07-15T08:19:46Z</dcterms:created>
  <dcterms:modified xsi:type="dcterms:W3CDTF">2021-08-24T11:40:08Z</dcterms:modified>
</cp:coreProperties>
</file>