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Part_Exp_B\"/>
    </mc:Choice>
  </mc:AlternateContent>
  <xr:revisionPtr revIDLastSave="0" documentId="13_ncr:1_{275B6EC1-1D7B-44D5-9AE9-C38C7DC3379D}" xr6:coauthVersionLast="46" xr6:coauthVersionMax="46" xr10:uidLastSave="{00000000-0000-0000-0000-000000000000}"/>
  <bookViews>
    <workbookView xWindow="20370" yWindow="-120" windowWidth="29040" windowHeight="15840" tabRatio="597" activeTab="1" xr2:uid="{E6C135D4-46E9-429F-AA22-381A91793504}"/>
  </bookViews>
  <sheets>
    <sheet name="Raw_data" sheetId="1" r:id="rId1"/>
    <sheet name="Processing_final" sheetId="5" r:id="rId2"/>
    <sheet name="1st_Processing" sheetId="2" r:id="rId3"/>
    <sheet name="2nd processing" sheetId="3" r:id="rId4"/>
    <sheet name="Prin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5" l="1"/>
  <c r="O37" i="5" l="1"/>
  <c r="O38" i="5"/>
  <c r="O39" i="5"/>
  <c r="O40" i="5"/>
  <c r="O41" i="5"/>
  <c r="O42" i="5"/>
  <c r="O43" i="5"/>
  <c r="O36" i="5"/>
  <c r="O31" i="5"/>
  <c r="O23" i="5"/>
  <c r="O24" i="5"/>
  <c r="O25" i="5"/>
  <c r="O26" i="5"/>
  <c r="O27" i="5"/>
  <c r="O28" i="5"/>
  <c r="O29" i="5"/>
  <c r="O30" i="5"/>
  <c r="O22" i="5"/>
  <c r="P40" i="5" s="1"/>
  <c r="O9" i="5"/>
  <c r="O10" i="5"/>
  <c r="O11" i="5"/>
  <c r="O12" i="5"/>
  <c r="O13" i="5"/>
  <c r="O14" i="5"/>
  <c r="O15" i="5"/>
  <c r="O16" i="5"/>
  <c r="O17" i="5"/>
  <c r="O18" i="5"/>
  <c r="O19" i="5"/>
  <c r="P13" i="5" s="1"/>
  <c r="O20" i="5"/>
  <c r="O8" i="5"/>
  <c r="P10" i="5" s="1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30" i="5"/>
  <c r="AR31" i="5"/>
  <c r="AR32" i="5"/>
  <c r="AR33" i="5"/>
  <c r="AR34" i="5"/>
  <c r="AR35" i="5"/>
  <c r="AR8" i="5"/>
  <c r="AF8" i="5"/>
  <c r="P9" i="5" l="1"/>
  <c r="P37" i="5"/>
  <c r="P20" i="5"/>
  <c r="P16" i="5"/>
  <c r="P12" i="5"/>
  <c r="P17" i="5"/>
  <c r="P19" i="5"/>
  <c r="P15" i="5"/>
  <c r="P11" i="5"/>
  <c r="P36" i="5"/>
  <c r="P8" i="5"/>
  <c r="P18" i="5"/>
  <c r="P14" i="5"/>
  <c r="P43" i="5"/>
  <c r="P39" i="5"/>
  <c r="P23" i="5"/>
  <c r="P42" i="5"/>
  <c r="P38" i="5"/>
  <c r="P24" i="5"/>
  <c r="P41" i="5"/>
  <c r="P29" i="5"/>
  <c r="P25" i="5"/>
  <c r="P31" i="5"/>
  <c r="P27" i="5"/>
  <c r="P30" i="5"/>
  <c r="P26" i="5"/>
  <c r="P22" i="5"/>
  <c r="P2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P26" i="5" s="1"/>
  <c r="AQ26" i="5" s="1"/>
  <c r="AC27" i="5"/>
  <c r="AC30" i="5"/>
  <c r="AC31" i="5"/>
  <c r="AP31" i="5" s="1"/>
  <c r="AQ31" i="5" s="1"/>
  <c r="AC32" i="5"/>
  <c r="AP32" i="5" s="1"/>
  <c r="AQ32" i="5" s="1"/>
  <c r="AC33" i="5"/>
  <c r="AC34" i="5"/>
  <c r="AC35" i="5"/>
  <c r="AP35" i="5" s="1"/>
  <c r="AQ35" i="5" s="1"/>
  <c r="AC8" i="5"/>
  <c r="AE35" i="5" l="1"/>
  <c r="AE34" i="5"/>
  <c r="AP34" i="5"/>
  <c r="AQ34" i="5" s="1"/>
  <c r="AE20" i="5"/>
  <c r="AP20" i="5"/>
  <c r="AQ20" i="5" s="1"/>
  <c r="AE33" i="5"/>
  <c r="AP33" i="5"/>
  <c r="AQ33" i="5" s="1"/>
  <c r="AE27" i="5"/>
  <c r="AP27" i="5"/>
  <c r="AQ27" i="5" s="1"/>
  <c r="AE23" i="5"/>
  <c r="AP23" i="5"/>
  <c r="AQ23" i="5" s="1"/>
  <c r="AE19" i="5"/>
  <c r="AP19" i="5"/>
  <c r="AQ19" i="5" s="1"/>
  <c r="AE15" i="5"/>
  <c r="AP15" i="5"/>
  <c r="AQ15" i="5" s="1"/>
  <c r="AE11" i="5"/>
  <c r="AP11" i="5"/>
  <c r="AQ11" i="5" s="1"/>
  <c r="AE32" i="5"/>
  <c r="AE30" i="5"/>
  <c r="AP30" i="5"/>
  <c r="AQ30" i="5" s="1"/>
  <c r="AE16" i="5"/>
  <c r="AP16" i="5"/>
  <c r="AQ16" i="5" s="1"/>
  <c r="AE12" i="5"/>
  <c r="AP12" i="5"/>
  <c r="AQ12" i="5" s="1"/>
  <c r="AP8" i="5"/>
  <c r="AQ8" i="5" s="1"/>
  <c r="AE8" i="5"/>
  <c r="AE26" i="5"/>
  <c r="AE22" i="5"/>
  <c r="AP22" i="5"/>
  <c r="AQ22" i="5" s="1"/>
  <c r="AE18" i="5"/>
  <c r="AP18" i="5"/>
  <c r="AQ18" i="5" s="1"/>
  <c r="AE14" i="5"/>
  <c r="AP14" i="5"/>
  <c r="AQ14" i="5" s="1"/>
  <c r="AP10" i="5"/>
  <c r="AQ10" i="5" s="1"/>
  <c r="AE31" i="5"/>
  <c r="AE24" i="5"/>
  <c r="AP24" i="5"/>
  <c r="AQ24" i="5" s="1"/>
  <c r="AE25" i="5"/>
  <c r="AP25" i="5"/>
  <c r="AQ25" i="5" s="1"/>
  <c r="AE21" i="5"/>
  <c r="AP21" i="5"/>
  <c r="AQ21" i="5" s="1"/>
  <c r="AE17" i="5"/>
  <c r="AP17" i="5"/>
  <c r="AQ17" i="5" s="1"/>
  <c r="AE13" i="5"/>
  <c r="AP13" i="5"/>
  <c r="AQ13" i="5" s="1"/>
  <c r="AE9" i="5"/>
  <c r="AP9" i="5"/>
  <c r="AQ9" i="5" s="1"/>
  <c r="AF10" i="5" l="1"/>
  <c r="I52" i="5"/>
  <c r="I53" i="5"/>
  <c r="I54" i="5"/>
  <c r="I55" i="5"/>
  <c r="I56" i="5"/>
  <c r="I57" i="5"/>
  <c r="I59" i="5"/>
  <c r="I60" i="5"/>
  <c r="I61" i="5"/>
  <c r="I62" i="5"/>
  <c r="I64" i="5"/>
  <c r="I65" i="5"/>
  <c r="I66" i="5"/>
  <c r="I67" i="5"/>
  <c r="I68" i="5"/>
  <c r="I69" i="5"/>
  <c r="I70" i="5"/>
  <c r="I71" i="5"/>
  <c r="I72" i="5"/>
  <c r="I73" i="5"/>
  <c r="I12" i="5"/>
  <c r="I13" i="5"/>
  <c r="I14" i="5"/>
  <c r="I15" i="5"/>
  <c r="I16" i="5"/>
  <c r="I17" i="5"/>
  <c r="I22" i="5"/>
  <c r="I24" i="5"/>
  <c r="I25" i="5"/>
  <c r="I26" i="5"/>
  <c r="I27" i="5"/>
  <c r="I28" i="5"/>
  <c r="I29" i="5"/>
  <c r="I30" i="5"/>
  <c r="I31" i="5"/>
  <c r="I32" i="5"/>
  <c r="I33" i="5"/>
  <c r="I34" i="5"/>
  <c r="I36" i="5"/>
  <c r="I37" i="5"/>
  <c r="I38" i="5"/>
  <c r="I39" i="5"/>
  <c r="I40" i="5"/>
  <c r="I41" i="5"/>
  <c r="AF9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0" i="5"/>
  <c r="AF31" i="5"/>
  <c r="AF32" i="5"/>
  <c r="AF33" i="5"/>
  <c r="AF34" i="5"/>
  <c r="AF35" i="5"/>
  <c r="R37" i="5"/>
  <c r="R38" i="5"/>
  <c r="R39" i="5"/>
  <c r="R40" i="5"/>
  <c r="R41" i="5"/>
  <c r="R42" i="5"/>
  <c r="R43" i="5"/>
  <c r="R23" i="5"/>
  <c r="R24" i="5"/>
  <c r="R25" i="5"/>
  <c r="R26" i="5"/>
  <c r="R27" i="5"/>
  <c r="R28" i="5"/>
  <c r="R29" i="5"/>
  <c r="R30" i="5"/>
  <c r="R31" i="5"/>
  <c r="R22" i="5"/>
  <c r="R9" i="5"/>
  <c r="R10" i="5"/>
  <c r="R11" i="5"/>
  <c r="R12" i="5"/>
  <c r="R13" i="5"/>
  <c r="R14" i="5"/>
  <c r="R15" i="5"/>
  <c r="R16" i="5"/>
  <c r="R17" i="5"/>
  <c r="R18" i="5"/>
  <c r="R19" i="5"/>
  <c r="R20" i="5"/>
  <c r="R8" i="5"/>
  <c r="R36" i="5"/>
  <c r="Y9" i="5"/>
  <c r="Y15" i="5" s="1"/>
  <c r="W9" i="5"/>
  <c r="W15" i="5" s="1"/>
  <c r="X8" i="5"/>
  <c r="X9" i="5" s="1"/>
  <c r="X15" i="5" s="1"/>
  <c r="Y7" i="5"/>
  <c r="X7" i="5"/>
  <c r="W7" i="5"/>
  <c r="I6" i="5"/>
  <c r="J6" i="5" s="1"/>
  <c r="L3" i="5" s="1"/>
  <c r="J5" i="5"/>
  <c r="J4" i="5"/>
  <c r="AI4" i="5" l="1"/>
  <c r="AV10" i="5" s="1"/>
  <c r="AU4" i="5"/>
  <c r="AS35" i="5"/>
  <c r="AS32" i="5"/>
  <c r="AS31" i="5"/>
  <c r="AS22" i="5"/>
  <c r="AS30" i="5"/>
  <c r="AS8" i="5"/>
  <c r="AS20" i="5"/>
  <c r="AS18" i="5"/>
  <c r="AS16" i="5"/>
  <c r="AS25" i="5"/>
  <c r="AS19" i="5"/>
  <c r="AS27" i="5"/>
  <c r="AS23" i="5"/>
  <c r="AS9" i="5"/>
  <c r="AS12" i="5"/>
  <c r="AS14" i="5"/>
  <c r="AS15" i="5"/>
  <c r="AS17" i="5"/>
  <c r="AS24" i="5"/>
  <c r="AS34" i="5"/>
  <c r="AS26" i="5"/>
  <c r="AS33" i="5"/>
  <c r="AS13" i="5"/>
  <c r="AS11" i="5"/>
  <c r="AS21" i="5"/>
  <c r="AS10" i="5"/>
  <c r="AG14" i="5"/>
  <c r="AG8" i="5"/>
  <c r="AH32" i="5"/>
  <c r="AH18" i="5"/>
  <c r="AH10" i="5"/>
  <c r="AJ27" i="5"/>
  <c r="AJ19" i="5"/>
  <c r="AJ11" i="5"/>
  <c r="AH35" i="5"/>
  <c r="AH31" i="5"/>
  <c r="AH25" i="5"/>
  <c r="AH21" i="5"/>
  <c r="AH17" i="5"/>
  <c r="AH13" i="5"/>
  <c r="AJ9" i="5"/>
  <c r="AJ32" i="5"/>
  <c r="AJ26" i="5"/>
  <c r="AJ22" i="5"/>
  <c r="AJ18" i="5"/>
  <c r="AJ14" i="5"/>
  <c r="AJ10" i="5"/>
  <c r="AH22" i="5"/>
  <c r="AH14" i="5"/>
  <c r="AJ33" i="5"/>
  <c r="AJ23" i="5"/>
  <c r="AJ15" i="5"/>
  <c r="AJ8" i="5"/>
  <c r="AH34" i="5"/>
  <c r="AH30" i="5"/>
  <c r="AH24" i="5"/>
  <c r="AH20" i="5"/>
  <c r="AH16" i="5"/>
  <c r="AH12" i="5"/>
  <c r="AJ35" i="5"/>
  <c r="AJ31" i="5"/>
  <c r="AJ25" i="5"/>
  <c r="AJ21" i="5"/>
  <c r="AJ17" i="5"/>
  <c r="AJ13" i="5"/>
  <c r="AH26" i="5"/>
  <c r="S11" i="5"/>
  <c r="AG10" i="5"/>
  <c r="AH33" i="5"/>
  <c r="AH27" i="5"/>
  <c r="AH23" i="5"/>
  <c r="AH19" i="5"/>
  <c r="AH15" i="5"/>
  <c r="AH11" i="5"/>
  <c r="AJ34" i="5"/>
  <c r="AJ30" i="5"/>
  <c r="AJ24" i="5"/>
  <c r="AJ20" i="5"/>
  <c r="AJ16" i="5"/>
  <c r="AJ12" i="5"/>
  <c r="AH8" i="5"/>
  <c r="AG22" i="5"/>
  <c r="AG25" i="5"/>
  <c r="AG17" i="5"/>
  <c r="AG9" i="5"/>
  <c r="AG31" i="5"/>
  <c r="AG20" i="5"/>
  <c r="AG12" i="5"/>
  <c r="AG32" i="5"/>
  <c r="AG27" i="5"/>
  <c r="AG23" i="5"/>
  <c r="AG19" i="5"/>
  <c r="AG15" i="5"/>
  <c r="AG11" i="5"/>
  <c r="AG33" i="5"/>
  <c r="AG26" i="5"/>
  <c r="AG21" i="5"/>
  <c r="AG13" i="5"/>
  <c r="AI13" i="5" s="1"/>
  <c r="AG35" i="5"/>
  <c r="AG18" i="5"/>
  <c r="AG24" i="5"/>
  <c r="AG16" i="5"/>
  <c r="AG34" i="5"/>
  <c r="AG30" i="5"/>
  <c r="S42" i="5"/>
  <c r="T42" i="5" s="1"/>
  <c r="U42" i="5" s="1"/>
  <c r="S38" i="5"/>
  <c r="T38" i="5" s="1"/>
  <c r="U38" i="5" s="1"/>
  <c r="S41" i="5"/>
  <c r="T41" i="5" s="1"/>
  <c r="U41" i="5" s="1"/>
  <c r="S37" i="5"/>
  <c r="T37" i="5" s="1"/>
  <c r="U37" i="5" s="1"/>
  <c r="S22" i="5"/>
  <c r="T22" i="5" s="1"/>
  <c r="U22" i="5" s="1"/>
  <c r="S40" i="5"/>
  <c r="T40" i="5" s="1"/>
  <c r="U40" i="5" s="1"/>
  <c r="S28" i="5"/>
  <c r="T28" i="5" s="1"/>
  <c r="U28" i="5" s="1"/>
  <c r="S43" i="5"/>
  <c r="T43" i="5" s="1"/>
  <c r="U43" i="5" s="1"/>
  <c r="S39" i="5"/>
  <c r="T39" i="5" s="1"/>
  <c r="U39" i="5" s="1"/>
  <c r="T11" i="5"/>
  <c r="U11" i="5" s="1"/>
  <c r="S24" i="5"/>
  <c r="T24" i="5" s="1"/>
  <c r="U24" i="5" s="1"/>
  <c r="S31" i="5"/>
  <c r="T31" i="5" s="1"/>
  <c r="U31" i="5" s="1"/>
  <c r="S27" i="5"/>
  <c r="T27" i="5" s="1"/>
  <c r="U27" i="5" s="1"/>
  <c r="S23" i="5"/>
  <c r="T23" i="5" s="1"/>
  <c r="U23" i="5" s="1"/>
  <c r="S30" i="5"/>
  <c r="T30" i="5" s="1"/>
  <c r="U30" i="5" s="1"/>
  <c r="S26" i="5"/>
  <c r="T26" i="5" s="1"/>
  <c r="U26" i="5" s="1"/>
  <c r="S29" i="5"/>
  <c r="T29" i="5" s="1"/>
  <c r="U29" i="5" s="1"/>
  <c r="S25" i="5"/>
  <c r="T25" i="5" s="1"/>
  <c r="U25" i="5" s="1"/>
  <c r="S18" i="5"/>
  <c r="T18" i="5" s="1"/>
  <c r="U18" i="5" s="1"/>
  <c r="S14" i="5"/>
  <c r="T14" i="5" s="1"/>
  <c r="U14" i="5" s="1"/>
  <c r="S10" i="5"/>
  <c r="T10" i="5" s="1"/>
  <c r="U10" i="5" s="1"/>
  <c r="S8" i="5"/>
  <c r="T8" i="5" s="1"/>
  <c r="U8" i="5" s="1"/>
  <c r="S13" i="5"/>
  <c r="T13" i="5" s="1"/>
  <c r="U13" i="5" s="1"/>
  <c r="S20" i="5"/>
  <c r="T20" i="5" s="1"/>
  <c r="U20" i="5" s="1"/>
  <c r="S16" i="5"/>
  <c r="T16" i="5" s="1"/>
  <c r="U16" i="5" s="1"/>
  <c r="S12" i="5"/>
  <c r="T12" i="5" s="1"/>
  <c r="U12" i="5" s="1"/>
  <c r="S17" i="5"/>
  <c r="T17" i="5" s="1"/>
  <c r="U17" i="5" s="1"/>
  <c r="S9" i="5"/>
  <c r="T9" i="5" s="1"/>
  <c r="U9" i="5" s="1"/>
  <c r="S19" i="5"/>
  <c r="T19" i="5" s="1"/>
  <c r="U19" i="5" s="1"/>
  <c r="S15" i="5"/>
  <c r="T15" i="5" s="1"/>
  <c r="U15" i="5" s="1"/>
  <c r="X10" i="5"/>
  <c r="X11" i="5" s="1"/>
  <c r="Y10" i="5"/>
  <c r="Y11" i="5" s="1"/>
  <c r="S36" i="5"/>
  <c r="T36" i="5" s="1"/>
  <c r="U36" i="5" s="1"/>
  <c r="W10" i="5"/>
  <c r="W11" i="5" s="1"/>
  <c r="AH9" i="5" l="1"/>
  <c r="AI9" i="5" s="1"/>
  <c r="AK9" i="5" s="1"/>
  <c r="AL9" i="5" s="1"/>
  <c r="AV32" i="5"/>
  <c r="AT31" i="5"/>
  <c r="AU31" i="5" s="1"/>
  <c r="AW31" i="5" s="1"/>
  <c r="AX31" i="5" s="1"/>
  <c r="AT32" i="5"/>
  <c r="AU32" i="5" s="1"/>
  <c r="AW32" i="5" s="1"/>
  <c r="AX32" i="5" s="1"/>
  <c r="AV35" i="5"/>
  <c r="AV31" i="5"/>
  <c r="AT35" i="5"/>
  <c r="AU35" i="5" s="1"/>
  <c r="AW35" i="5" s="1"/>
  <c r="AX35" i="5" s="1"/>
  <c r="AT24" i="5"/>
  <c r="AU24" i="5" s="1"/>
  <c r="AW24" i="5" s="1"/>
  <c r="AV33" i="5"/>
  <c r="AT34" i="5"/>
  <c r="AU34" i="5" s="1"/>
  <c r="AW34" i="5" s="1"/>
  <c r="AT16" i="5"/>
  <c r="AU16" i="5" s="1"/>
  <c r="AW16" i="5" s="1"/>
  <c r="AX16" i="5" s="1"/>
  <c r="AT13" i="5"/>
  <c r="AU13" i="5" s="1"/>
  <c r="AW13" i="5" s="1"/>
  <c r="AT25" i="5"/>
  <c r="AU25" i="5" s="1"/>
  <c r="AW25" i="5" s="1"/>
  <c r="AV8" i="5"/>
  <c r="AV11" i="5"/>
  <c r="AT27" i="5"/>
  <c r="AU27" i="5" s="1"/>
  <c r="AW27" i="5" s="1"/>
  <c r="AV20" i="5"/>
  <c r="AV21" i="5"/>
  <c r="AT9" i="5"/>
  <c r="AU9" i="5" s="1"/>
  <c r="AW9" i="5" s="1"/>
  <c r="AT17" i="5"/>
  <c r="AU17" i="5" s="1"/>
  <c r="AW17" i="5" s="1"/>
  <c r="AT10" i="5"/>
  <c r="AU10" i="5" s="1"/>
  <c r="AW10" i="5" s="1"/>
  <c r="AT26" i="5"/>
  <c r="AU26" i="5" s="1"/>
  <c r="AW26" i="5" s="1"/>
  <c r="AT12" i="5"/>
  <c r="AU12" i="5" s="1"/>
  <c r="AW12" i="5" s="1"/>
  <c r="AV34" i="5"/>
  <c r="AV16" i="5"/>
  <c r="AT23" i="5"/>
  <c r="AU23" i="5" s="1"/>
  <c r="AW23" i="5" s="1"/>
  <c r="AV24" i="5"/>
  <c r="AT33" i="5"/>
  <c r="AU33" i="5" s="1"/>
  <c r="AW33" i="5" s="1"/>
  <c r="AV14" i="5"/>
  <c r="AT22" i="5"/>
  <c r="AU22" i="5" s="1"/>
  <c r="AW22" i="5" s="1"/>
  <c r="AV15" i="5"/>
  <c r="AT8" i="5"/>
  <c r="AU8" i="5" s="1"/>
  <c r="AW8" i="5" s="1"/>
  <c r="AX8" i="5" s="1"/>
  <c r="AT20" i="5"/>
  <c r="AU20" i="5" s="1"/>
  <c r="AW20" i="5" s="1"/>
  <c r="AX20" i="5" s="1"/>
  <c r="AV17" i="5"/>
  <c r="AV18" i="5"/>
  <c r="AV26" i="5"/>
  <c r="AT19" i="5"/>
  <c r="AU19" i="5" s="1"/>
  <c r="AW19" i="5" s="1"/>
  <c r="AV12" i="5"/>
  <c r="AT14" i="5"/>
  <c r="AU14" i="5" s="1"/>
  <c r="AW14" i="5" s="1"/>
  <c r="AX14" i="5" s="1"/>
  <c r="AV22" i="5"/>
  <c r="AV13" i="5"/>
  <c r="AT15" i="5"/>
  <c r="AU15" i="5" s="1"/>
  <c r="AW15" i="5" s="1"/>
  <c r="AV25" i="5"/>
  <c r="AT11" i="5"/>
  <c r="AU11" i="5" s="1"/>
  <c r="AW11" i="5" s="1"/>
  <c r="AV19" i="5"/>
  <c r="AV27" i="5"/>
  <c r="AT21" i="5"/>
  <c r="AU21" i="5" s="1"/>
  <c r="AW21" i="5" s="1"/>
  <c r="AX21" i="5" s="1"/>
  <c r="AV23" i="5"/>
  <c r="AV9" i="5"/>
  <c r="AT18" i="5"/>
  <c r="AU18" i="5" s="1"/>
  <c r="AW18" i="5" s="1"/>
  <c r="AV30" i="5"/>
  <c r="AT30" i="5"/>
  <c r="AU30" i="5" s="1"/>
  <c r="AW30" i="5" s="1"/>
  <c r="AI8" i="5"/>
  <c r="AI30" i="5"/>
  <c r="AK30" i="5" s="1"/>
  <c r="AL30" i="5" s="1"/>
  <c r="AI26" i="5"/>
  <c r="AK26" i="5" s="1"/>
  <c r="AK8" i="5"/>
  <c r="AL8" i="5" s="1"/>
  <c r="AK13" i="5"/>
  <c r="AL13" i="5" s="1"/>
  <c r="AI14" i="5"/>
  <c r="AK14" i="5" s="1"/>
  <c r="AL14" i="5" s="1"/>
  <c r="AI17" i="5"/>
  <c r="AK17" i="5" s="1"/>
  <c r="AL17" i="5" s="1"/>
  <c r="AI34" i="5"/>
  <c r="AK34" i="5" s="1"/>
  <c r="AL34" i="5" s="1"/>
  <c r="AI18" i="5"/>
  <c r="AK18" i="5" s="1"/>
  <c r="AL18" i="5" s="1"/>
  <c r="AI21" i="5"/>
  <c r="AK21" i="5" s="1"/>
  <c r="AL21" i="5" s="1"/>
  <c r="AI33" i="5"/>
  <c r="AK33" i="5" s="1"/>
  <c r="AL33" i="5" s="1"/>
  <c r="AI35" i="5"/>
  <c r="AK35" i="5" s="1"/>
  <c r="AL35" i="5" s="1"/>
  <c r="AI25" i="5"/>
  <c r="AK25" i="5" s="1"/>
  <c r="AI31" i="5"/>
  <c r="AK31" i="5" s="1"/>
  <c r="AL31" i="5" s="1"/>
  <c r="AI32" i="5"/>
  <c r="AK32" i="5" s="1"/>
  <c r="AL32" i="5" s="1"/>
  <c r="AI11" i="5"/>
  <c r="AK11" i="5" s="1"/>
  <c r="AL11" i="5" s="1"/>
  <c r="AI23" i="5"/>
  <c r="AK23" i="5" s="1"/>
  <c r="AL23" i="5" s="1"/>
  <c r="AI20" i="5"/>
  <c r="AK20" i="5" s="1"/>
  <c r="AL20" i="5" s="1"/>
  <c r="AI15" i="5"/>
  <c r="AK15" i="5" s="1"/>
  <c r="AI19" i="5"/>
  <c r="AK19" i="5" s="1"/>
  <c r="AL19" i="5" s="1"/>
  <c r="AI27" i="5"/>
  <c r="AK27" i="5" s="1"/>
  <c r="AL27" i="5" s="1"/>
  <c r="AI12" i="5"/>
  <c r="AK12" i="5" s="1"/>
  <c r="AI16" i="5"/>
  <c r="AK16" i="5" s="1"/>
  <c r="AL16" i="5" s="1"/>
  <c r="AI24" i="5"/>
  <c r="AK24" i="5" s="1"/>
  <c r="AL24" i="5" s="1"/>
  <c r="AI22" i="5"/>
  <c r="AK22" i="5" s="1"/>
  <c r="AI10" i="5"/>
  <c r="AK10" i="5" s="1"/>
  <c r="AL10" i="5" s="1"/>
  <c r="AX9" i="5" l="1"/>
  <c r="AX30" i="5"/>
  <c r="AX22" i="5"/>
  <c r="AX10" i="5"/>
  <c r="AX18" i="5"/>
  <c r="AX23" i="5"/>
  <c r="AX26" i="5"/>
  <c r="AX19" i="5"/>
  <c r="AX25" i="5"/>
  <c r="AX15" i="5"/>
  <c r="AX11" i="5"/>
  <c r="AX17" i="5"/>
  <c r="AX27" i="5"/>
  <c r="AX13" i="5"/>
  <c r="AX12" i="5"/>
  <c r="AX24" i="5"/>
  <c r="AX33" i="5"/>
  <c r="AX34" i="5"/>
  <c r="AL12" i="5"/>
  <c r="AL15" i="5"/>
  <c r="AL22" i="5"/>
  <c r="AL25" i="5"/>
  <c r="AL26" i="5"/>
  <c r="AY35" i="5" l="1"/>
  <c r="AZ35" i="5"/>
  <c r="AZ37" i="5" s="1"/>
  <c r="AN35" i="5"/>
  <c r="AM35" i="5"/>
  <c r="C91" i="4"/>
  <c r="S40" i="4"/>
  <c r="I73" i="4"/>
  <c r="S41" i="4"/>
  <c r="S42" i="4"/>
  <c r="S43" i="4"/>
  <c r="S44" i="4"/>
  <c r="S45" i="4"/>
  <c r="S46" i="4"/>
  <c r="S47" i="4"/>
  <c r="S75" i="4" s="1"/>
  <c r="S48" i="4"/>
  <c r="S76" i="4" s="1"/>
  <c r="S49" i="4"/>
  <c r="S50" i="4"/>
  <c r="S51" i="4"/>
  <c r="S77" i="4" s="1"/>
  <c r="S52" i="4"/>
  <c r="S78" i="4" s="1"/>
  <c r="S53" i="4"/>
  <c r="S54" i="4"/>
  <c r="S55" i="4"/>
  <c r="S56" i="4"/>
  <c r="S57" i="4"/>
  <c r="S58" i="4"/>
  <c r="S59" i="4"/>
  <c r="S80" i="4" s="1"/>
  <c r="S60" i="4"/>
  <c r="S81" i="4" s="1"/>
  <c r="S61" i="4"/>
  <c r="C80" i="4"/>
  <c r="F75" i="4" s="1"/>
  <c r="Q70" i="4"/>
  <c r="O72" i="4"/>
  <c r="O70" i="4"/>
  <c r="P70" i="4"/>
  <c r="R70" i="4"/>
  <c r="O71" i="4"/>
  <c r="P71" i="4"/>
  <c r="Q71" i="4"/>
  <c r="R71" i="4"/>
  <c r="P72" i="4"/>
  <c r="Q72" i="4"/>
  <c r="R72" i="4"/>
  <c r="S72" i="4"/>
  <c r="O73" i="4"/>
  <c r="P73" i="4"/>
  <c r="Q73" i="4"/>
  <c r="R73" i="4"/>
  <c r="S73" i="4"/>
  <c r="O74" i="4"/>
  <c r="P74" i="4"/>
  <c r="Q74" i="4"/>
  <c r="R74" i="4"/>
  <c r="S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S79" i="4"/>
  <c r="O80" i="4"/>
  <c r="P80" i="4"/>
  <c r="Q80" i="4"/>
  <c r="R80" i="4"/>
  <c r="O81" i="4"/>
  <c r="P81" i="4"/>
  <c r="Q81" i="4"/>
  <c r="R81" i="4"/>
  <c r="N70" i="4"/>
  <c r="AN37" i="5" l="1"/>
  <c r="E4" i="3"/>
  <c r="E71" i="3"/>
  <c r="F71" i="3" s="1"/>
  <c r="F72" i="3" s="1"/>
  <c r="B9" i="3"/>
  <c r="F53" i="3"/>
  <c r="F63" i="3"/>
  <c r="F59" i="3"/>
  <c r="F61" i="3"/>
  <c r="F62" i="3"/>
  <c r="F64" i="3"/>
  <c r="F65" i="3"/>
  <c r="F66" i="3"/>
  <c r="F67" i="3"/>
  <c r="F68" i="3"/>
  <c r="F69" i="3"/>
  <c r="F70" i="3"/>
  <c r="F58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7" i="3"/>
  <c r="E58" i="3"/>
  <c r="E59" i="3"/>
  <c r="E60" i="3"/>
  <c r="F60" i="3" s="1"/>
  <c r="E61" i="3"/>
  <c r="E62" i="3"/>
  <c r="E63" i="3"/>
  <c r="E64" i="3"/>
  <c r="E65" i="3"/>
  <c r="E66" i="3"/>
  <c r="E67" i="3"/>
  <c r="E68" i="3"/>
  <c r="E69" i="3"/>
  <c r="E70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E4" i="2"/>
  <c r="F4" i="2" s="1"/>
  <c r="H1" i="2" s="1"/>
  <c r="F3" i="2"/>
  <c r="F2" i="2"/>
  <c r="T7" i="2"/>
  <c r="T13" i="2" s="1"/>
  <c r="R7" i="2"/>
  <c r="R13" i="2" s="1"/>
  <c r="S6" i="2"/>
  <c r="S7" i="2" s="1"/>
  <c r="T5" i="2"/>
  <c r="S5" i="2"/>
  <c r="R5" i="2"/>
  <c r="R8" i="2" s="1"/>
  <c r="R9" i="2" s="1"/>
  <c r="L20" i="2" l="1"/>
  <c r="L7" i="2"/>
  <c r="L8" i="2"/>
  <c r="T8" i="2"/>
  <c r="T9" i="2" s="1"/>
  <c r="S8" i="2"/>
  <c r="S9" i="2" s="1"/>
  <c r="S13" i="2"/>
  <c r="L29" i="3" l="1"/>
  <c r="K29" i="3"/>
  <c r="J29" i="3"/>
  <c r="L30" i="3"/>
  <c r="L28" i="3"/>
  <c r="K30" i="3" l="1"/>
  <c r="K28" i="3"/>
  <c r="P32" i="2"/>
  <c r="L10" i="2"/>
  <c r="L6" i="2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AA88" i="4"/>
  <c r="Z88" i="4"/>
  <c r="AD81" i="4"/>
  <c r="AD82" i="4"/>
  <c r="AB91" i="4" s="1"/>
  <c r="AD80" i="4"/>
  <c r="K7" i="2"/>
  <c r="N79" i="4"/>
  <c r="N78" i="4"/>
  <c r="N81" i="4"/>
  <c r="N80" i="4"/>
  <c r="N77" i="4"/>
  <c r="N76" i="4"/>
  <c r="N75" i="4"/>
  <c r="N74" i="4"/>
  <c r="N73" i="4"/>
  <c r="N72" i="4"/>
  <c r="N71" i="4"/>
  <c r="M7" i="2" l="1"/>
  <c r="N7" i="2" s="1"/>
  <c r="AB100" i="4"/>
  <c r="AB96" i="4"/>
  <c r="AB92" i="4"/>
  <c r="AB104" i="4"/>
  <c r="AB101" i="4"/>
  <c r="AB97" i="4"/>
  <c r="AB93" i="4"/>
  <c r="AB89" i="4"/>
  <c r="AB102" i="4"/>
  <c r="AB98" i="4"/>
  <c r="AB94" i="4"/>
  <c r="AB90" i="4"/>
  <c r="AB88" i="4"/>
  <c r="AB103" i="4"/>
  <c r="AB99" i="4"/>
  <c r="AB95" i="4"/>
  <c r="C82" i="4" l="1"/>
  <c r="C81" i="4"/>
  <c r="G85" i="4" s="1"/>
  <c r="E5" i="3"/>
  <c r="X20" i="1"/>
  <c r="Q60" i="1"/>
  <c r="Q57" i="1"/>
  <c r="Q24" i="1"/>
  <c r="Q16" i="1"/>
  <c r="Q13" i="1"/>
  <c r="Q89" i="1"/>
  <c r="Q87" i="1"/>
  <c r="Q85" i="1"/>
  <c r="Q83" i="1"/>
  <c r="Q71" i="1"/>
  <c r="Q70" i="1"/>
  <c r="Q69" i="1"/>
  <c r="Q68" i="1"/>
  <c r="Q63" i="1"/>
  <c r="Q64" i="1"/>
  <c r="Q61" i="1"/>
  <c r="Q58" i="1"/>
  <c r="Q38" i="1"/>
  <c r="Q17" i="1"/>
  <c r="Q14" i="1"/>
  <c r="N90" i="1"/>
  <c r="N88" i="1"/>
  <c r="N86" i="1"/>
  <c r="N84" i="1"/>
  <c r="N65" i="1"/>
  <c r="N62" i="1"/>
  <c r="N59" i="1"/>
  <c r="N39" i="1"/>
  <c r="N18" i="1"/>
  <c r="N15" i="1"/>
  <c r="J39" i="1"/>
  <c r="J18" i="1"/>
  <c r="J15" i="1"/>
  <c r="J90" i="1"/>
  <c r="J88" i="1"/>
  <c r="J86" i="1"/>
  <c r="J84" i="1"/>
  <c r="J65" i="1"/>
  <c r="J62" i="1"/>
  <c r="J59" i="1"/>
  <c r="P14" i="1"/>
  <c r="P9" i="1"/>
  <c r="P49" i="1"/>
  <c r="P40" i="1"/>
  <c r="P25" i="1"/>
  <c r="P8" i="1"/>
  <c r="P91" i="1"/>
  <c r="P72" i="1"/>
  <c r="P66" i="1"/>
  <c r="P56" i="1"/>
  <c r="P11" i="1"/>
  <c r="P57" i="1"/>
  <c r="P85" i="1"/>
  <c r="P87" i="1"/>
  <c r="P89" i="1"/>
  <c r="P83" i="1"/>
  <c r="P71" i="1"/>
  <c r="P70" i="1"/>
  <c r="P69" i="1"/>
  <c r="P68" i="1"/>
  <c r="P64" i="1"/>
  <c r="P61" i="1"/>
  <c r="P58" i="1"/>
  <c r="P63" i="1"/>
  <c r="P60" i="1"/>
  <c r="P38" i="1"/>
  <c r="P24" i="1"/>
  <c r="P17" i="1"/>
  <c r="P16" i="1"/>
  <c r="P13" i="1"/>
  <c r="P10" i="1"/>
  <c r="H77" i="4" l="1"/>
  <c r="H76" i="4"/>
  <c r="S62" i="4"/>
  <c r="F86" i="4"/>
  <c r="F84" i="4"/>
  <c r="F80" i="4"/>
  <c r="F90" i="4"/>
  <c r="F88" i="4"/>
  <c r="F78" i="4"/>
  <c r="H90" i="4"/>
  <c r="H86" i="4"/>
  <c r="H82" i="4"/>
  <c r="H78" i="4"/>
  <c r="F82" i="4"/>
  <c r="H88" i="4"/>
  <c r="H84" i="4"/>
  <c r="H80" i="4"/>
  <c r="G81" i="4"/>
  <c r="G77" i="4"/>
  <c r="F76" i="4"/>
  <c r="F74" i="4"/>
  <c r="G90" i="4"/>
  <c r="F89" i="4"/>
  <c r="H87" i="4"/>
  <c r="G86" i="4"/>
  <c r="F85" i="4"/>
  <c r="H83" i="4"/>
  <c r="G82" i="4"/>
  <c r="F81" i="4"/>
  <c r="H79" i="4"/>
  <c r="G78" i="4"/>
  <c r="F77" i="4"/>
  <c r="H75" i="4"/>
  <c r="G83" i="4"/>
  <c r="G75" i="4"/>
  <c r="G74" i="4"/>
  <c r="G87" i="4"/>
  <c r="G79" i="4"/>
  <c r="H74" i="4"/>
  <c r="H89" i="4"/>
  <c r="G88" i="4"/>
  <c r="F87" i="4"/>
  <c r="H85" i="4"/>
  <c r="G84" i="4"/>
  <c r="F83" i="4"/>
  <c r="H81" i="4"/>
  <c r="G80" i="4"/>
  <c r="F79" i="4"/>
  <c r="G76" i="4"/>
  <c r="G89" i="4"/>
  <c r="S63" i="4"/>
  <c r="I74" i="4" l="1"/>
  <c r="I75" i="4"/>
  <c r="I76" i="4"/>
  <c r="I79" i="4"/>
  <c r="I83" i="4"/>
  <c r="I87" i="4"/>
  <c r="I78" i="4"/>
  <c r="I90" i="4"/>
  <c r="I80" i="4"/>
  <c r="I84" i="4"/>
  <c r="I88" i="4"/>
  <c r="I77" i="4"/>
  <c r="I81" i="4"/>
  <c r="I85" i="4"/>
  <c r="I89" i="4"/>
  <c r="I82" i="4"/>
  <c r="I86" i="4"/>
  <c r="B11" i="3"/>
  <c r="G3" i="3" s="1"/>
  <c r="J30" i="3"/>
  <c r="J28" i="3"/>
  <c r="B10" i="3"/>
  <c r="F3" i="3" l="1"/>
  <c r="F7" i="3"/>
  <c r="P52" i="2"/>
  <c r="P53" i="2"/>
  <c r="P54" i="2"/>
  <c r="P44" i="2"/>
  <c r="P45" i="2"/>
  <c r="P46" i="2"/>
  <c r="P47" i="2"/>
  <c r="P49" i="2"/>
  <c r="P40" i="2"/>
  <c r="P41" i="2"/>
  <c r="P42" i="2"/>
  <c r="P36" i="2"/>
  <c r="P37" i="2"/>
  <c r="P38" i="2"/>
  <c r="P33" i="2"/>
  <c r="P34" i="2"/>
  <c r="P28" i="2"/>
  <c r="P29" i="2"/>
  <c r="P30" i="2"/>
  <c r="I30" i="2"/>
  <c r="I28" i="2"/>
  <c r="I27" i="2"/>
  <c r="M27" i="2" s="1"/>
  <c r="I29" i="2"/>
  <c r="I38" i="2"/>
  <c r="I40" i="2"/>
  <c r="I42" i="2"/>
  <c r="I44" i="2"/>
  <c r="I46" i="2"/>
  <c r="I52" i="2"/>
  <c r="I54" i="2"/>
  <c r="I53" i="2"/>
  <c r="I51" i="2"/>
  <c r="M51" i="2" s="1"/>
  <c r="I45" i="2"/>
  <c r="I43" i="2"/>
  <c r="I41" i="2"/>
  <c r="I39" i="2"/>
  <c r="I37" i="2"/>
  <c r="I36" i="2"/>
  <c r="I35" i="2"/>
  <c r="I34" i="2"/>
  <c r="I33" i="2"/>
  <c r="I32" i="2"/>
  <c r="I31" i="2"/>
  <c r="G5" i="3"/>
  <c r="F5" i="3"/>
  <c r="K33" i="2" l="1"/>
  <c r="M33" i="2"/>
  <c r="Q33" i="2" s="1"/>
  <c r="K37" i="2"/>
  <c r="M37" i="2"/>
  <c r="Q37" i="2" s="1"/>
  <c r="M45" i="2"/>
  <c r="Q45" i="2" s="1"/>
  <c r="N52" i="2"/>
  <c r="M52" i="2"/>
  <c r="M40" i="2"/>
  <c r="U40" i="2" s="1"/>
  <c r="M28" i="2"/>
  <c r="Q28" i="2" s="1"/>
  <c r="K34" i="2"/>
  <c r="M34" i="2"/>
  <c r="Q34" i="2" s="1"/>
  <c r="K39" i="2"/>
  <c r="M39" i="2"/>
  <c r="K46" i="2"/>
  <c r="M46" i="2"/>
  <c r="Q46" i="2" s="1"/>
  <c r="K38" i="2"/>
  <c r="M38" i="2"/>
  <c r="K30" i="2"/>
  <c r="M30" i="2"/>
  <c r="K31" i="2"/>
  <c r="M31" i="2"/>
  <c r="K35" i="2"/>
  <c r="M35" i="2"/>
  <c r="R35" i="2" s="1"/>
  <c r="M41" i="2"/>
  <c r="Q41" i="2" s="1"/>
  <c r="M53" i="2"/>
  <c r="Q53" i="2" s="1"/>
  <c r="M44" i="2"/>
  <c r="Q44" i="2" s="1"/>
  <c r="K29" i="2"/>
  <c r="M29" i="2"/>
  <c r="Q29" i="2" s="1"/>
  <c r="M32" i="2"/>
  <c r="Q32" i="2" s="1"/>
  <c r="M36" i="2"/>
  <c r="R36" i="2" s="1"/>
  <c r="K43" i="2"/>
  <c r="M43" i="2"/>
  <c r="Q43" i="2" s="1"/>
  <c r="L54" i="2"/>
  <c r="M54" i="2"/>
  <c r="Q54" i="2" s="1"/>
  <c r="K42" i="2"/>
  <c r="M42" i="2"/>
  <c r="Q42" i="2" s="1"/>
  <c r="K28" i="2"/>
  <c r="K53" i="2"/>
  <c r="K44" i="2"/>
  <c r="K41" i="2"/>
  <c r="L53" i="2"/>
  <c r="K45" i="2"/>
  <c r="U32" i="2"/>
  <c r="R32" i="2"/>
  <c r="U45" i="2"/>
  <c r="R28" i="2"/>
  <c r="U28" i="2"/>
  <c r="R53" i="2"/>
  <c r="K36" i="2"/>
  <c r="K54" i="2"/>
  <c r="K40" i="2"/>
  <c r="L52" i="2"/>
  <c r="K52" i="2"/>
  <c r="N53" i="2"/>
  <c r="K32" i="2"/>
  <c r="N54" i="2"/>
  <c r="E3" i="3"/>
  <c r="F16" i="3"/>
  <c r="F12" i="3"/>
  <c r="F19" i="3"/>
  <c r="F15" i="3"/>
  <c r="F11" i="3"/>
  <c r="F18" i="3"/>
  <c r="F14" i="3"/>
  <c r="F17" i="3"/>
  <c r="F13" i="3"/>
  <c r="G8" i="3"/>
  <c r="G19" i="3"/>
  <c r="G15" i="3"/>
  <c r="G13" i="3"/>
  <c r="G11" i="3"/>
  <c r="G7" i="3"/>
  <c r="G18" i="3"/>
  <c r="G16" i="3"/>
  <c r="G14" i="3"/>
  <c r="G12" i="3"/>
  <c r="G10" i="3"/>
  <c r="G6" i="3"/>
  <c r="G17" i="3"/>
  <c r="G4" i="3"/>
  <c r="G9" i="3"/>
  <c r="F4" i="3"/>
  <c r="F10" i="3"/>
  <c r="F8" i="3"/>
  <c r="F6" i="3"/>
  <c r="F9" i="3"/>
  <c r="E16" i="3"/>
  <c r="E12" i="3"/>
  <c r="E8" i="3"/>
  <c r="E19" i="3"/>
  <c r="E15" i="3"/>
  <c r="E11" i="3"/>
  <c r="E7" i="3"/>
  <c r="E18" i="3"/>
  <c r="E14" i="3"/>
  <c r="E10" i="3"/>
  <c r="E6" i="3"/>
  <c r="E17" i="3"/>
  <c r="E13" i="3"/>
  <c r="E9" i="3"/>
  <c r="U44" i="2" l="1"/>
  <c r="U41" i="2"/>
  <c r="U53" i="2"/>
  <c r="R45" i="2"/>
  <c r="S45" i="2" s="1"/>
  <c r="V45" i="2" s="1"/>
  <c r="Q36" i="2"/>
  <c r="Q40" i="2"/>
  <c r="R40" i="2"/>
  <c r="S40" i="2" s="1"/>
  <c r="V40" i="2" s="1"/>
  <c r="U36" i="2"/>
  <c r="R44" i="2"/>
  <c r="R41" i="2"/>
  <c r="S41" i="2" s="1"/>
  <c r="V41" i="2" s="1"/>
  <c r="R30" i="2"/>
  <c r="Q30" i="2"/>
  <c r="U31" i="2"/>
  <c r="Q31" i="2"/>
  <c r="U35" i="2"/>
  <c r="Q35" i="2"/>
  <c r="U52" i="2"/>
  <c r="Q52" i="2"/>
  <c r="R38" i="2"/>
  <c r="Q38" i="2"/>
  <c r="U39" i="2"/>
  <c r="Q39" i="2"/>
  <c r="R52" i="2"/>
  <c r="R31" i="2"/>
  <c r="S32" i="2"/>
  <c r="V32" i="2" s="1"/>
  <c r="R39" i="2"/>
  <c r="S28" i="2"/>
  <c r="V28" i="2" s="1"/>
  <c r="R34" i="2"/>
  <c r="S34" i="2" s="1"/>
  <c r="V34" i="2" s="1"/>
  <c r="U34" i="2"/>
  <c r="U30" i="2"/>
  <c r="R46" i="2"/>
  <c r="S46" i="2" s="1"/>
  <c r="V46" i="2" s="1"/>
  <c r="U46" i="2"/>
  <c r="U38" i="2"/>
  <c r="R33" i="2"/>
  <c r="U33" i="2"/>
  <c r="R54" i="2"/>
  <c r="U54" i="2"/>
  <c r="R37" i="2"/>
  <c r="U37" i="2"/>
  <c r="S53" i="2"/>
  <c r="V53" i="2" s="1"/>
  <c r="R42" i="2"/>
  <c r="U42" i="2"/>
  <c r="R29" i="2"/>
  <c r="U29" i="2"/>
  <c r="U43" i="2"/>
  <c r="R43" i="2"/>
  <c r="S44" i="2"/>
  <c r="V44" i="2" s="1"/>
  <c r="S36" i="2"/>
  <c r="V36" i="2" s="1"/>
  <c r="X19" i="1"/>
  <c r="I8" i="2"/>
  <c r="S38" i="2" l="1"/>
  <c r="V38" i="2" s="1"/>
  <c r="S30" i="2"/>
  <c r="V30" i="2" s="1"/>
  <c r="S52" i="2"/>
  <c r="V52" i="2" s="1"/>
  <c r="X31" i="2"/>
  <c r="S37" i="2"/>
  <c r="V37" i="2" s="1"/>
  <c r="S54" i="2"/>
  <c r="V54" i="2" s="1"/>
  <c r="S29" i="2"/>
  <c r="V29" i="2" s="1"/>
  <c r="S42" i="2"/>
  <c r="V42" i="2" s="1"/>
  <c r="S33" i="2"/>
  <c r="V33" i="2" s="1"/>
  <c r="P31" i="2"/>
  <c r="S31" i="2" s="1"/>
  <c r="V31" i="2" s="1"/>
  <c r="P35" i="2"/>
  <c r="S35" i="2" s="1"/>
  <c r="V35" i="2" s="1"/>
  <c r="P39" i="2"/>
  <c r="S39" i="2" s="1"/>
  <c r="V39" i="2" s="1"/>
  <c r="P43" i="2"/>
  <c r="S43" i="2" s="1"/>
  <c r="V43" i="2" s="1"/>
  <c r="P51" i="2"/>
  <c r="P27" i="2"/>
  <c r="L9" i="2"/>
  <c r="L12" i="2"/>
  <c r="L13" i="2"/>
  <c r="L14" i="2"/>
  <c r="L15" i="2"/>
  <c r="L19" i="2"/>
  <c r="L21" i="2"/>
  <c r="L22" i="2"/>
  <c r="K12" i="2"/>
  <c r="K13" i="2"/>
  <c r="K14" i="2"/>
  <c r="K15" i="2"/>
  <c r="K19" i="2"/>
  <c r="K20" i="2"/>
  <c r="K21" i="2"/>
  <c r="K22" i="2"/>
  <c r="K8" i="2"/>
  <c r="M8" i="2" s="1"/>
  <c r="N8" i="2" s="1"/>
  <c r="K9" i="2"/>
  <c r="K10" i="2"/>
  <c r="K6" i="2"/>
  <c r="Q51" i="2"/>
  <c r="I49" i="2"/>
  <c r="I47" i="2"/>
  <c r="I22" i="2"/>
  <c r="I21" i="2"/>
  <c r="I20" i="2"/>
  <c r="I19" i="2"/>
  <c r="I12" i="2"/>
  <c r="I15" i="2"/>
  <c r="I14" i="2"/>
  <c r="I13" i="2"/>
  <c r="I10" i="2"/>
  <c r="I9" i="2"/>
  <c r="I7" i="2"/>
  <c r="I6" i="2"/>
  <c r="N47" i="2" l="1"/>
  <c r="M47" i="2"/>
  <c r="L49" i="2"/>
  <c r="M49" i="2"/>
  <c r="Q49" i="2" s="1"/>
  <c r="U27" i="2"/>
  <c r="X27" i="2" s="1"/>
  <c r="Q27" i="2"/>
  <c r="R27" i="2"/>
  <c r="S27" i="2" s="1"/>
  <c r="V27" i="2" s="1"/>
  <c r="R51" i="2"/>
  <c r="U51" i="2"/>
  <c r="X51" i="2" s="1"/>
  <c r="M22" i="2"/>
  <c r="N22" i="2" s="1"/>
  <c r="M10" i="2"/>
  <c r="N10" i="2" s="1"/>
  <c r="K47" i="2"/>
  <c r="L47" i="2"/>
  <c r="M21" i="2"/>
  <c r="N21" i="2" s="1"/>
  <c r="M14" i="2"/>
  <c r="N14" i="2" s="1"/>
  <c r="M9" i="2"/>
  <c r="N9" i="2" s="1"/>
  <c r="M15" i="2"/>
  <c r="N15" i="2" s="1"/>
  <c r="M20" i="2"/>
  <c r="N20" i="2" s="1"/>
  <c r="M13" i="2"/>
  <c r="N13" i="2" s="1"/>
  <c r="M6" i="2"/>
  <c r="N6" i="2" s="1"/>
  <c r="M19" i="2"/>
  <c r="N19" i="2" s="1"/>
  <c r="M12" i="2"/>
  <c r="N12" i="2" s="1"/>
  <c r="N51" i="2"/>
  <c r="X35" i="2"/>
  <c r="N49" i="2"/>
  <c r="K27" i="2"/>
  <c r="K51" i="2"/>
  <c r="L51" i="2"/>
  <c r="X39" i="2"/>
  <c r="K49" i="2"/>
  <c r="AA35" i="2"/>
  <c r="AB35" i="2"/>
  <c r="AB39" i="2"/>
  <c r="AB31" i="2"/>
  <c r="R47" i="2" l="1"/>
  <c r="Q47" i="2"/>
  <c r="U47" i="2"/>
  <c r="U49" i="2"/>
  <c r="R49" i="2"/>
  <c r="S51" i="2"/>
  <c r="V51" i="2" s="1"/>
  <c r="Y51" i="2" s="1"/>
  <c r="AA39" i="2"/>
  <c r="AA31" i="2"/>
  <c r="Y31" i="2"/>
  <c r="AA43" i="2"/>
  <c r="AA51" i="2"/>
  <c r="Y39" i="2"/>
  <c r="AC39" i="2"/>
  <c r="S47" i="2" l="1"/>
  <c r="V47" i="2" s="1"/>
  <c r="AD39" i="2"/>
  <c r="S49" i="2"/>
  <c r="V49" i="2" s="1"/>
  <c r="Y35" i="2"/>
  <c r="AC31" i="2"/>
  <c r="AD31" i="2" s="1"/>
  <c r="AA55" i="2"/>
  <c r="X43" i="2"/>
  <c r="AB43" i="2"/>
  <c r="AC51" i="2"/>
  <c r="AC35" i="2"/>
  <c r="AD35" i="2" s="1"/>
  <c r="AB51" i="2"/>
  <c r="AC43" i="2" l="1"/>
  <c r="AD43" i="2" s="1"/>
  <c r="Y43" i="2"/>
  <c r="AB55" i="2"/>
  <c r="AD51" i="2"/>
  <c r="AC55" i="2" l="1"/>
  <c r="AD55" i="2" s="1"/>
  <c r="T83" i="1"/>
  <c r="T85" i="1"/>
  <c r="T87" i="1"/>
  <c r="T89" i="1"/>
  <c r="T91" i="1"/>
  <c r="T57" i="1"/>
  <c r="T58" i="1"/>
  <c r="T60" i="1"/>
  <c r="T61" i="1"/>
  <c r="T63" i="1"/>
  <c r="T64" i="1"/>
  <c r="T66" i="1"/>
  <c r="T68" i="1"/>
  <c r="T69" i="1"/>
  <c r="T70" i="1"/>
  <c r="T71" i="1"/>
  <c r="T72" i="1"/>
  <c r="T56" i="1"/>
  <c r="S49" i="1"/>
  <c r="T49" i="1"/>
  <c r="U49" i="1"/>
  <c r="V49" i="1"/>
  <c r="T40" i="1"/>
  <c r="T38" i="1"/>
  <c r="T25" i="1"/>
  <c r="T24" i="1"/>
  <c r="T10" i="1"/>
  <c r="T11" i="1"/>
  <c r="T13" i="1"/>
  <c r="T14" i="1"/>
  <c r="T16" i="1"/>
  <c r="T17" i="1"/>
  <c r="T9" i="1"/>
  <c r="V25" i="1"/>
  <c r="U25" i="1"/>
  <c r="V40" i="1"/>
  <c r="U40" i="1"/>
  <c r="V38" i="1"/>
  <c r="U38" i="1"/>
  <c r="V24" i="1"/>
  <c r="U24" i="1"/>
  <c r="V91" i="1"/>
  <c r="U91" i="1"/>
  <c r="S91" i="1"/>
  <c r="V89" i="1"/>
  <c r="U89" i="1"/>
  <c r="S89" i="1"/>
  <c r="V87" i="1"/>
  <c r="U87" i="1"/>
  <c r="S87" i="1"/>
  <c r="V85" i="1"/>
  <c r="U85" i="1"/>
  <c r="S85" i="1"/>
  <c r="V83" i="1"/>
  <c r="U83" i="1"/>
  <c r="S83" i="1"/>
  <c r="S68" i="1"/>
  <c r="U68" i="1"/>
  <c r="V68" i="1"/>
  <c r="S69" i="1"/>
  <c r="U69" i="1"/>
  <c r="V69" i="1"/>
  <c r="S70" i="1"/>
  <c r="U70" i="1"/>
  <c r="V70" i="1"/>
  <c r="S71" i="1"/>
  <c r="U71" i="1"/>
  <c r="V71" i="1"/>
  <c r="S72" i="1"/>
  <c r="U72" i="1"/>
  <c r="V72" i="1"/>
  <c r="S57" i="1"/>
  <c r="U57" i="1"/>
  <c r="V57" i="1"/>
  <c r="S58" i="1"/>
  <c r="U58" i="1"/>
  <c r="V58" i="1"/>
  <c r="S60" i="1"/>
  <c r="U60" i="1"/>
  <c r="V60" i="1"/>
  <c r="S61" i="1"/>
  <c r="U61" i="1"/>
  <c r="V61" i="1"/>
  <c r="S63" i="1"/>
  <c r="U63" i="1"/>
  <c r="V63" i="1"/>
  <c r="S64" i="1"/>
  <c r="U64" i="1"/>
  <c r="V64" i="1"/>
  <c r="S66" i="1"/>
  <c r="U66" i="1"/>
  <c r="V66" i="1"/>
  <c r="V56" i="1"/>
  <c r="U56" i="1"/>
  <c r="S56" i="1"/>
  <c r="V9" i="1"/>
  <c r="V10" i="1"/>
  <c r="V11" i="1"/>
  <c r="V13" i="1"/>
  <c r="V14" i="1"/>
  <c r="V16" i="1"/>
  <c r="V17" i="1"/>
  <c r="U9" i="1"/>
  <c r="U10" i="1"/>
  <c r="U11" i="1"/>
  <c r="U13" i="1"/>
  <c r="U14" i="1"/>
  <c r="U16" i="1"/>
  <c r="U17" i="1"/>
  <c r="S10" i="1"/>
  <c r="S11" i="1"/>
  <c r="S13" i="1"/>
  <c r="S14" i="1"/>
  <c r="S16" i="1"/>
  <c r="S17" i="1"/>
  <c r="S24" i="1"/>
  <c r="S25" i="1"/>
  <c r="S38" i="1"/>
  <c r="S40" i="1"/>
  <c r="Y68" i="1"/>
  <c r="Z68" i="1"/>
  <c r="Y69" i="1"/>
  <c r="Z69" i="1"/>
  <c r="Y70" i="1"/>
  <c r="Z70" i="1"/>
  <c r="Y71" i="1"/>
  <c r="Z71" i="1"/>
  <c r="Z91" i="1"/>
  <c r="X91" i="1"/>
  <c r="Y91" i="1"/>
  <c r="Z89" i="1"/>
  <c r="R89" i="1"/>
  <c r="X89" i="1"/>
  <c r="Y89" i="1"/>
  <c r="Z87" i="1"/>
  <c r="R87" i="1"/>
  <c r="X87" i="1"/>
  <c r="Y87" i="1"/>
  <c r="Z85" i="1"/>
  <c r="R85" i="1"/>
  <c r="X85" i="1"/>
  <c r="Y85" i="1"/>
  <c r="Z83" i="1"/>
  <c r="R83" i="1"/>
  <c r="X83" i="1"/>
  <c r="Y83" i="1"/>
  <c r="Z80" i="1"/>
  <c r="R80" i="1"/>
  <c r="X80" i="1"/>
  <c r="Y80" i="1"/>
  <c r="Y78" i="1"/>
  <c r="Z78" i="1"/>
  <c r="Y79" i="1"/>
  <c r="Z79" i="1"/>
  <c r="R79" i="1"/>
  <c r="X79" i="1"/>
  <c r="R78" i="1"/>
  <c r="X78" i="1"/>
  <c r="X58" i="1"/>
  <c r="X60" i="1"/>
  <c r="X61" i="1"/>
  <c r="X63" i="1"/>
  <c r="X64" i="1"/>
  <c r="X66" i="1"/>
  <c r="X68" i="1"/>
  <c r="X69" i="1"/>
  <c r="X70" i="1"/>
  <c r="X71" i="1"/>
  <c r="X72" i="1"/>
  <c r="X74" i="1"/>
  <c r="X75" i="1"/>
  <c r="X77" i="1"/>
  <c r="X57" i="1"/>
  <c r="Z75" i="1"/>
  <c r="Z77" i="1"/>
  <c r="Z81" i="1" s="1"/>
  <c r="Z74" i="1"/>
  <c r="Z76" i="1" s="1"/>
  <c r="Y77" i="1"/>
  <c r="Y81" i="1" s="1"/>
  <c r="Y75" i="1"/>
  <c r="Y74" i="1"/>
  <c r="Y76" i="1" s="1"/>
  <c r="R74" i="1"/>
  <c r="R75" i="1"/>
  <c r="R77" i="1"/>
  <c r="R71" i="1"/>
  <c r="R68" i="1"/>
  <c r="R69" i="1"/>
  <c r="R70" i="1"/>
  <c r="R64" i="1"/>
  <c r="R63" i="1"/>
  <c r="R60" i="1"/>
  <c r="R61" i="1"/>
  <c r="R58" i="1"/>
  <c r="R57" i="1"/>
  <c r="Y47" i="1"/>
  <c r="R47" i="1"/>
  <c r="X47" i="1"/>
  <c r="Y46" i="1"/>
  <c r="R46" i="1"/>
  <c r="X46" i="1"/>
  <c r="Y45" i="1"/>
  <c r="X45" i="1"/>
  <c r="Y44" i="1"/>
  <c r="X44" i="1"/>
  <c r="R45" i="1"/>
  <c r="R44" i="1"/>
  <c r="Y22" i="1"/>
  <c r="X22" i="1"/>
  <c r="Y21" i="1"/>
  <c r="X21" i="1"/>
  <c r="Y20" i="1"/>
  <c r="Y19" i="1"/>
  <c r="Y42" i="1"/>
  <c r="X42" i="1"/>
  <c r="R42" i="1"/>
  <c r="Y36" i="1"/>
  <c r="X36" i="1"/>
  <c r="Y41" i="1"/>
  <c r="X41" i="1"/>
  <c r="X43" i="1" s="1"/>
  <c r="Y37" i="1"/>
  <c r="X37" i="1"/>
  <c r="Y34" i="1"/>
  <c r="X34" i="1"/>
  <c r="Y33" i="1"/>
  <c r="X33" i="1"/>
  <c r="Y32" i="1"/>
  <c r="X32" i="1"/>
  <c r="Y31" i="1"/>
  <c r="X31" i="1"/>
  <c r="Y29" i="1"/>
  <c r="X29" i="1"/>
  <c r="Y28" i="1"/>
  <c r="X28" i="1"/>
  <c r="Y27" i="1"/>
  <c r="X27" i="1"/>
  <c r="Y26" i="1"/>
  <c r="X26" i="1"/>
  <c r="R41" i="1"/>
  <c r="R38" i="1"/>
  <c r="R37" i="1"/>
  <c r="R36" i="1"/>
  <c r="R34" i="1"/>
  <c r="R33" i="1"/>
  <c r="R32" i="1"/>
  <c r="R31" i="1"/>
  <c r="R29" i="1"/>
  <c r="R27" i="1"/>
  <c r="R28" i="1"/>
  <c r="R13" i="1"/>
  <c r="R14" i="1"/>
  <c r="R16" i="1"/>
  <c r="R17" i="1"/>
  <c r="R24" i="1"/>
  <c r="R26" i="1"/>
  <c r="Y43" i="1" l="1"/>
  <c r="Y48" i="1"/>
  <c r="X48" i="1"/>
  <c r="Y35" i="1"/>
  <c r="X35" i="1"/>
  <c r="X30" i="1"/>
  <c r="Y30" i="1"/>
</calcChain>
</file>

<file path=xl/sharedStrings.xml><?xml version="1.0" encoding="utf-8"?>
<sst xmlns="http://schemas.openxmlformats.org/spreadsheetml/2006/main" count="1007" uniqueCount="272">
  <si>
    <t>29.06.21 GC-MS Measurement</t>
  </si>
  <si>
    <t>Injection vol. 50ul</t>
  </si>
  <si>
    <t>Method: PCE_T-Ramp_DHSI_SIM</t>
  </si>
  <si>
    <t>Run no.</t>
  </si>
  <si>
    <t>Sample ID</t>
  </si>
  <si>
    <t>PE_B_PCE_empty1</t>
  </si>
  <si>
    <t>PE_B_PCE_C_Std_28.06_Blk.1</t>
  </si>
  <si>
    <t>PE_B_PCE_C_Std_28.06_Blk.2</t>
  </si>
  <si>
    <t>PE_B_PCE_C_Std_28.06_1.1</t>
  </si>
  <si>
    <t>PE_B_PCE_C_Std_28.06_1.2</t>
  </si>
  <si>
    <t>PE_B_PCE_C_Std_28.06_2.1</t>
  </si>
  <si>
    <t>PE_B_PCE_C_Std_28.06_2.2</t>
  </si>
  <si>
    <t>PE_B_PCE_C_Std_28.06_3.1</t>
  </si>
  <si>
    <t>m/z 95</t>
  </si>
  <si>
    <t>RT</t>
  </si>
  <si>
    <t>Area</t>
  </si>
  <si>
    <t>Total</t>
  </si>
  <si>
    <t>m/z 150</t>
  </si>
  <si>
    <t>SIM_152</t>
  </si>
  <si>
    <t>SIM_150</t>
  </si>
  <si>
    <t>SIM_95</t>
  </si>
  <si>
    <t>m/z 152</t>
  </si>
  <si>
    <t>m/z 166</t>
  </si>
  <si>
    <t>SIM_166</t>
  </si>
  <si>
    <t>m/z 164</t>
  </si>
  <si>
    <t>SIM_164</t>
  </si>
  <si>
    <t>PE_B_PCE_C_Std_28.06_3.2</t>
  </si>
  <si>
    <t>Theoret. Conc.</t>
  </si>
  <si>
    <t>PCE [ppm]</t>
  </si>
  <si>
    <t xml:space="preserve">Integration by </t>
  </si>
  <si>
    <t>ChemStation</t>
  </si>
  <si>
    <t>SIM_164_auto</t>
  </si>
  <si>
    <t>SIM_166_auto</t>
  </si>
  <si>
    <t>PE_B_PCE_C_Std_28.06_4.1</t>
  </si>
  <si>
    <t>PE_B_PCE_C_Std_28.06_4.2</t>
  </si>
  <si>
    <t>PE_B_PCE_C_Std_28.06_Blk.3</t>
  </si>
  <si>
    <t>PE_B_PCE_22.06_1.1 (blk)</t>
  </si>
  <si>
    <t>PE_B_PCE_22.06_1.2 (blk)</t>
  </si>
  <si>
    <t>PE_B_PCE_22.06_2.1 (blk)</t>
  </si>
  <si>
    <t>PE_B_PCE_22.06_2.2 (blk)</t>
  </si>
  <si>
    <t>PE_B_PCE_22.06_3.1</t>
  </si>
  <si>
    <t>PE_B_PCE_22.06_3.2</t>
  </si>
  <si>
    <t>PE_B_PCE_22.06_4.1</t>
  </si>
  <si>
    <t>PE_B_PCE_22.06_4.2</t>
  </si>
  <si>
    <t>164/166</t>
  </si>
  <si>
    <t>Area Ratio</t>
  </si>
  <si>
    <t>SIM164/SIM166</t>
  </si>
  <si>
    <t>Measured Conc PCE [ppm]</t>
  </si>
  <si>
    <t>Calibration</t>
  </si>
  <si>
    <t>PE_B_PCE_22.06_5.1</t>
  </si>
  <si>
    <t>PE_B_PCE_22.06_5.2</t>
  </si>
  <si>
    <t>PE_B_PCE_22.06_6.1</t>
  </si>
  <si>
    <t>PE_B_PCE_22.06_6.2</t>
  </si>
  <si>
    <t>PE_B_PCE_22.06_7.1</t>
  </si>
  <si>
    <t>PE_B_PCE_22.06_7.2</t>
  </si>
  <si>
    <t>PE_B_PCE_22.06_8.1</t>
  </si>
  <si>
    <t>PE_B_PCE_22.06_8.2</t>
  </si>
  <si>
    <t>PE_B_PCE_22.06_9.1</t>
  </si>
  <si>
    <t>PE_B_PCE_22.06_9.2</t>
  </si>
  <si>
    <t>PE_B_PCE_22.06_10.1</t>
  </si>
  <si>
    <t>PE_B_PCE_22.06_10.2</t>
  </si>
  <si>
    <t>PE_B_PCE_22.06_11.1</t>
  </si>
  <si>
    <t>PE_B_PCE_22.06_11.2</t>
  </si>
  <si>
    <t>PE_B_PCE_22.06_12.1</t>
  </si>
  <si>
    <t>PE_B_PCE_22.06_12.2</t>
  </si>
  <si>
    <t>PE_B_PCE_C_Std_28.06_Blk.4</t>
  </si>
  <si>
    <t>Mean</t>
  </si>
  <si>
    <t>Initial Conc</t>
  </si>
  <si>
    <t>in Aq. Phase</t>
  </si>
  <si>
    <t>PE_B_PCE_C_Std_28.06_Blk.5</t>
  </si>
  <si>
    <t>PE_B from 22.06.21, C_Std and R_Std from 28.06.21</t>
  </si>
  <si>
    <t>Continued 30.06.21</t>
  </si>
  <si>
    <t>PE_B_PCE_C_Std_28.06_5.1</t>
  </si>
  <si>
    <t>PE_B_PCE_C_Std_28.06_5.2</t>
  </si>
  <si>
    <t>PE_B_PCE_R_Std_28.06_1.1</t>
  </si>
  <si>
    <t>PE_B_PCE_R_Std_28.06_2.1</t>
  </si>
  <si>
    <t>PE_B_PCE_R_Std_28.06_3.1</t>
  </si>
  <si>
    <t>PE_B_PCE_R_Std_28.06_5.1</t>
  </si>
  <si>
    <t>PE_B_PCE_R_Std_28.06_1.2</t>
  </si>
  <si>
    <t>PE_B_PCE_R_Std_28.06_2.2</t>
  </si>
  <si>
    <t>PE_B_PCE_R_Std_28.06_3.2</t>
  </si>
  <si>
    <t>PE_B_PCE_R_Std_28.06_5.2</t>
  </si>
  <si>
    <t>as PE_B_PCE_30.06.21</t>
  </si>
  <si>
    <t>Ref Mat Calibr.</t>
  </si>
  <si>
    <t>166/150</t>
  </si>
  <si>
    <t>152/150</t>
  </si>
  <si>
    <t>95/150</t>
  </si>
  <si>
    <t>166/95</t>
  </si>
  <si>
    <t>Theoret. Conc</t>
  </si>
  <si>
    <t>Calibration Standards</t>
  </si>
  <si>
    <t>PE_B_PCE_C_Std_28.06_Blk</t>
  </si>
  <si>
    <t>PE_B_PCE_C_Std_28.06_5</t>
  </si>
  <si>
    <t>PE_B_PCE_C_Std_28.06_1</t>
  </si>
  <si>
    <t>PE_B_PCE_C_Std_28.06_2</t>
  </si>
  <si>
    <t>PE_B_PCE_C_Std_28.06_3</t>
  </si>
  <si>
    <t>PE_B_PCE_C_Std_28.06_4</t>
  </si>
  <si>
    <t>Reference Standards</t>
  </si>
  <si>
    <t>PE_B_PCE_R_Std_28.06_1</t>
  </si>
  <si>
    <t>PE_B_PCE_R_Std_28.06_5</t>
  </si>
  <si>
    <t>PE_B_PCE_R_Std_28.06_2</t>
  </si>
  <si>
    <t>PE_B_PCE_R_Std_28.06_3</t>
  </si>
  <si>
    <t>Corrections:</t>
  </si>
  <si>
    <t>Instrumental trend internal Standard m/z=150 in Blk-meas.</t>
  </si>
  <si>
    <t>Samples</t>
  </si>
  <si>
    <t>PE_B_PCE_22.06_3</t>
  </si>
  <si>
    <t>PE_B_PCE_22.06_4</t>
  </si>
  <si>
    <t>PE_B_PCE_22.06_5</t>
  </si>
  <si>
    <t>PE_B_PCE_22.06_6</t>
  </si>
  <si>
    <t>PE_B_PCE_22.06_7</t>
  </si>
  <si>
    <t>PE_B_PCE_22.06_8</t>
  </si>
  <si>
    <t>PE_B_PCE_22.06_9</t>
  </si>
  <si>
    <t>PE_B_PCE_22.06_10</t>
  </si>
  <si>
    <t>PE_B_PCE_22.06_11</t>
  </si>
  <si>
    <t>PE_B_PCE_22.06_12</t>
  </si>
  <si>
    <t>Calc. Conc.</t>
  </si>
  <si>
    <t>Incub. Conc</t>
  </si>
  <si>
    <t>by C_Stds</t>
  </si>
  <si>
    <t>by R_Stds</t>
  </si>
  <si>
    <t>Blank correction</t>
  </si>
  <si>
    <t>Henry K_H</t>
  </si>
  <si>
    <t xml:space="preserve">Init. Conc. Aq. </t>
  </si>
  <si>
    <t>Eq. Mass Aq.</t>
  </si>
  <si>
    <t>PCE [ug]</t>
  </si>
  <si>
    <t>Eq. Mass Gas</t>
  </si>
  <si>
    <t>Init. Mass Aq.</t>
  </si>
  <si>
    <t>Eq. Conc. Gas.</t>
  </si>
  <si>
    <t>w/ init. Conc aq.</t>
  </si>
  <si>
    <t>w/ Eq. Conc. Gas</t>
  </si>
  <si>
    <t>Calc. Mass</t>
  </si>
  <si>
    <t>Total init. [ug]</t>
  </si>
  <si>
    <t>in Gas [ug]</t>
  </si>
  <si>
    <t>In Aq. [ug]</t>
  </si>
  <si>
    <t>Loss = Solid [ug]</t>
  </si>
  <si>
    <t>by C_Stds. [ppm]</t>
  </si>
  <si>
    <t>by R_Stds. [ppm]</t>
  </si>
  <si>
    <t xml:space="preserve">Calc. Conc. </t>
  </si>
  <si>
    <t>at Eq. After Part.</t>
  </si>
  <si>
    <t>Aq. Phase [ppm]</t>
  </si>
  <si>
    <t>Solid [ppm]</t>
  </si>
  <si>
    <t>Means from Replica</t>
  </si>
  <si>
    <t>Calc. Rel. Phase distrib</t>
  </si>
  <si>
    <t>in Eq.</t>
  </si>
  <si>
    <t>Sum</t>
  </si>
  <si>
    <t>Gaseous [%]</t>
  </si>
  <si>
    <t>Aqueous [%]</t>
  </si>
  <si>
    <t>Solid [%]</t>
  </si>
  <si>
    <t>GC-MS meas. averaged</t>
  </si>
  <si>
    <t>K_oc</t>
  </si>
  <si>
    <t>f_oc</t>
  </si>
  <si>
    <t>K_d</t>
  </si>
  <si>
    <t>Kd=Cs/Caq</t>
  </si>
  <si>
    <t>C_aq [ppm]</t>
  </si>
  <si>
    <t>C_s [ppm]</t>
  </si>
  <si>
    <t>Linear</t>
  </si>
  <si>
    <t>f_oc = 0.0285</t>
  </si>
  <si>
    <t>Soil 1</t>
  </si>
  <si>
    <t>Soil 2</t>
  </si>
  <si>
    <t>Soil 3</t>
  </si>
  <si>
    <t>Theoretical</t>
  </si>
  <si>
    <t>Measured</t>
  </si>
  <si>
    <t>C_aq</t>
  </si>
  <si>
    <t>C_s</t>
  </si>
  <si>
    <t>PE_B_PCE_22.06_9.3</t>
  </si>
  <si>
    <t>PE_B_PCE_22.06_10.3</t>
  </si>
  <si>
    <t>PE_B_PCE_22.06_1.1</t>
  </si>
  <si>
    <t>PE_B_PCE_22.06_1.2</t>
  </si>
  <si>
    <t>PE_B_PCE_22.06_2.1</t>
  </si>
  <si>
    <t>PE_B_PCE_22.06_2.2</t>
  </si>
  <si>
    <t>f_oc=0.0953</t>
  </si>
  <si>
    <t>f_oc=0.0082</t>
  </si>
  <si>
    <t>(Single Values)</t>
  </si>
  <si>
    <t>PE_B_PCE_22.06_1</t>
  </si>
  <si>
    <t>PE_B_PCE_22.06_2</t>
  </si>
  <si>
    <t>log(K_oc)</t>
  </si>
  <si>
    <t>Calc. Prop. By</t>
  </si>
  <si>
    <t>Measurements</t>
  </si>
  <si>
    <t>log(K_d)</t>
  </si>
  <si>
    <t>Source</t>
  </si>
  <si>
    <t>Chemspider- EPISuite</t>
  </si>
  <si>
    <t>EPA-Calculated</t>
  </si>
  <si>
    <t>EPA-Measured</t>
  </si>
  <si>
    <t>DTSC-report range-min</t>
  </si>
  <si>
    <t>DTSC-report range-max</t>
  </si>
  <si>
    <t>(Averaged Values)</t>
  </si>
  <si>
    <t>ID</t>
  </si>
  <si>
    <t>PE_B_1</t>
  </si>
  <si>
    <t>PE_B_2</t>
  </si>
  <si>
    <t>PE_B_3</t>
  </si>
  <si>
    <t>PE_B_4</t>
  </si>
  <si>
    <t>PE_B_5</t>
  </si>
  <si>
    <t>PE_B_6</t>
  </si>
  <si>
    <t>PE_B_7</t>
  </si>
  <si>
    <t>PE_B_8</t>
  </si>
  <si>
    <t>PE_B_9</t>
  </si>
  <si>
    <t>PE_B_10</t>
  </si>
  <si>
    <t>PE_B_11</t>
  </si>
  <si>
    <t>PE_B_12</t>
  </si>
  <si>
    <t>Init. Conc.</t>
  </si>
  <si>
    <t>PFOA [ppm]</t>
  </si>
  <si>
    <t>Deviation</t>
  </si>
  <si>
    <t>from Mean [%]</t>
  </si>
  <si>
    <t>m/z = 150</t>
  </si>
  <si>
    <t>m/z = 166</t>
  </si>
  <si>
    <t>Gas phase</t>
  </si>
  <si>
    <t>Aq. Phase</t>
  </si>
  <si>
    <t>Solid Phase</t>
  </si>
  <si>
    <t>Initial Conc.</t>
  </si>
  <si>
    <t>Kd</t>
  </si>
  <si>
    <t>Kd=C_s/C_aq</t>
  </si>
  <si>
    <t>Std.-Dev.</t>
  </si>
  <si>
    <t>-</t>
  </si>
  <si>
    <t>[l/kg]</t>
  </si>
  <si>
    <t>Measured and Calc. Concentrations in Eq.</t>
  </si>
  <si>
    <t>Henry K_H = 0.754</t>
  </si>
  <si>
    <t>Empirical</t>
  </si>
  <si>
    <t>GC-MS meas. Individual</t>
  </si>
  <si>
    <t>GC-MS meas. Averaged</t>
  </si>
  <si>
    <t>66 to 437</t>
  </si>
  <si>
    <t>K_oc (mean)</t>
  </si>
  <si>
    <t>K_oc (range)</t>
  </si>
  <si>
    <t>K_d (mean)</t>
  </si>
  <si>
    <t>K_d (range)</t>
  </si>
  <si>
    <t>1.88 to 12.45</t>
  </si>
  <si>
    <t>6.29 to 41.65</t>
  </si>
  <si>
    <t>0.54 to 3.58</t>
  </si>
  <si>
    <t>K_d mean</t>
  </si>
  <si>
    <t>K_d min</t>
  </si>
  <si>
    <t>K_d max</t>
  </si>
  <si>
    <t>Gas Volume</t>
  </si>
  <si>
    <t>Clay-soil</t>
  </si>
  <si>
    <t>Core top</t>
  </si>
  <si>
    <t>Core bottom</t>
  </si>
  <si>
    <t>Bulk density [g/ml]</t>
  </si>
  <si>
    <t>Mass soil [g]</t>
  </si>
  <si>
    <t>Bulk Vol soil [ml]</t>
  </si>
  <si>
    <t>Solid density [g/ml]</t>
  </si>
  <si>
    <t>Volume Solid [ml]</t>
  </si>
  <si>
    <t>Pore volume [ml]</t>
  </si>
  <si>
    <t>Porosity [%]</t>
  </si>
  <si>
    <t>Total vol vial [ml]</t>
  </si>
  <si>
    <t>Porewater vol [ml]</t>
  </si>
  <si>
    <t>Gas volume [ml]</t>
  </si>
  <si>
    <t>Report</t>
  </si>
  <si>
    <t>K_H</t>
  </si>
  <si>
    <t>H [Pa*m^3/mol]</t>
  </si>
  <si>
    <t>From DTSC</t>
  </si>
  <si>
    <t>Gas volume computed</t>
  </si>
  <si>
    <t>DTSC-report range-MEAN</t>
  </si>
  <si>
    <t>Area m/z = 150</t>
  </si>
  <si>
    <t>Area m/z = 166</t>
  </si>
  <si>
    <t>Area m/z = 164</t>
  </si>
  <si>
    <t>GC-MS Measurement</t>
  </si>
  <si>
    <t>Areas</t>
  </si>
  <si>
    <t>30.06.21 GC-MS Measurement</t>
  </si>
  <si>
    <t>Sorption to</t>
  </si>
  <si>
    <t>Solid [ug]</t>
  </si>
  <si>
    <t>Kd [L/kg]</t>
  </si>
  <si>
    <t>C_s/C_aq</t>
  </si>
  <si>
    <t>(auto/auto)</t>
  </si>
  <si>
    <t>Blank</t>
  </si>
  <si>
    <t>Correction</t>
  </si>
  <si>
    <t>Inst. Drift</t>
  </si>
  <si>
    <t>Blank Corrected</t>
  </si>
  <si>
    <t>Drift Corrected</t>
  </si>
  <si>
    <t>Std. Dev.</t>
  </si>
  <si>
    <t>RSD [%]</t>
  </si>
  <si>
    <t>Correction:</t>
  </si>
  <si>
    <t>Instr.Drift Correction</t>
  </si>
  <si>
    <t xml:space="preserve">Correction for </t>
  </si>
  <si>
    <t>Max or Mean of Blank????</t>
  </si>
  <si>
    <t>Blank (mean)</t>
  </si>
  <si>
    <t>Drift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</si>
</sst>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/>
    <xf numFmtId="164" fontId="0" fillId="0" borderId="0" xfId="0" applyNumberFormat="1" applyFill="1" applyBorder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9" xfId="0" applyFont="1" applyBorder="1"/>
    <xf numFmtId="0" fontId="1" fillId="0" borderId="0" xfId="0" applyFont="1" applyBorder="1"/>
    <xf numFmtId="0" fontId="0" fillId="0" borderId="0" xfId="0" applyFont="1"/>
    <xf numFmtId="0" fontId="0" fillId="0" borderId="7" xfId="0" applyFont="1" applyBorder="1"/>
    <xf numFmtId="14" fontId="0" fillId="0" borderId="8" xfId="0" applyNumberFormat="1" applyFont="1" applyBorder="1"/>
    <xf numFmtId="0" fontId="0" fillId="0" borderId="24" xfId="0" applyFont="1" applyBorder="1"/>
    <xf numFmtId="0" fontId="0" fillId="0" borderId="8" xfId="0" applyFont="1" applyBorder="1"/>
    <xf numFmtId="0" fontId="0" fillId="0" borderId="20" xfId="0" applyFont="1" applyBorder="1"/>
    <xf numFmtId="0" fontId="0" fillId="0" borderId="5" xfId="0" applyFont="1" applyBorder="1"/>
    <xf numFmtId="0" fontId="0" fillId="0" borderId="22" xfId="0" applyFont="1" applyBorder="1"/>
    <xf numFmtId="0" fontId="0" fillId="0" borderId="19" xfId="0" applyFont="1" applyBorder="1"/>
    <xf numFmtId="0" fontId="0" fillId="0" borderId="2" xfId="0" applyFont="1" applyFill="1" applyBorder="1"/>
    <xf numFmtId="0" fontId="0" fillId="0" borderId="2" xfId="0" applyFont="1" applyBorder="1"/>
    <xf numFmtId="0" fontId="0" fillId="0" borderId="21" xfId="0" applyFont="1" applyBorder="1"/>
    <xf numFmtId="0" fontId="0" fillId="0" borderId="25" xfId="0" applyFont="1" applyBorder="1"/>
    <xf numFmtId="0" fontId="0" fillId="0" borderId="6" xfId="0" applyFont="1" applyBorder="1"/>
    <xf numFmtId="0" fontId="0" fillId="0" borderId="23" xfId="0" applyFont="1" applyBorder="1"/>
    <xf numFmtId="0" fontId="0" fillId="0" borderId="19" xfId="0" applyFont="1" applyFill="1" applyBorder="1"/>
    <xf numFmtId="0" fontId="0" fillId="0" borderId="0" xfId="0" applyFont="1" applyBorder="1"/>
    <xf numFmtId="0" fontId="0" fillId="0" borderId="6" xfId="0" applyFont="1" applyFill="1" applyBorder="1"/>
    <xf numFmtId="0" fontId="0" fillId="0" borderId="3" xfId="0" applyFont="1" applyBorder="1"/>
    <xf numFmtId="14" fontId="0" fillId="0" borderId="0" xfId="0" applyNumberFormat="1" applyFont="1" applyBorder="1"/>
    <xf numFmtId="0" fontId="0" fillId="0" borderId="1" xfId="0" applyFont="1" applyBorder="1"/>
    <xf numFmtId="0" fontId="0" fillId="0" borderId="4" xfId="0" applyFont="1" applyBorder="1"/>
    <xf numFmtId="14" fontId="0" fillId="0" borderId="23" xfId="0" applyNumberFormat="1" applyFont="1" applyBorder="1"/>
    <xf numFmtId="164" fontId="0" fillId="0" borderId="0" xfId="0" applyNumberFormat="1" applyFont="1" applyBorder="1"/>
    <xf numFmtId="164" fontId="0" fillId="0" borderId="6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4" fontId="0" fillId="0" borderId="21" xfId="0" applyNumberFormat="1" applyFont="1" applyBorder="1"/>
    <xf numFmtId="0" fontId="0" fillId="0" borderId="21" xfId="0" applyFont="1" applyBorder="1" applyAlignment="1">
      <alignment horizontal="right"/>
    </xf>
    <xf numFmtId="164" fontId="0" fillId="0" borderId="19" xfId="0" applyNumberFormat="1" applyFont="1" applyBorder="1"/>
    <xf numFmtId="164" fontId="0" fillId="0" borderId="21" xfId="0" applyNumberFormat="1" applyFont="1" applyBorder="1"/>
    <xf numFmtId="164" fontId="0" fillId="0" borderId="20" xfId="0" applyNumberFormat="1" applyFont="1" applyBorder="1"/>
    <xf numFmtId="14" fontId="0" fillId="0" borderId="19" xfId="0" applyNumberFormat="1" applyFont="1" applyBorder="1"/>
    <xf numFmtId="0" fontId="0" fillId="0" borderId="0" xfId="0" applyFont="1" applyFill="1" applyBorder="1"/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0" borderId="23" xfId="0" applyBorder="1"/>
    <xf numFmtId="0" fontId="0" fillId="0" borderId="25" xfId="0" applyBorder="1"/>
    <xf numFmtId="0" fontId="0" fillId="0" borderId="0" xfId="0" applyFill="1"/>
    <xf numFmtId="164" fontId="0" fillId="0" borderId="0" xfId="0" applyNumberFormat="1" applyFont="1"/>
    <xf numFmtId="14" fontId="0" fillId="0" borderId="7" xfId="0" applyNumberFormat="1" applyFont="1" applyBorder="1"/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0" fontId="0" fillId="2" borderId="0" xfId="0" applyFill="1"/>
    <xf numFmtId="0" fontId="0" fillId="0" borderId="25" xfId="0" applyFill="1" applyBorder="1"/>
    <xf numFmtId="0" fontId="0" fillId="0" borderId="3" xfId="0" applyFill="1" applyBorder="1"/>
    <xf numFmtId="0" fontId="0" fillId="5" borderId="0" xfId="0" applyFill="1"/>
    <xf numFmtId="0" fontId="0" fillId="2" borderId="0" xfId="0" applyFill="1" applyBorder="1"/>
    <xf numFmtId="0" fontId="0" fillId="5" borderId="0" xfId="0" applyFill="1" applyBorder="1"/>
    <xf numFmtId="0" fontId="0" fillId="0" borderId="4" xfId="0" applyFill="1" applyBorder="1"/>
    <xf numFmtId="0" fontId="0" fillId="0" borderId="26" xfId="0" applyBorder="1"/>
    <xf numFmtId="0" fontId="1" fillId="0" borderId="9" xfId="0" applyFont="1" applyBorder="1"/>
    <xf numFmtId="0" fontId="1" fillId="0" borderId="10" xfId="0" applyFont="1" applyBorder="1"/>
    <xf numFmtId="0" fontId="1" fillId="0" borderId="27" xfId="0" applyFont="1" applyBorder="1"/>
    <xf numFmtId="0" fontId="0" fillId="0" borderId="28" xfId="0" applyBorder="1"/>
    <xf numFmtId="0" fontId="1" fillId="0" borderId="27" xfId="0" applyFont="1" applyFill="1" applyBorder="1"/>
    <xf numFmtId="0" fontId="1" fillId="2" borderId="29" xfId="0" applyFont="1" applyFill="1" applyBorder="1"/>
    <xf numFmtId="0" fontId="1" fillId="5" borderId="28" xfId="0" applyFont="1" applyFill="1" applyBorder="1"/>
    <xf numFmtId="0" fontId="1" fillId="2" borderId="28" xfId="0" applyFont="1" applyFill="1" applyBorder="1"/>
    <xf numFmtId="0" fontId="1" fillId="6" borderId="0" xfId="0" applyFont="1" applyFill="1"/>
    <xf numFmtId="0" fontId="0" fillId="6" borderId="0" xfId="0" applyFill="1"/>
    <xf numFmtId="0" fontId="0" fillId="2" borderId="3" xfId="0" applyFill="1" applyBorder="1"/>
    <xf numFmtId="0" fontId="1" fillId="5" borderId="29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29.06.21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SIM_166_Calibr.Stds.1-4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5754022136113"/>
                  <c:y val="4.6873736416267735E-2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(Raw_data!$W$8:$W$9,Raw_data!$W$13:$W$14,Raw_data!$W$16:$W$17,Raw_data!$W$24,Raw_data!$W$38)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(Raw_data!$N$8:$N$9,Raw_data!$N$13:$N$14,Raw_data!$N$16:$N$17,Raw_data!$N$24,Raw_data!$N$38)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115407</c:v>
                </c:pt>
                <c:pt idx="3">
                  <c:v>125513</c:v>
                </c:pt>
                <c:pt idx="4">
                  <c:v>646667</c:v>
                </c:pt>
                <c:pt idx="5">
                  <c:v>704598</c:v>
                </c:pt>
                <c:pt idx="6">
                  <c:v>1493418</c:v>
                </c:pt>
                <c:pt idx="7">
                  <c:v>1377861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7-4060-B0A1-9289924F99CD}"/>
            </c:ext>
          </c:extLst>
        </c:ser>
        <c:ser>
          <c:idx val="2"/>
          <c:order val="2"/>
          <c:tx>
            <c:v>SIM_166 ALL Calibr. 29.+30.06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5999476633528"/>
                  <c:y val="-8.18120116217334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(Raw_data!$W$8:$W$17,Raw_data!$W$24,Raw_data!$W$38,Raw_data!$W$57:$W$64)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5">
                  <c:v>0.1</c:v>
                </c:pt>
                <c:pt idx="6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5">
                  <c:v>1</c:v>
                </c:pt>
                <c:pt idx="16">
                  <c:v>1</c:v>
                </c:pt>
                <c:pt idx="18">
                  <c:v>5</c:v>
                </c:pt>
                <c:pt idx="1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(Raw_data!$N$8:$N$17,Raw_data!$N$24,Raw_data!$N$38,Raw_data!$N$57:$N$64)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115407</c:v>
                </c:pt>
                <c:pt idx="6">
                  <c:v>125513</c:v>
                </c:pt>
                <c:pt idx="7">
                  <c:v>120460</c:v>
                </c:pt>
                <c:pt idx="8">
                  <c:v>646667</c:v>
                </c:pt>
                <c:pt idx="9">
                  <c:v>704598</c:v>
                </c:pt>
                <c:pt idx="10">
                  <c:v>1493418</c:v>
                </c:pt>
                <c:pt idx="11">
                  <c:v>1377861</c:v>
                </c:pt>
                <c:pt idx="12">
                  <c:v>489365</c:v>
                </c:pt>
                <c:pt idx="13">
                  <c:v>528265</c:v>
                </c:pt>
                <c:pt idx="14">
                  <c:v>508815</c:v>
                </c:pt>
                <c:pt idx="15">
                  <c:v>998863</c:v>
                </c:pt>
                <c:pt idx="16">
                  <c:v>834812</c:v>
                </c:pt>
                <c:pt idx="17">
                  <c:v>916837.5</c:v>
                </c:pt>
                <c:pt idx="18">
                  <c:v>4697540</c:v>
                </c:pt>
                <c:pt idx="19">
                  <c:v>5069402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C37-4060-B0A1-9289924F99CD}"/>
            </c:ext>
          </c:extLst>
        </c:ser>
        <c:ser>
          <c:idx val="3"/>
          <c:order val="3"/>
          <c:tx>
            <c:v>Mean SIM_166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(Raw_data!$W$13,Raw_data!$W$16,Raw_data!$W$24)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(Raw_data!$N$15,Raw_data!$N$18,Raw_data!$N$39)</c:f>
              <c:numCache>
                <c:formatCode>General</c:formatCode>
                <c:ptCount val="3"/>
                <c:pt idx="0">
                  <c:v>120460</c:v>
                </c:pt>
                <c:pt idx="1">
                  <c:v>675632.5</c:v>
                </c:pt>
                <c:pt idx="2">
                  <c:v>1435639.5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7E-4A84-99D0-F8D96FCD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(Raw_data!$W$8:$W$17,Raw_data!$W$24,Raw_data!$W$38)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(Raw_data!$O$8:$O$17,Raw_data!$O$24,Raw_data!$O$38)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17839</c:v>
                      </c:pt>
                      <c:pt idx="3">
                        <c:v>23708</c:v>
                      </c:pt>
                      <c:pt idx="5">
                        <c:v>117246</c:v>
                      </c:pt>
                      <c:pt idx="6">
                        <c:v>126832</c:v>
                      </c:pt>
                      <c:pt idx="8">
                        <c:v>642364</c:v>
                      </c:pt>
                      <c:pt idx="9">
                        <c:v>701924</c:v>
                      </c:pt>
                      <c:pt idx="10">
                        <c:v>1489336</c:v>
                      </c:pt>
                      <c:pt idx="11">
                        <c:v>1375628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C37-4060-B0A1-9289924F99CD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Calibr Gas Conc [ppm]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61614173228346"/>
                  <c:y val="-4.1666666666666669E-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Processing_final!$U$36:$U$43</c:f>
              <c:numCache>
                <c:formatCode>General</c:formatCode>
                <c:ptCount val="8"/>
                <c:pt idx="0">
                  <c:v>8.2409181266846418E-2</c:v>
                </c:pt>
                <c:pt idx="1">
                  <c:v>0.12361377190026959</c:v>
                </c:pt>
                <c:pt idx="2">
                  <c:v>0.16481836253369284</c:v>
                </c:pt>
                <c:pt idx="3">
                  <c:v>0.41204590633423199</c:v>
                </c:pt>
                <c:pt idx="4">
                  <c:v>8.2409181266846418E-2</c:v>
                </c:pt>
                <c:pt idx="5">
                  <c:v>0.12361377190026959</c:v>
                </c:pt>
                <c:pt idx="6">
                  <c:v>0.16481836253369284</c:v>
                </c:pt>
                <c:pt idx="7">
                  <c:v>0.41204590633423199</c:v>
                </c:pt>
              </c:numCache>
            </c:numRef>
          </c:xVal>
          <c:yVal>
            <c:numRef>
              <c:f>Processing_final!$N$36:$N$43</c:f>
              <c:numCache>
                <c:formatCode>General</c:formatCode>
                <c:ptCount val="8"/>
                <c:pt idx="0">
                  <c:v>2638019</c:v>
                </c:pt>
                <c:pt idx="1">
                  <c:v>4805424</c:v>
                </c:pt>
                <c:pt idx="2">
                  <c:v>4612072</c:v>
                </c:pt>
                <c:pt idx="3">
                  <c:v>16198341</c:v>
                </c:pt>
                <c:pt idx="4">
                  <c:v>2874258</c:v>
                </c:pt>
                <c:pt idx="5">
                  <c:v>5045504</c:v>
                </c:pt>
                <c:pt idx="6">
                  <c:v>5726989</c:v>
                </c:pt>
                <c:pt idx="7">
                  <c:v>15902613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D-4DB0-A656-76FD2153BEEA}"/>
            </c:ext>
          </c:extLst>
        </c:ser>
        <c:ser>
          <c:idx val="1"/>
          <c:order val="1"/>
          <c:tx>
            <c:v>SIM_166_auto_alll_drift+blk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Processing_final!$U$36:$U$43</c:f>
              <c:numCache>
                <c:formatCode>General</c:formatCode>
                <c:ptCount val="8"/>
                <c:pt idx="0">
                  <c:v>8.2409181266846418E-2</c:v>
                </c:pt>
                <c:pt idx="1">
                  <c:v>0.12361377190026959</c:v>
                </c:pt>
                <c:pt idx="2">
                  <c:v>0.16481836253369284</c:v>
                </c:pt>
                <c:pt idx="3">
                  <c:v>0.41204590633423199</c:v>
                </c:pt>
                <c:pt idx="4">
                  <c:v>8.2409181266846418E-2</c:v>
                </c:pt>
                <c:pt idx="5">
                  <c:v>0.12361377190026959</c:v>
                </c:pt>
                <c:pt idx="6">
                  <c:v>0.16481836253369284</c:v>
                </c:pt>
                <c:pt idx="7">
                  <c:v>0.41204590633423199</c:v>
                </c:pt>
              </c:numCache>
            </c:numRef>
          </c:xVal>
          <c:yVal>
            <c:numRef>
              <c:f>Processing_final!$P$36:$P$43</c:f>
              <c:numCache>
                <c:formatCode>General</c:formatCode>
                <c:ptCount val="8"/>
                <c:pt idx="0">
                  <c:v>1683451.7039580918</c:v>
                </c:pt>
                <c:pt idx="1">
                  <c:v>2959491.8782075676</c:v>
                </c:pt>
                <c:pt idx="2">
                  <c:v>2744569.0482656676</c:v>
                </c:pt>
                <c:pt idx="3">
                  <c:v>9324724.9244607743</c:v>
                </c:pt>
                <c:pt idx="4">
                  <c:v>1311989.7176002986</c:v>
                </c:pt>
                <c:pt idx="5">
                  <c:v>2244974.9849568768</c:v>
                </c:pt>
                <c:pt idx="6">
                  <c:v>2485490.4735960015</c:v>
                </c:pt>
                <c:pt idx="7">
                  <c:v>6735907.7951038955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3-441B-91BB-2511B2B9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33816"/>
        <c:axId val="499431192"/>
      </c:scatterChart>
      <c:valAx>
        <c:axId val="4994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1192"/>
        <c:crosses val="autoZero"/>
        <c:crossBetween val="midCat"/>
      </c:valAx>
      <c:valAx>
        <c:axId val="499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Blanks SIM_150_29.06.21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51228225484468E-2"/>
                  <c:y val="0.2315100322733982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(Processing_final!$A$23,Processing_final!$A$35,Processing_final!$A$42)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</c:numCache>
            </c:numRef>
          </c:xVal>
          <c:yVal>
            <c:numRef>
              <c:f>(Processing_final!$G$23,Processing_final!$G$35,Processing_final!$G$42)</c:f>
              <c:numCache>
                <c:formatCode>General</c:formatCode>
                <c:ptCount val="3"/>
                <c:pt idx="0">
                  <c:v>1209711</c:v>
                </c:pt>
                <c:pt idx="1">
                  <c:v>1177331</c:v>
                </c:pt>
                <c:pt idx="2">
                  <c:v>1561453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4-4572-8080-914BA9178A47}"/>
            </c:ext>
          </c:extLst>
        </c:ser>
        <c:ser>
          <c:idx val="1"/>
          <c:order val="1"/>
          <c:tx>
            <c:v>Blank_SIM_150_30.06.21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89028685216827"/>
                  <c:y val="-5.9028107878211701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(Processing_final!$A$51,Processing_final!$A$58,Processing_final!$A$63,Processing_final!$A$74)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</c:numRef>
          </c:xVal>
          <c:yVal>
            <c:numRef>
              <c:f>(Processing_final!$G$51,Processing_final!$G$58,Processing_final!$G$63,Processing_final!$G$74)</c:f>
              <c:numCache>
                <c:formatCode>General</c:formatCode>
                <c:ptCount val="4"/>
                <c:pt idx="0">
                  <c:v>760975</c:v>
                </c:pt>
                <c:pt idx="1">
                  <c:v>865614</c:v>
                </c:pt>
                <c:pt idx="2">
                  <c:v>978070</c:v>
                </c:pt>
                <c:pt idx="3">
                  <c:v>1536506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4-4572-8080-914BA9178A47}"/>
            </c:ext>
          </c:extLst>
        </c:ser>
        <c:ser>
          <c:idx val="3"/>
          <c:order val="3"/>
          <c:tx>
            <c:v>Blank_SIM_152_30.06.21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3694362754025"/>
                  <c:y val="0.2447598155802372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(Processing_final!$A$51,Processing_final!$A$58,Processing_final!$A$63,Processing_final!$A$74)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(Processing_final!$H$51,Processing_final!$H$58,Processing_final!$H$63,Processing_final!$H$74)</c:f>
              <c:numCache>
                <c:formatCode>General</c:formatCode>
                <c:ptCount val="4"/>
                <c:pt idx="0">
                  <c:v>491263</c:v>
                </c:pt>
                <c:pt idx="1">
                  <c:v>559399</c:v>
                </c:pt>
                <c:pt idx="2">
                  <c:v>629868</c:v>
                </c:pt>
                <c:pt idx="3">
                  <c:v>992276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766-4C5E-9F8D-590F5192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81800"/>
        <c:axId val="593684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Blank_SIM_152_29.06.21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8.7628975599286923E-2"/>
                        <c:y val="0.10042718267254716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/>
                        </a:solidFill>
                        <a:prstDash val="sysDash"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(Processing_final!$A$23,Processing_final!$A$35,Processing_final!$A$42)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27</c:v>
                      </c:pt>
                      <c:pt idx="2">
                        <c:v>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(Processing_final!$H$23,Processing_final!$H$35,Processing_final!$H$42)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774627</c:v>
                      </c:pt>
                      <c:pt idx="1">
                        <c:v>757337</c:v>
                      </c:pt>
                      <c:pt idx="2">
                        <c:v>1003673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766-4C5E-9F8D-590F5192B0DE}"/>
                  </c:ext>
                </c:extLst>
              </c15:ser>
            </c15:filteredScatterSeries>
          </c:ext>
        </c:extLst>
      </c:scatterChart>
      <c:valAx>
        <c:axId val="5903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84816"/>
        <c:crosses val="autoZero"/>
        <c:crossBetween val="midCat"/>
      </c:valAx>
      <c:valAx>
        <c:axId val="593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 - aqueous</a:t>
            </a:r>
            <a:r>
              <a:rPr lang="en-US" baseline="0"/>
              <a:t> phase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Blk_Corrected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109364700479125"/>
                  <c:y val="-7.252293945942467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(Processing_final!$AJ$8:$AJ$27,Processing_final!$AJ$30:$AJ$35)</c:f>
              <c:numCache>
                <c:formatCode>General</c:formatCode>
                <c:ptCount val="26"/>
                <c:pt idx="0">
                  <c:v>3.5866422719656806E-3</c:v>
                </c:pt>
                <c:pt idx="1">
                  <c:v>3.5866422719656806E-3</c:v>
                </c:pt>
                <c:pt idx="2">
                  <c:v>3.5866422719656806E-3</c:v>
                </c:pt>
                <c:pt idx="3">
                  <c:v>3.5866422719656806E-3</c:v>
                </c:pt>
                <c:pt idx="4">
                  <c:v>2.0421763583150659E-2</c:v>
                </c:pt>
                <c:pt idx="5">
                  <c:v>3.6632935775373972E-2</c:v>
                </c:pt>
                <c:pt idx="6">
                  <c:v>2.0909954872909843E-2</c:v>
                </c:pt>
                <c:pt idx="7">
                  <c:v>2.4105632812865294E-2</c:v>
                </c:pt>
                <c:pt idx="8">
                  <c:v>7.1521547390332244E-2</c:v>
                </c:pt>
                <c:pt idx="9">
                  <c:v>6.6692173539635136E-2</c:v>
                </c:pt>
                <c:pt idx="10">
                  <c:v>6.0298324931221919E-2</c:v>
                </c:pt>
                <c:pt idx="11">
                  <c:v>7.3017567988408111E-2</c:v>
                </c:pt>
                <c:pt idx="12">
                  <c:v>8.6201800785447411E-2</c:v>
                </c:pt>
                <c:pt idx="13">
                  <c:v>9.9082879446937111E-2</c:v>
                </c:pt>
                <c:pt idx="14">
                  <c:v>0.1023962908715399</c:v>
                </c:pt>
                <c:pt idx="15">
                  <c:v>0.1015974672607242</c:v>
                </c:pt>
                <c:pt idx="16">
                  <c:v>0.19117347424272044</c:v>
                </c:pt>
                <c:pt idx="17">
                  <c:v>0.1723552915337784</c:v>
                </c:pt>
                <c:pt idx="18">
                  <c:v>0.2154771936435049</c:v>
                </c:pt>
                <c:pt idx="19">
                  <c:v>0.22158092700391907</c:v>
                </c:pt>
                <c:pt idx="20">
                  <c:v>0.21516332315773562</c:v>
                </c:pt>
                <c:pt idx="21">
                  <c:v>0.240259731268887</c:v>
                </c:pt>
                <c:pt idx="22">
                  <c:v>0.41003174385145419</c:v>
                </c:pt>
                <c:pt idx="23">
                  <c:v>0.38178959991975764</c:v>
                </c:pt>
                <c:pt idx="24">
                  <c:v>0.48305952926274043</c:v>
                </c:pt>
                <c:pt idx="25">
                  <c:v>0.47509718555176811</c:v>
                </c:pt>
              </c:numCache>
            </c:numRef>
          </c:xVal>
          <c:yVal>
            <c:numRef>
              <c:f>(Processing_final!$AK$8:$AK$27,Processing_final!$AK$30:$AK$35)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0.12797958530935549</c:v>
                </c:pt>
                <c:pt idx="5">
                  <c:v>7.0808453190841322E-2</c:v>
                </c:pt>
                <c:pt idx="6">
                  <c:v>0.12625790544592658</c:v>
                </c:pt>
                <c:pt idx="7">
                  <c:v>0.11498786750252243</c:v>
                </c:pt>
                <c:pt idx="8">
                  <c:v>0.34776852736566566</c:v>
                </c:pt>
                <c:pt idx="9">
                  <c:v>0.36480003916469217</c:v>
                </c:pt>
                <c:pt idx="10">
                  <c:v>0.38734890603273547</c:v>
                </c:pt>
                <c:pt idx="11">
                  <c:v>0.34249258616595135</c:v>
                </c:pt>
                <c:pt idx="12">
                  <c:v>0.69599641018415725</c:v>
                </c:pt>
                <c:pt idx="13">
                  <c:v>0.65056935276641714</c:v>
                </c:pt>
                <c:pt idx="14">
                  <c:v>0.63888411001698575</c:v>
                </c:pt>
                <c:pt idx="15">
                  <c:v>0.64170128138817384</c:v>
                </c:pt>
                <c:pt idx="16">
                  <c:v>1.3257980469340154</c:v>
                </c:pt>
                <c:pt idx="17">
                  <c:v>1.3921631929657974</c:v>
                </c:pt>
                <c:pt idx="18">
                  <c:v>1.2400873323503969</c:v>
                </c:pt>
                <c:pt idx="19">
                  <c:v>1.2185616004522548</c:v>
                </c:pt>
                <c:pt idx="20">
                  <c:v>1.2411942437320813</c:v>
                </c:pt>
                <c:pt idx="21">
                  <c:v>1.1526879934245886</c:v>
                </c:pt>
                <c:pt idx="22">
                  <c:v>2.5539615073756581</c:v>
                </c:pt>
                <c:pt idx="23">
                  <c:v>2.6535616672458788</c:v>
                </c:pt>
                <c:pt idx="24">
                  <c:v>2.2964180602661406</c:v>
                </c:pt>
                <c:pt idx="25">
                  <c:v>2.3244984605527645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2A6-86C4-C665DB71B9EB}"/>
            </c:ext>
          </c:extLst>
        </c:ser>
        <c:ser>
          <c:idx val="1"/>
          <c:order val="1"/>
          <c:tx>
            <c:v>Blk-Corr &amp; 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993865505938404"/>
                  <c:y val="-3.2701008169007725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(Processing_final!$AV$8:$AV$27,Processing_final!$AV$30:$AV$35)</c:f>
              <c:numCache>
                <c:formatCode>General</c:formatCode>
                <c:ptCount val="26"/>
                <c:pt idx="0">
                  <c:v>6.8428323192895558E-4</c:v>
                </c:pt>
                <c:pt idx="1">
                  <c:v>6.8428323192895558E-4</c:v>
                </c:pt>
                <c:pt idx="2">
                  <c:v>6.8428323192895558E-4</c:v>
                </c:pt>
                <c:pt idx="3">
                  <c:v>6.8428323192895558E-4</c:v>
                </c:pt>
                <c:pt idx="4">
                  <c:v>1.7964839913820242E-2</c:v>
                </c:pt>
                <c:pt idx="5">
                  <c:v>3.4139211213567618E-2</c:v>
                </c:pt>
                <c:pt idx="6">
                  <c:v>1.7984280217135211E-2</c:v>
                </c:pt>
                <c:pt idx="7">
                  <c:v>2.0901831636997856E-2</c:v>
                </c:pt>
                <c:pt idx="8">
                  <c:v>6.6738484745883023E-2</c:v>
                </c:pt>
                <c:pt idx="9">
                  <c:v>6.1244218299307637E-2</c:v>
                </c:pt>
                <c:pt idx="10">
                  <c:v>5.4409055005021356E-2</c:v>
                </c:pt>
                <c:pt idx="11">
                  <c:v>6.5624056592946498E-2</c:v>
                </c:pt>
                <c:pt idx="12">
                  <c:v>7.6987563220724822E-2</c:v>
                </c:pt>
                <c:pt idx="13">
                  <c:v>8.7793383196885358E-2</c:v>
                </c:pt>
                <c:pt idx="14">
                  <c:v>8.7590420807430583E-2</c:v>
                </c:pt>
                <c:pt idx="15">
                  <c:v>8.5871683502880852E-2</c:v>
                </c:pt>
                <c:pt idx="16">
                  <c:v>0.16182832227248822</c:v>
                </c:pt>
                <c:pt idx="17">
                  <c:v>0.14399319511274056</c:v>
                </c:pt>
                <c:pt idx="18">
                  <c:v>0.17856142602483727</c:v>
                </c:pt>
                <c:pt idx="19">
                  <c:v>0.18162532599275114</c:v>
                </c:pt>
                <c:pt idx="20">
                  <c:v>0.15496163605297619</c:v>
                </c:pt>
                <c:pt idx="21">
                  <c:v>0.16892181391455643</c:v>
                </c:pt>
                <c:pt idx="22">
                  <c:v>0.28772791619455412</c:v>
                </c:pt>
                <c:pt idx="23">
                  <c:v>0.25932053305947245</c:v>
                </c:pt>
                <c:pt idx="24">
                  <c:v>0.32187935496461234</c:v>
                </c:pt>
                <c:pt idx="25">
                  <c:v>0.30770334440578229</c:v>
                </c:pt>
              </c:numCache>
            </c:numRef>
          </c:xVal>
          <c:yVal>
            <c:numRef>
              <c:f>(Processing_final!$AW$8:$AW$27,Processing_final!$AW$30:$AW$35)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0.13664429542647932</c:v>
                </c:pt>
                <c:pt idx="5">
                  <c:v>7.9602947179290034E-2</c:v>
                </c:pt>
                <c:pt idx="6">
                  <c:v>0.13657573627874681</c:v>
                </c:pt>
                <c:pt idx="7">
                  <c:v>0.12628655325671084</c:v>
                </c:pt>
                <c:pt idx="8">
                  <c:v>0.36463671574430212</c:v>
                </c:pt>
                <c:pt idx="9">
                  <c:v>0.38401307108658667</c:v>
                </c:pt>
                <c:pt idx="10">
                  <c:v>0.40811830043802849</c:v>
                </c:pt>
                <c:pt idx="11">
                  <c:v>0.36856691390718943</c:v>
                </c:pt>
                <c:pt idx="12">
                  <c:v>0.72849180206191666</c:v>
                </c:pt>
                <c:pt idx="13">
                  <c:v>0.69038345590528816</c:v>
                </c:pt>
                <c:pt idx="14">
                  <c:v>0.69109923323742795</c:v>
                </c:pt>
                <c:pt idx="15">
                  <c:v>0.69716061833347731</c:v>
                </c:pt>
                <c:pt idx="16">
                  <c:v>1.4292881302194691</c:v>
                </c:pt>
                <c:pt idx="17">
                  <c:v>1.4921863832951829</c:v>
                </c:pt>
                <c:pt idx="18">
                  <c:v>1.3702763281094854</c:v>
                </c:pt>
                <c:pt idx="19">
                  <c:v>1.3594710249650563</c:v>
                </c:pt>
                <c:pt idx="20">
                  <c:v>1.4535045298984772</c:v>
                </c:pt>
                <c:pt idx="21">
                  <c:v>1.4042718671731238</c:v>
                </c:pt>
                <c:pt idx="22">
                  <c:v>2.9852843140587479</c:v>
                </c:pt>
                <c:pt idx="23">
                  <c:v>3.0854672147829847</c:v>
                </c:pt>
                <c:pt idx="24">
                  <c:v>2.8648441389246533</c:v>
                </c:pt>
                <c:pt idx="25">
                  <c:v>2.9148379680544871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2A6-86C4-C665DB71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68208"/>
        <c:axId val="583068536"/>
      </c:scatterChart>
      <c:valAx>
        <c:axId val="5830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</a:t>
                </a:r>
                <a:r>
                  <a:rPr lang="en-US" baseline="0"/>
                  <a:t> aqueous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8536"/>
        <c:crosses val="autoZero"/>
        <c:crossBetween val="midCat"/>
      </c:valAx>
      <c:valAx>
        <c:axId val="5830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solid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 29.06.21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0769730220753"/>
                  <c:y val="-3.8242084539594878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'1st_Processing'!$J$7:$J$10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'1st_Processing'!$I$7:$I$10</c:f>
              <c:numCache>
                <c:formatCode>General</c:formatCode>
                <c:ptCount val="4"/>
                <c:pt idx="0">
                  <c:v>0</c:v>
                </c:pt>
                <c:pt idx="1">
                  <c:v>120460</c:v>
                </c:pt>
                <c:pt idx="2">
                  <c:v>675632.5</c:v>
                </c:pt>
                <c:pt idx="3">
                  <c:v>1435639.5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C-4288-9E3D-04AC6943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Calibration Standards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 30.06.21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94872998598753"/>
                  <c:y val="-3.446393762183235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'1st_Processing'!$J$12:$J$15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'1st_Processing'!$I$12:$I$15</c:f>
              <c:numCache>
                <c:formatCode>General</c:formatCode>
                <c:ptCount val="4"/>
                <c:pt idx="0">
                  <c:v>0</c:v>
                </c:pt>
                <c:pt idx="1">
                  <c:v>508815</c:v>
                </c:pt>
                <c:pt idx="2">
                  <c:v>916837.5</c:v>
                </c:pt>
                <c:pt idx="3">
                  <c:v>4883471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E-4178-B270-8AB29203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Reference Standards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 Standards 30.06.21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63282299491338"/>
                  <c:y val="-2.4908419879471599E-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'1st_Processing'!$J$19:$J$22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</c:numCache>
            </c:numRef>
          </c:xVal>
          <c:yVal>
            <c:numRef>
              <c:f>'1st_Processing'!$I$19:$I$22</c:f>
              <c:numCache>
                <c:formatCode>General</c:formatCode>
                <c:ptCount val="4"/>
                <c:pt idx="0">
                  <c:v>2759505</c:v>
                </c:pt>
                <c:pt idx="1">
                  <c:v>4934038</c:v>
                </c:pt>
                <c:pt idx="2">
                  <c:v>5187368.5</c:v>
                </c:pt>
                <c:pt idx="3">
                  <c:v>16095923.5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0-4CC9-8CD8-0B0CA79D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 Phase Calibration Std. 29.06.21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Phase Calibration 29.06.21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0769730220753"/>
                  <c:y val="-3.8242084539594878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'1st_Processing'!$N$6:$N$10</c:f>
              <c:numCache>
                <c:formatCode>General</c:formatCode>
                <c:ptCount val="5"/>
                <c:pt idx="0">
                  <c:v>0</c:v>
                </c:pt>
                <c:pt idx="1">
                  <c:v>8.2409181266846383E-3</c:v>
                </c:pt>
                <c:pt idx="2">
                  <c:v>1.6481836253369277E-2</c:v>
                </c:pt>
                <c:pt idx="3">
                  <c:v>8.2409181266846418E-2</c:v>
                </c:pt>
                <c:pt idx="4">
                  <c:v>0.16481836253369284</c:v>
                </c:pt>
              </c:numCache>
            </c:numRef>
          </c:xVal>
          <c:yVal>
            <c:numRef>
              <c:f>'1st_Processing'!$I$6:$I$10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120460</c:v>
                </c:pt>
                <c:pt idx="3">
                  <c:v>675632.5</c:v>
                </c:pt>
                <c:pt idx="4">
                  <c:v>1435639.5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3-4A11-B2BB-268CFB7C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 Phase Calibration Std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Phase Calibration 30.06.21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0769730220753"/>
                  <c:y val="-3.8242084539594878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'1st_Processing'!$N$12:$N$15</c:f>
              <c:numCache>
                <c:formatCode>General</c:formatCode>
                <c:ptCount val="4"/>
                <c:pt idx="0">
                  <c:v>0</c:v>
                </c:pt>
                <c:pt idx="1">
                  <c:v>8.2409181266846418E-2</c:v>
                </c:pt>
                <c:pt idx="2">
                  <c:v>0.16481836253369284</c:v>
                </c:pt>
                <c:pt idx="3">
                  <c:v>0.82409181266846399</c:v>
                </c:pt>
              </c:numCache>
            </c:numRef>
          </c:xVal>
          <c:yVal>
            <c:numRef>
              <c:f>'1st_Processing'!$I$12:$I$15</c:f>
              <c:numCache>
                <c:formatCode>General</c:formatCode>
                <c:ptCount val="4"/>
                <c:pt idx="0">
                  <c:v>0</c:v>
                </c:pt>
                <c:pt idx="1">
                  <c:v>508815</c:v>
                </c:pt>
                <c:pt idx="2">
                  <c:v>916837.5</c:v>
                </c:pt>
                <c:pt idx="3">
                  <c:v>4883471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D-4F19-B6E3-569E01C0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 Phase Reference</a:t>
            </a:r>
            <a:r>
              <a:rPr lang="en-US" baseline="0"/>
              <a:t> Std</a:t>
            </a:r>
            <a:r>
              <a:rPr lang="en-US"/>
              <a:t>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Phase Reference Std 30.06.21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0769730220753"/>
                  <c:y val="-3.8242084539594878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'1st_Processing'!$N$19:$N$22</c:f>
              <c:numCache>
                <c:formatCode>General</c:formatCode>
                <c:ptCount val="4"/>
                <c:pt idx="0">
                  <c:v>8.2409181266846418E-2</c:v>
                </c:pt>
                <c:pt idx="1">
                  <c:v>0.12361377190026959</c:v>
                </c:pt>
                <c:pt idx="2">
                  <c:v>0.16481836253369284</c:v>
                </c:pt>
                <c:pt idx="3">
                  <c:v>0.41204590633423199</c:v>
                </c:pt>
              </c:numCache>
            </c:numRef>
          </c:xVal>
          <c:yVal>
            <c:numRef>
              <c:f>'1st_Processing'!$I$19:$I$22</c:f>
              <c:numCache>
                <c:formatCode>General</c:formatCode>
                <c:ptCount val="4"/>
                <c:pt idx="0">
                  <c:v>2759505</c:v>
                </c:pt>
                <c:pt idx="1">
                  <c:v>4934038</c:v>
                </c:pt>
                <c:pt idx="2">
                  <c:v>5187368.5</c:v>
                </c:pt>
                <c:pt idx="3">
                  <c:v>16095923.5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F-4D8E-9298-49868DAF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896"/>
        <c:axId val="645247288"/>
      </c:scatterChart>
      <c:valAx>
        <c:axId val="645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7288"/>
        <c:crosses val="autoZero"/>
        <c:crossBetween val="midCat"/>
      </c:valAx>
      <c:valAx>
        <c:axId val="645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Init. PCE-conc. w/ Calc. PCE Conc.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8653640517159"/>
                  <c:y val="-9.1618434835712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('1st_Processing'!$J$27:$J$45,'1st_Processing'!$J$47:$J$53)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1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xVal>
          <c:yVal>
            <c:numRef>
              <c:f>('1st_Processing'!$K$27:$K$45,'1st_Processing'!$K$47:$K$53)</c:f>
              <c:numCache>
                <c:formatCode>General</c:formatCode>
                <c:ptCount val="26"/>
                <c:pt idx="0">
                  <c:v>3.7147187787088767E-2</c:v>
                </c:pt>
                <c:pt idx="1">
                  <c:v>3.7147187787088767E-2</c:v>
                </c:pt>
                <c:pt idx="2">
                  <c:v>3.7147187787088767E-2</c:v>
                </c:pt>
                <c:pt idx="3">
                  <c:v>3.7147187787088767E-2</c:v>
                </c:pt>
                <c:pt idx="4">
                  <c:v>9.6097438442444505E-2</c:v>
                </c:pt>
                <c:pt idx="5">
                  <c:v>0.11411586427185841</c:v>
                </c:pt>
                <c:pt idx="6">
                  <c:v>9.6692827564612727E-2</c:v>
                </c:pt>
                <c:pt idx="7">
                  <c:v>0.10790027093885034</c:v>
                </c:pt>
                <c:pt idx="8">
                  <c:v>0.27481105196702449</c:v>
                </c:pt>
                <c:pt idx="9">
                  <c:v>0.25841598653511555</c:v>
                </c:pt>
                <c:pt idx="10">
                  <c:v>0.23550326029465785</c:v>
                </c:pt>
                <c:pt idx="11">
                  <c:v>0.27904403316101589</c:v>
                </c:pt>
                <c:pt idx="12">
                  <c:v>0.32654599376898574</c:v>
                </c:pt>
                <c:pt idx="13">
                  <c:v>0.37243670358871506</c:v>
                </c:pt>
                <c:pt idx="14">
                  <c:v>0.38246076903538895</c:v>
                </c:pt>
                <c:pt idx="15">
                  <c:v>0.38155322109662632</c:v>
                </c:pt>
                <c:pt idx="16">
                  <c:v>0.69650801191897971</c:v>
                </c:pt>
                <c:pt idx="17">
                  <c:v>0.62883413330073679</c:v>
                </c:pt>
                <c:pt idx="18">
                  <c:v>0.78295447592138312</c:v>
                </c:pt>
                <c:pt idx="19">
                  <c:v>0.78222942805502804</c:v>
                </c:pt>
                <c:pt idx="21">
                  <c:v>0.87454425436195327</c:v>
                </c:pt>
                <c:pt idx="23">
                  <c:v>1.4894165615826185</c:v>
                </c:pt>
                <c:pt idx="24">
                  <c:v>1.3883866133878398</c:v>
                </c:pt>
                <c:pt idx="25">
                  <c:v>1.7553372296365635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E-414F-B239-72CFB61F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90288"/>
        <c:axId val="646191272"/>
      </c:scatterChart>
      <c:valAx>
        <c:axId val="646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191272"/>
        <c:crosses val="autoZero"/>
        <c:crossBetween val="midCat"/>
      </c:valAx>
      <c:valAx>
        <c:axId val="6461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1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PCE_Conc_vs_init_Conc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98842790686782"/>
                  <c:y val="6.9866195100805814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(Raw_data!$Z$23,Raw_data!$Z$30,Raw_data!$Z$35,Raw_data!$Z$43,Raw_data!$Z$48)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(Raw_data!$X$23,Raw_data!$X$30,Raw_data!$X$35,Raw_data!$X$43,Raw_data!$X$48)</c:f>
              <c:numCache>
                <c:formatCode>General</c:formatCode>
                <c:ptCount val="5"/>
                <c:pt idx="0">
                  <c:v>0</c:v>
                </c:pt>
                <c:pt idx="1">
                  <c:v>8.1249723138626134E-2</c:v>
                </c:pt>
                <c:pt idx="2">
                  <c:v>0.24459148847192236</c:v>
                </c:pt>
                <c:pt idx="3">
                  <c:v>0.35174249765359383</c:v>
                </c:pt>
                <c:pt idx="4">
                  <c:v>0.72522521195239786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6-4A7F-960F-54FCA3F5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33632"/>
        <c:axId val="421038224"/>
      </c:scatterChart>
      <c:valAx>
        <c:axId val="4210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8224"/>
        <c:crosses val="autoZero"/>
        <c:crossBetween val="midCat"/>
      </c:valAx>
      <c:valAx>
        <c:axId val="4210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 Conc vs Solid Conc</a:t>
            </a:r>
          </a:p>
          <a:p>
            <a:pPr>
              <a:defRPr/>
            </a:pPr>
            <a:r>
              <a:rPr lang="en-US"/>
              <a:t>w/o Blk-corr. &amp; w/o Int-Std-corr.!!!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Aq Conc vs Solid Conc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24351462154673"/>
                  <c:y val="1.092538358213971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('1st_Processing'!$U$31:$U$45,'1st_Processing'!$U$47:$U$53)</c:f>
              <c:numCache>
                <c:formatCode>General</c:formatCode>
                <c:ptCount val="22"/>
                <c:pt idx="0">
                  <c:v>2.3256827611447119E-2</c:v>
                </c:pt>
                <c:pt idx="1">
                  <c:v>2.830358243388081E-2</c:v>
                </c:pt>
                <c:pt idx="2">
                  <c:v>2.3423589289297019E-2</c:v>
                </c:pt>
                <c:pt idx="3">
                  <c:v>2.6562665889637641E-2</c:v>
                </c:pt>
                <c:pt idx="4">
                  <c:v>7.3312465069931068E-2</c:v>
                </c:pt>
                <c:pt idx="5">
                  <c:v>6.8720394912640662E-2</c:v>
                </c:pt>
                <c:pt idx="6">
                  <c:v>6.2302802568898481E-2</c:v>
                </c:pt>
                <c:pt idx="7">
                  <c:v>7.4498074648497808E-2</c:v>
                </c:pt>
                <c:pt idx="8">
                  <c:v>8.7802830071803561E-2</c:v>
                </c:pt>
                <c:pt idx="9">
                  <c:v>0.10065629259290534</c:v>
                </c:pt>
                <c:pt idx="10">
                  <c:v>0.10346391858156465</c:v>
                </c:pt>
                <c:pt idx="11">
                  <c:v>0.10320972479239006</c:v>
                </c:pt>
                <c:pt idx="12">
                  <c:v>0.1914249564935164</c:v>
                </c:pt>
                <c:pt idx="13">
                  <c:v>0.17247027773840121</c:v>
                </c:pt>
                <c:pt idx="14">
                  <c:v>0.21563762152967514</c:v>
                </c:pt>
                <c:pt idx="15">
                  <c:v>0.21535287727989369</c:v>
                </c:pt>
                <c:pt idx="17">
                  <c:v>0.240767752695948</c:v>
                </c:pt>
                <c:pt idx="19">
                  <c:v>0.41004612010400965</c:v>
                </c:pt>
                <c:pt idx="20">
                  <c:v>0.38223191463582362</c:v>
                </c:pt>
                <c:pt idx="21">
                  <c:v>0.48325581912543275</c:v>
                </c:pt>
              </c:numCache>
            </c:numRef>
          </c:xVal>
          <c:yVal>
            <c:numRef>
              <c:f>('1st_Processing'!$V$31:$V$45,'1st_Processing'!$V$47:$V$53)</c:f>
              <c:numCache>
                <c:formatCode>General</c:formatCode>
                <c:ptCount val="22"/>
                <c:pt idx="0">
                  <c:v>0.11798130645547115</c:v>
                </c:pt>
                <c:pt idx="1">
                  <c:v>0.10018316802958264</c:v>
                </c:pt>
                <c:pt idx="2">
                  <c:v>0.11739319636672414</c:v>
                </c:pt>
                <c:pt idx="3">
                  <c:v>0.10632277154363201</c:v>
                </c:pt>
                <c:pt idx="4">
                  <c:v>0.34145258734234984</c:v>
                </c:pt>
                <c:pt idx="5">
                  <c:v>0.35764721204603889</c:v>
                </c:pt>
                <c:pt idx="6">
                  <c:v>0.38027981476077993</c:v>
                </c:pt>
                <c:pt idx="7">
                  <c:v>0.33727135719726936</c:v>
                </c:pt>
                <c:pt idx="8">
                  <c:v>0.69035014008286333</c:v>
                </c:pt>
                <c:pt idx="9">
                  <c:v>0.64502047512952987</c:v>
                </c:pt>
                <c:pt idx="10">
                  <c:v>0.63511896064102069</c:v>
                </c:pt>
                <c:pt idx="11">
                  <c:v>0.63601541319437627</c:v>
                </c:pt>
                <c:pt idx="12">
                  <c:v>1.3249111570277683</c:v>
                </c:pt>
                <c:pt idx="13">
                  <c:v>1.3917576768551581</c:v>
                </c:pt>
                <c:pt idx="14">
                  <c:v>1.2395215593287439</c:v>
                </c:pt>
                <c:pt idx="15">
                  <c:v>1.2405257526672153</c:v>
                </c:pt>
                <c:pt idx="17">
                  <c:v>1.1508963796053562</c:v>
                </c:pt>
                <c:pt idx="19">
                  <c:v>2.5539108073630699</c:v>
                </c:pt>
                <c:pt idx="20">
                  <c:v>2.6520017780058951</c:v>
                </c:pt>
                <c:pt idx="21">
                  <c:v>2.2957258146012101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D-4656-88F3-0F1C1F83DAC9}"/>
            </c:ext>
          </c:extLst>
        </c:ser>
        <c:ser>
          <c:idx val="1"/>
          <c:order val="1"/>
          <c:tx>
            <c:v>Means of Aq. - Solid Conc.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034949578671081E-2"/>
                  <c:y val="0.2626268900959954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('1st_Processing'!$X$31,'1st_Processing'!$X$35,'1st_Processing'!$X$39,'1st_Processing'!$X$43,'1st_Processing'!$X$51)</c:f>
              <c:numCache>
                <c:formatCode>General</c:formatCode>
                <c:ptCount val="5"/>
                <c:pt idx="0">
                  <c:v>2.4994666444874983E-2</c:v>
                </c:pt>
                <c:pt idx="1">
                  <c:v>6.811188751715673E-2</c:v>
                </c:pt>
                <c:pt idx="2">
                  <c:v>9.7307680415424522E-2</c:v>
                </c:pt>
                <c:pt idx="3">
                  <c:v>0.20713069714748689</c:v>
                </c:pt>
                <c:pt idx="4">
                  <c:v>0.42517795128842201</c:v>
                </c:pt>
              </c:numCache>
            </c:numRef>
          </c:xVal>
          <c:yVal>
            <c:numRef>
              <c:f>('1st_Processing'!$Y$31,'1st_Processing'!$Y$35,'1st_Processing'!$Y$39,'1st_Processing'!$Y$43,'1st_Processing'!$Y$51)</c:f>
              <c:numCache>
                <c:formatCode>General</c:formatCode>
                <c:ptCount val="5"/>
                <c:pt idx="0">
                  <c:v>0.11185255695059265</c:v>
                </c:pt>
                <c:pt idx="1">
                  <c:v>0.35979320471638959</c:v>
                </c:pt>
                <c:pt idx="2">
                  <c:v>0.65682985861780463</c:v>
                </c:pt>
                <c:pt idx="3">
                  <c:v>1.2695225050968486</c:v>
                </c:pt>
                <c:pt idx="4">
                  <c:v>2.5005461333233918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DD-4656-88F3-0F1C1F83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4824"/>
        <c:axId val="612245152"/>
      </c:scatterChart>
      <c:valAx>
        <c:axId val="6122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5152"/>
        <c:crosses val="autoZero"/>
        <c:crossBetween val="midCat"/>
      </c:valAx>
      <c:valAx>
        <c:axId val="6122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Sorbed Conc.</a:t>
            </a:r>
            <a:r>
              <a:rPr lang="en-US" sz="1100" baseline="0"/>
              <a:t> [ppm] vs. Init. Aq. Conc. [ppm]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Sorbed vs Init. Conc.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76006089393846"/>
                  <c:y val="-0.11105361430170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('1st_Processing'!$J$31:$J$45,'1st_Processing'!$J$47:$J$53)</c:f>
              <c:numCache>
                <c:formatCode>General</c:formatCode>
                <c:ptCount val="2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xVal>
          <c:yVal>
            <c:numRef>
              <c:f>('1st_Processing'!$V$31:$V$45,'1st_Processing'!$V$47:$V$53)</c:f>
              <c:numCache>
                <c:formatCode>General</c:formatCode>
                <c:ptCount val="22"/>
                <c:pt idx="0">
                  <c:v>0.11798130645547115</c:v>
                </c:pt>
                <c:pt idx="1">
                  <c:v>0.10018316802958264</c:v>
                </c:pt>
                <c:pt idx="2">
                  <c:v>0.11739319636672414</c:v>
                </c:pt>
                <c:pt idx="3">
                  <c:v>0.10632277154363201</c:v>
                </c:pt>
                <c:pt idx="4">
                  <c:v>0.34145258734234984</c:v>
                </c:pt>
                <c:pt idx="5">
                  <c:v>0.35764721204603889</c:v>
                </c:pt>
                <c:pt idx="6">
                  <c:v>0.38027981476077993</c:v>
                </c:pt>
                <c:pt idx="7">
                  <c:v>0.33727135719726936</c:v>
                </c:pt>
                <c:pt idx="8">
                  <c:v>0.69035014008286333</c:v>
                </c:pt>
                <c:pt idx="9">
                  <c:v>0.64502047512952987</c:v>
                </c:pt>
                <c:pt idx="10">
                  <c:v>0.63511896064102069</c:v>
                </c:pt>
                <c:pt idx="11">
                  <c:v>0.63601541319437627</c:v>
                </c:pt>
                <c:pt idx="12">
                  <c:v>1.3249111570277683</c:v>
                </c:pt>
                <c:pt idx="13">
                  <c:v>1.3917576768551581</c:v>
                </c:pt>
                <c:pt idx="14">
                  <c:v>1.2395215593287439</c:v>
                </c:pt>
                <c:pt idx="15">
                  <c:v>1.2405257526672153</c:v>
                </c:pt>
                <c:pt idx="17">
                  <c:v>1.1508963796053562</c:v>
                </c:pt>
                <c:pt idx="19">
                  <c:v>2.5539108073630699</c:v>
                </c:pt>
                <c:pt idx="20">
                  <c:v>2.6520017780058951</c:v>
                </c:pt>
                <c:pt idx="21">
                  <c:v>2.2957258146012101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D-451B-855A-FB907503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4824"/>
        <c:axId val="612245152"/>
      </c:scatterChart>
      <c:valAx>
        <c:axId val="6122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5152"/>
        <c:crosses val="autoZero"/>
        <c:crossBetween val="midCat"/>
      </c:valAx>
      <c:valAx>
        <c:axId val="6122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Theoret. PCE distribution</a:t>
            </a:r>
          </a:p>
          <a:p>
            <a:pPr>
              <a:defRPr/>
            </a:pPr>
            <a:r>
              <a:rPr lang="en-US"/>
              <a:t>Sorbed vs Aqueous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Theoret. Soil 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processing'!$D$3:$D$19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'2nd processing'!$E$3:$E$19</c:f>
              <c:numCache>
                <c:formatCode>General</c:formatCode>
                <c:ptCount val="17"/>
                <c:pt idx="0">
                  <c:v>0</c:v>
                </c:pt>
                <c:pt idx="1">
                  <c:v>0.15105000000000002</c:v>
                </c:pt>
                <c:pt idx="2">
                  <c:v>0.30210000000000004</c:v>
                </c:pt>
                <c:pt idx="3">
                  <c:v>0.45314999999999994</c:v>
                </c:pt>
                <c:pt idx="4">
                  <c:v>0.60420000000000007</c:v>
                </c:pt>
                <c:pt idx="5">
                  <c:v>0.75524999999999998</c:v>
                </c:pt>
                <c:pt idx="6">
                  <c:v>0.90629999999999988</c:v>
                </c:pt>
                <c:pt idx="7">
                  <c:v>1.0573499999999998</c:v>
                </c:pt>
                <c:pt idx="8">
                  <c:v>1.2084000000000001</c:v>
                </c:pt>
                <c:pt idx="9">
                  <c:v>1.35945</c:v>
                </c:pt>
                <c:pt idx="10">
                  <c:v>1.5105</c:v>
                </c:pt>
                <c:pt idx="11">
                  <c:v>1.6615500000000001</c:v>
                </c:pt>
                <c:pt idx="12">
                  <c:v>1.8125999999999998</c:v>
                </c:pt>
                <c:pt idx="13">
                  <c:v>1.9636500000000001</c:v>
                </c:pt>
                <c:pt idx="14">
                  <c:v>2.1146999999999996</c:v>
                </c:pt>
                <c:pt idx="15">
                  <c:v>2.2657499999999997</c:v>
                </c:pt>
                <c:pt idx="16">
                  <c:v>2.4168000000000003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3-42A9-9A2B-26054474B527}"/>
            </c:ext>
          </c:extLst>
        </c:ser>
        <c:ser>
          <c:idx val="1"/>
          <c:order val="1"/>
          <c:tx>
            <c:v>Theoret. Soil 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processing'!$D$3:$D$19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'2nd processing'!$F$3:$F$19</c:f>
              <c:numCache>
                <c:formatCode>General</c:formatCode>
                <c:ptCount val="17"/>
                <c:pt idx="0">
                  <c:v>0</c:v>
                </c:pt>
                <c:pt idx="1">
                  <c:v>0.50508999999999993</c:v>
                </c:pt>
                <c:pt idx="2">
                  <c:v>1.0101799999999999</c:v>
                </c:pt>
                <c:pt idx="3">
                  <c:v>1.5152699999999999</c:v>
                </c:pt>
                <c:pt idx="4">
                  <c:v>2.0203599999999997</c:v>
                </c:pt>
                <c:pt idx="5">
                  <c:v>2.5254499999999998</c:v>
                </c:pt>
                <c:pt idx="6">
                  <c:v>3.0305399999999998</c:v>
                </c:pt>
                <c:pt idx="7">
                  <c:v>3.5356299999999994</c:v>
                </c:pt>
                <c:pt idx="8">
                  <c:v>4.0407199999999994</c:v>
                </c:pt>
                <c:pt idx="9">
                  <c:v>4.5458099999999995</c:v>
                </c:pt>
                <c:pt idx="10">
                  <c:v>5.0508999999999995</c:v>
                </c:pt>
                <c:pt idx="11">
                  <c:v>5.5559899999999995</c:v>
                </c:pt>
                <c:pt idx="12">
                  <c:v>6.0610799999999996</c:v>
                </c:pt>
                <c:pt idx="13">
                  <c:v>6.5661699999999996</c:v>
                </c:pt>
                <c:pt idx="14">
                  <c:v>7.0712599999999988</c:v>
                </c:pt>
                <c:pt idx="15">
                  <c:v>7.5763499999999997</c:v>
                </c:pt>
                <c:pt idx="16">
                  <c:v>8.0814399999999988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3-42A9-9A2B-26054474B527}"/>
            </c:ext>
          </c:extLst>
        </c:ser>
        <c:ser>
          <c:idx val="2"/>
          <c:order val="2"/>
          <c:tx>
            <c:v>Theoret. Soil 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processing'!$D$3:$D$19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'2nd processing'!$G$3:$G$19</c:f>
              <c:numCache>
                <c:formatCode>General</c:formatCode>
                <c:ptCount val="17"/>
                <c:pt idx="0">
                  <c:v>0</c:v>
                </c:pt>
                <c:pt idx="1">
                  <c:v>4.3459999999999999E-2</c:v>
                </c:pt>
                <c:pt idx="2">
                  <c:v>8.6919999999999997E-2</c:v>
                </c:pt>
                <c:pt idx="3">
                  <c:v>0.13037999999999997</c:v>
                </c:pt>
                <c:pt idx="4">
                  <c:v>0.17383999999999999</c:v>
                </c:pt>
                <c:pt idx="5">
                  <c:v>0.21729999999999997</c:v>
                </c:pt>
                <c:pt idx="6">
                  <c:v>0.26075999999999994</c:v>
                </c:pt>
                <c:pt idx="7">
                  <c:v>0.30421999999999993</c:v>
                </c:pt>
                <c:pt idx="8">
                  <c:v>0.34767999999999999</c:v>
                </c:pt>
                <c:pt idx="9">
                  <c:v>0.39113999999999993</c:v>
                </c:pt>
                <c:pt idx="10">
                  <c:v>0.43459999999999993</c:v>
                </c:pt>
                <c:pt idx="11">
                  <c:v>0.47805999999999998</c:v>
                </c:pt>
                <c:pt idx="12">
                  <c:v>0.52151999999999987</c:v>
                </c:pt>
                <c:pt idx="13">
                  <c:v>0.56497999999999993</c:v>
                </c:pt>
                <c:pt idx="14">
                  <c:v>0.60843999999999987</c:v>
                </c:pt>
                <c:pt idx="15">
                  <c:v>0.65189999999999992</c:v>
                </c:pt>
                <c:pt idx="16">
                  <c:v>0.69535999999999998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3-42A9-9A2B-26054474B527}"/>
            </c:ext>
          </c:extLst>
        </c:ser>
        <c:ser>
          <c:idx val="3"/>
          <c:order val="3"/>
          <c:tx>
            <c:v>Measured Means Soil 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611328559041016"/>
                  <c:y val="-6.54820887115138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processing'!$D$58:$D$71</c:f>
              <c:numCache>
                <c:formatCode>General</c:formatCode>
                <c:ptCount val="14"/>
                <c:pt idx="0">
                  <c:v>1.3787112414929137E-2</c:v>
                </c:pt>
                <c:pt idx="1">
                  <c:v>1.3787112414929137E-2</c:v>
                </c:pt>
                <c:pt idx="2">
                  <c:v>5.2691813065969199E-2</c:v>
                </c:pt>
                <c:pt idx="3">
                  <c:v>5.1083116124188463E-2</c:v>
                </c:pt>
                <c:pt idx="4">
                  <c:v>0.14514952268314624</c:v>
                </c:pt>
                <c:pt idx="5">
                  <c:v>0.13980273320678949</c:v>
                </c:pt>
                <c:pt idx="6">
                  <c:v>0.19259452850152839</c:v>
                </c:pt>
                <c:pt idx="7">
                  <c:v>0.21120873501102008</c:v>
                </c:pt>
                <c:pt idx="8">
                  <c:v>0.37188027870392648</c:v>
                </c:pt>
                <c:pt idx="9">
                  <c:v>0.44618690320794679</c:v>
                </c:pt>
                <c:pt idx="10">
                  <c:v>0.44015683903301672</c:v>
                </c:pt>
                <c:pt idx="11">
                  <c:v>0.49210195984516764</c:v>
                </c:pt>
                <c:pt idx="12">
                  <c:v>0.80966319050647373</c:v>
                </c:pt>
                <c:pt idx="13">
                  <c:v>0.98047951243164932</c:v>
                </c:pt>
              </c:numCache>
            </c:numRef>
          </c:xVal>
          <c:yVal>
            <c:numRef>
              <c:f>'2nd processing'!$E$58:$E$71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1.6181549674178099E-2</c:v>
                </c:pt>
                <c:pt idx="3">
                  <c:v>1.9847723142292717E-2</c:v>
                </c:pt>
                <c:pt idx="4">
                  <c:v>8.8108420547266586E-2</c:v>
                </c:pt>
                <c:pt idx="5">
                  <c:v>0.10696467621700231</c:v>
                </c:pt>
                <c:pt idx="6">
                  <c:v>0.32078648578257329</c:v>
                </c:pt>
                <c:pt idx="7">
                  <c:v>0.25514069243605864</c:v>
                </c:pt>
                <c:pt idx="8">
                  <c:v>0.6885083759550028</c:v>
                </c:pt>
                <c:pt idx="9">
                  <c:v>0.42645491082445064</c:v>
                </c:pt>
                <c:pt idx="10">
                  <c:v>0.44772083728184919</c:v>
                </c:pt>
                <c:pt idx="11">
                  <c:v>0.26452857150058229</c:v>
                </c:pt>
                <c:pt idx="12">
                  <c:v>1.1446012239541288</c:v>
                </c:pt>
                <c:pt idx="13">
                  <c:v>0.54219182425213708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33-42A9-9A2B-26054474B527}"/>
            </c:ext>
          </c:extLst>
        </c:ser>
        <c:ser>
          <c:idx val="4"/>
          <c:order val="4"/>
          <c:tx>
            <c:v>Measured Single Soil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4419693628999577E-2"/>
                  <c:y val="-7.608816021285010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processing'!$D$27:$D$52</c:f>
              <c:numCache>
                <c:formatCode>General</c:formatCode>
                <c:ptCount val="26"/>
                <c:pt idx="0">
                  <c:v>1.3787112414929137E-2</c:v>
                </c:pt>
                <c:pt idx="1">
                  <c:v>1.3787112414929137E-2</c:v>
                </c:pt>
                <c:pt idx="2">
                  <c:v>1.3787112414929137E-2</c:v>
                </c:pt>
                <c:pt idx="3">
                  <c:v>1.3787112414929137E-2</c:v>
                </c:pt>
                <c:pt idx="4">
                  <c:v>4.7534316035598885E-2</c:v>
                </c:pt>
                <c:pt idx="5">
                  <c:v>5.7849310096339514E-2</c:v>
                </c:pt>
                <c:pt idx="6">
                  <c:v>4.787515797801592E-2</c:v>
                </c:pt>
                <c:pt idx="7">
                  <c:v>5.4291074270360999E-2</c:v>
                </c:pt>
                <c:pt idx="8">
                  <c:v>0.14984235778862823</c:v>
                </c:pt>
                <c:pt idx="9">
                  <c:v>0.14045668757766422</c:v>
                </c:pt>
                <c:pt idx="10">
                  <c:v>0.12733985721061405</c:v>
                </c:pt>
                <c:pt idx="11">
                  <c:v>0.15226560920296495</c:v>
                </c:pt>
                <c:pt idx="12">
                  <c:v>0.17945901922576951</c:v>
                </c:pt>
                <c:pt idx="13">
                  <c:v>0.20573003777728727</c:v>
                </c:pt>
                <c:pt idx="14">
                  <c:v>0.21146850663831987</c:v>
                </c:pt>
                <c:pt idx="15">
                  <c:v>0.21094896338372029</c:v>
                </c:pt>
                <c:pt idx="16">
                  <c:v>0.39125088473308717</c:v>
                </c:pt>
                <c:pt idx="17">
                  <c:v>0.35250967267476574</c:v>
                </c:pt>
                <c:pt idx="18">
                  <c:v>0.44015683903301672</c:v>
                </c:pt>
                <c:pt idx="19">
                  <c:v>0.44073882397921077</c:v>
                </c:pt>
                <c:pt idx="20">
                  <c:v>0.45163498243668282</c:v>
                </c:pt>
                <c:pt idx="21">
                  <c:v>0.49210195984516764</c:v>
                </c:pt>
                <c:pt idx="22">
                  <c:v>0.83808773006621196</c:v>
                </c:pt>
                <c:pt idx="23">
                  <c:v>0.78123865094673539</c:v>
                </c:pt>
                <c:pt idx="24">
                  <c:v>0.98772004570946659</c:v>
                </c:pt>
                <c:pt idx="25">
                  <c:v>0.97323897915383206</c:v>
                </c:pt>
              </c:numCache>
            </c:numRef>
          </c:xVal>
          <c:yVal>
            <c:numRef>
              <c:f>'2nd processing'!$E$27:$E$52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3.2363099348356197E-2</c:v>
                </c:pt>
                <c:pt idx="5">
                  <c:v>0</c:v>
                </c:pt>
                <c:pt idx="6">
                  <c:v>3.1161069076245253E-2</c:v>
                </c:pt>
                <c:pt idx="7">
                  <c:v>8.5343772083401829E-3</c:v>
                </c:pt>
                <c:pt idx="8">
                  <c:v>7.1558433128428509E-2</c:v>
                </c:pt>
                <c:pt idx="9">
                  <c:v>0.10465840796610468</c:v>
                </c:pt>
                <c:pt idx="10">
                  <c:v>0.15091687916108104</c:v>
                </c:pt>
                <c:pt idx="11">
                  <c:v>6.3012473272923586E-2</c:v>
                </c:pt>
                <c:pt idx="12">
                  <c:v>0.36711083095291386</c:v>
                </c:pt>
                <c:pt idx="13">
                  <c:v>0.27446214061223273</c:v>
                </c:pt>
                <c:pt idx="14">
                  <c:v>0.25422456879929156</c:v>
                </c:pt>
                <c:pt idx="15">
                  <c:v>0.25605681607282571</c:v>
                </c:pt>
                <c:pt idx="16">
                  <c:v>0.62019502616280919</c:v>
                </c:pt>
                <c:pt idx="17">
                  <c:v>0.75682172574719642</c:v>
                </c:pt>
                <c:pt idx="18">
                  <c:v>0.44772083728184919</c:v>
                </c:pt>
                <c:pt idx="19">
                  <c:v>0.44566838001007908</c:v>
                </c:pt>
                <c:pt idx="20">
                  <c:v>0.4072414416388222</c:v>
                </c:pt>
                <c:pt idx="21">
                  <c:v>0.26452857150058229</c:v>
                </c:pt>
                <c:pt idx="22">
                  <c:v>1.0443578185230713</c:v>
                </c:pt>
                <c:pt idx="23">
                  <c:v>1.2448446293851863</c:v>
                </c:pt>
                <c:pt idx="24">
                  <c:v>0.51665699680559596</c:v>
                </c:pt>
                <c:pt idx="25">
                  <c:v>0.56772665169867831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33-42A9-9A2B-26054474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7856"/>
        <c:axId val="133696216"/>
      </c:scatterChart>
      <c:valAx>
        <c:axId val="1336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Aqueous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216"/>
        <c:crosses val="autoZero"/>
        <c:crossBetween val="midCat"/>
      </c:valAx>
      <c:valAx>
        <c:axId val="13369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Sorbed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PCE</a:t>
            </a:r>
          </a:p>
          <a:p>
            <a:pPr>
              <a:defRPr/>
            </a:pPr>
            <a:r>
              <a:rPr lang="en-US"/>
              <a:t>Calibration 29.06.21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86135957331375"/>
                  <c:y val="0.1333126683261627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(Raw_data!$W$8:$W$9,Raw_data!$W$13:$W$17,Raw_data!$W$24,Raw_data!$W$38)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(Raw_data!$N$8:$N$9,Raw_data!$N$13:$N$17,Raw_data!$N$24,Raw_data!$N$38)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115407</c:v>
                </c:pt>
                <c:pt idx="3">
                  <c:v>125513</c:v>
                </c:pt>
                <c:pt idx="4">
                  <c:v>120460</c:v>
                </c:pt>
                <c:pt idx="5">
                  <c:v>646667</c:v>
                </c:pt>
                <c:pt idx="6">
                  <c:v>704598</c:v>
                </c:pt>
                <c:pt idx="7">
                  <c:v>1493418</c:v>
                </c:pt>
                <c:pt idx="8">
                  <c:v>1377861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CE4-A60A-EF89CC5C8A96}"/>
            </c:ext>
          </c:extLst>
        </c:ser>
        <c:ser>
          <c:idx val="2"/>
          <c:order val="2"/>
          <c:tx>
            <c:v>SIM_166 ALL Calibr. 29.+30.06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5999476633528"/>
                  <c:y val="-8.18120116217334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(Raw_data!$W$8:$W$17,Raw_data!$W$24,Raw_data!$W$38,Raw_data!$W$57:$W$64)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5">
                  <c:v>0.1</c:v>
                </c:pt>
                <c:pt idx="6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5">
                  <c:v>1</c:v>
                </c:pt>
                <c:pt idx="16">
                  <c:v>1</c:v>
                </c:pt>
                <c:pt idx="18">
                  <c:v>5</c:v>
                </c:pt>
                <c:pt idx="1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(Raw_data!$N$8:$N$17,Raw_data!$N$24,Raw_data!$N$38,Raw_data!$N$57:$N$64)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115407</c:v>
                </c:pt>
                <c:pt idx="6">
                  <c:v>125513</c:v>
                </c:pt>
                <c:pt idx="7">
                  <c:v>120460</c:v>
                </c:pt>
                <c:pt idx="8">
                  <c:v>646667</c:v>
                </c:pt>
                <c:pt idx="9">
                  <c:v>704598</c:v>
                </c:pt>
                <c:pt idx="10">
                  <c:v>1493418</c:v>
                </c:pt>
                <c:pt idx="11">
                  <c:v>1377861</c:v>
                </c:pt>
                <c:pt idx="12">
                  <c:v>489365</c:v>
                </c:pt>
                <c:pt idx="13">
                  <c:v>528265</c:v>
                </c:pt>
                <c:pt idx="14">
                  <c:v>508815</c:v>
                </c:pt>
                <c:pt idx="15">
                  <c:v>998863</c:v>
                </c:pt>
                <c:pt idx="16">
                  <c:v>834812</c:v>
                </c:pt>
                <c:pt idx="17">
                  <c:v>916837.5</c:v>
                </c:pt>
                <c:pt idx="18">
                  <c:v>4697540</c:v>
                </c:pt>
                <c:pt idx="19">
                  <c:v>5069402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C26-4CE4-A60A-EF89CC5C8A96}"/>
            </c:ext>
          </c:extLst>
        </c:ser>
        <c:ser>
          <c:idx val="3"/>
          <c:order val="3"/>
          <c:tx>
            <c:v>Calibr. Std. Mean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(Printable!$O$16,Printable!$O$17,Printable!$O$18)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(Printable!$N$16,Printable!$N$17,Printable!$N$18)</c:f>
              <c:numCache>
                <c:formatCode>General</c:formatCode>
                <c:ptCount val="3"/>
                <c:pt idx="0">
                  <c:v>120460</c:v>
                </c:pt>
                <c:pt idx="1">
                  <c:v>675632.5</c:v>
                </c:pt>
                <c:pt idx="2">
                  <c:v>1435639.5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CE4-A60A-EF89CC5C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(Raw_data!$W$8:$W$17,Raw_data!$W$24,Raw_data!$W$38)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(Raw_data!$O$8:$O$17,Raw_data!$O$24,Raw_data!$O$38)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17839</c:v>
                      </c:pt>
                      <c:pt idx="3">
                        <c:v>23708</c:v>
                      </c:pt>
                      <c:pt idx="5">
                        <c:v>117246</c:v>
                      </c:pt>
                      <c:pt idx="6">
                        <c:v>126832</c:v>
                      </c:pt>
                      <c:pt idx="8">
                        <c:v>642364</c:v>
                      </c:pt>
                      <c:pt idx="9">
                        <c:v>701924</c:v>
                      </c:pt>
                      <c:pt idx="10">
                        <c:v>1489336</c:v>
                      </c:pt>
                      <c:pt idx="11">
                        <c:v>1375628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26-4CE4-A60A-EF89CC5C8A96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</a:t>
                </a:r>
                <a:r>
                  <a:rPr lang="en-US"/>
                  <a:t>PCE in aq.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Calibration 29.06.21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SIM_166 ALL Calibr. 29.+30.06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5999476633528"/>
                  <c:y val="-8.18120116217334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(Raw_data!$W$8:$W$17,Raw_data!$W$24,Raw_data!$W$38,Raw_data!$W$57:$W$64)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5">
                  <c:v>0.1</c:v>
                </c:pt>
                <c:pt idx="6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5">
                  <c:v>1</c:v>
                </c:pt>
                <c:pt idx="16">
                  <c:v>1</c:v>
                </c:pt>
                <c:pt idx="18">
                  <c:v>5</c:v>
                </c:pt>
                <c:pt idx="1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(Raw_data!$N$8:$N$17,Raw_data!$N$24,Raw_data!$N$38,Raw_data!$N$57:$N$64)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115407</c:v>
                </c:pt>
                <c:pt idx="6">
                  <c:v>125513</c:v>
                </c:pt>
                <c:pt idx="7">
                  <c:v>120460</c:v>
                </c:pt>
                <c:pt idx="8">
                  <c:v>646667</c:v>
                </c:pt>
                <c:pt idx="9">
                  <c:v>704598</c:v>
                </c:pt>
                <c:pt idx="10">
                  <c:v>1493418</c:v>
                </c:pt>
                <c:pt idx="11">
                  <c:v>1377861</c:v>
                </c:pt>
                <c:pt idx="12">
                  <c:v>489365</c:v>
                </c:pt>
                <c:pt idx="13">
                  <c:v>528265</c:v>
                </c:pt>
                <c:pt idx="14">
                  <c:v>508815</c:v>
                </c:pt>
                <c:pt idx="15">
                  <c:v>998863</c:v>
                </c:pt>
                <c:pt idx="16">
                  <c:v>834812</c:v>
                </c:pt>
                <c:pt idx="17">
                  <c:v>916837.5</c:v>
                </c:pt>
                <c:pt idx="18">
                  <c:v>4697540</c:v>
                </c:pt>
                <c:pt idx="19">
                  <c:v>5069402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BE1-416E-9301-4F43B4B48113}"/>
            </c:ext>
          </c:extLst>
        </c:ser>
        <c:ser>
          <c:idx val="3"/>
          <c:order val="3"/>
          <c:tx>
            <c:v>Calibr. Std. Mean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9103237095363"/>
                  <c:y val="-1.4393392422932146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Printable!$S$14:$S$18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8.2409181266846383E-3</c:v>
                </c:pt>
                <c:pt idx="2">
                  <c:v>1.6481836253369277E-2</c:v>
                </c:pt>
                <c:pt idx="3">
                  <c:v>8.2409181266846418E-2</c:v>
                </c:pt>
                <c:pt idx="4">
                  <c:v>0.16481836253369284</c:v>
                </c:pt>
              </c:numCache>
            </c:numRef>
          </c:xVal>
          <c:yVal>
            <c:numRef>
              <c:f>Printable!$N$14:$N$18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120460</c:v>
                </c:pt>
                <c:pt idx="3">
                  <c:v>675632.5</c:v>
                </c:pt>
                <c:pt idx="4">
                  <c:v>1435639.5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1-416E-9301-4F43B4B48113}"/>
            </c:ext>
          </c:extLst>
        </c:ser>
        <c:ser>
          <c:idx val="4"/>
          <c:order val="4"/>
          <c:tx>
            <c:v>Samples Single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Printable!$P$36:$P$55</c:f>
              <c:numCache>
                <c:formatCode>General</c:formatCode>
                <c:ptCount val="20"/>
                <c:pt idx="0">
                  <c:v>4.0383653620708867E-3</c:v>
                </c:pt>
                <c:pt idx="1">
                  <c:v>4.0383653620708867E-3</c:v>
                </c:pt>
                <c:pt idx="2">
                  <c:v>4.0383653620708867E-3</c:v>
                </c:pt>
                <c:pt idx="3">
                  <c:v>4.0383653620708867E-3</c:v>
                </c:pt>
                <c:pt idx="4" formatCode="0.0000">
                  <c:v>1.3923215363068458E-2</c:v>
                </c:pt>
                <c:pt idx="5" formatCode="0.0000">
                  <c:v>1.6944567004457536E-2</c:v>
                </c:pt>
                <c:pt idx="6" formatCode="0.0000">
                  <c:v>1.4023050937971545E-2</c:v>
                </c:pt>
                <c:pt idx="7" formatCode="0.0000">
                  <c:v>1.5902328725893013E-2</c:v>
                </c:pt>
                <c:pt idx="8" formatCode="0.0000">
                  <c:v>4.3890132266520665E-2</c:v>
                </c:pt>
                <c:pt idx="9" formatCode="0.0000">
                  <c:v>4.1140987678511411E-2</c:v>
                </c:pt>
                <c:pt idx="10" formatCode="0.0000">
                  <c:v>3.7298953768851208E-2</c:v>
                </c:pt>
                <c:pt idx="11" formatCode="0.0000">
                  <c:v>4.4599923721085878E-2</c:v>
                </c:pt>
                <c:pt idx="12" formatCode="0.0000">
                  <c:v>5.2565110469963899E-2</c:v>
                </c:pt>
                <c:pt idx="13" formatCode="0.0000">
                  <c:v>6.0260120719527917E-2</c:v>
                </c:pt>
                <c:pt idx="14" formatCode="0.0000">
                  <c:v>6.194096825179455E-2</c:v>
                </c:pt>
                <c:pt idx="15" formatCode="0.0000">
                  <c:v>6.1788789505416858E-2</c:v>
                </c:pt>
                <c:pt idx="16" formatCode="0.0000">
                  <c:v>0.11460079335211608</c:v>
                </c:pt>
                <c:pt idx="17" formatCode="0.0000">
                  <c:v>0.10325315476380968</c:v>
                </c:pt>
                <c:pt idx="18" formatCode="0.0000">
                  <c:v>0.12909624197668879</c:v>
                </c:pt>
                <c:pt idx="19" formatCode="0.0000">
                  <c:v>0.13228782173392958</c:v>
                </c:pt>
              </c:numCache>
            </c:numRef>
          </c:xVal>
          <c:yVal>
            <c:numRef>
              <c:f>Printable!$O$36:$O$55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87625</c:v>
                </c:pt>
                <c:pt idx="5">
                  <c:v>114408</c:v>
                </c:pt>
                <c:pt idx="6">
                  <c:v>88510</c:v>
                </c:pt>
                <c:pt idx="7">
                  <c:v>105169</c:v>
                </c:pt>
                <c:pt idx="8">
                  <c:v>353269</c:v>
                </c:pt>
                <c:pt idx="9">
                  <c:v>328899</c:v>
                </c:pt>
                <c:pt idx="10">
                  <c:v>294841</c:v>
                </c:pt>
                <c:pt idx="11">
                  <c:v>359561</c:v>
                </c:pt>
                <c:pt idx="12">
                  <c:v>430169</c:v>
                </c:pt>
                <c:pt idx="13">
                  <c:v>498382</c:v>
                </c:pt>
                <c:pt idx="14">
                  <c:v>513282</c:v>
                </c:pt>
                <c:pt idx="15">
                  <c:v>511933</c:v>
                </c:pt>
                <c:pt idx="16">
                  <c:v>980089</c:v>
                </c:pt>
                <c:pt idx="17">
                  <c:v>879497</c:v>
                </c:pt>
                <c:pt idx="18">
                  <c:v>1108585</c:v>
                </c:pt>
                <c:pt idx="19">
                  <c:v>1136877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1-416E-9301-4F43B4B48113}"/>
            </c:ext>
          </c:extLst>
        </c:ser>
        <c:ser>
          <c:idx val="5"/>
          <c:order val="5"/>
          <c:tx>
            <c:v>Samples Mean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Printable!$P$70:$P$79</c:f>
              <c:numCache>
                <c:formatCode>General</c:formatCode>
                <c:ptCount val="10"/>
                <c:pt idx="0">
                  <c:v>4.0383653620708867E-3</c:v>
                </c:pt>
                <c:pt idx="1">
                  <c:v>4.0383653620708867E-3</c:v>
                </c:pt>
                <c:pt idx="2">
                  <c:v>1.5433891183762996E-2</c:v>
                </c:pt>
                <c:pt idx="3">
                  <c:v>1.4962689831932278E-2</c:v>
                </c:pt>
                <c:pt idx="4">
                  <c:v>4.2515559972516034E-2</c:v>
                </c:pt>
                <c:pt idx="5">
                  <c:v>4.0949438744968543E-2</c:v>
                </c:pt>
                <c:pt idx="6">
                  <c:v>5.6412615594745905E-2</c:v>
                </c:pt>
                <c:pt idx="7">
                  <c:v>6.18648788786057E-2</c:v>
                </c:pt>
                <c:pt idx="8">
                  <c:v>0.10892697405796288</c:v>
                </c:pt>
                <c:pt idx="9">
                  <c:v>0.1306920318553092</c:v>
                </c:pt>
              </c:numCache>
            </c:numRef>
          </c:xVal>
          <c:yVal>
            <c:numRef>
              <c:f>Printable!$O$70:$O$79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101016.5</c:v>
                </c:pt>
                <c:pt idx="3">
                  <c:v>96839.5</c:v>
                </c:pt>
                <c:pt idx="4">
                  <c:v>341084</c:v>
                </c:pt>
                <c:pt idx="5">
                  <c:v>327201</c:v>
                </c:pt>
                <c:pt idx="6">
                  <c:v>464275.5</c:v>
                </c:pt>
                <c:pt idx="7">
                  <c:v>512607.5</c:v>
                </c:pt>
                <c:pt idx="8">
                  <c:v>929793</c:v>
                </c:pt>
                <c:pt idx="9">
                  <c:v>1122731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E1-416E-9301-4F43B4B4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Calibr. Std. Single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1587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2886135957331375"/>
                        <c:y val="0.13331266832616276"/>
                      </c:manualLayout>
                    </c:layout>
                    <c:numFmt formatCode="#,##0.0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(Raw_data!$W$8:$W$9,Raw_data!$W$13:$W$17,Raw_data!$W$24,Raw_data!$W$38)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(Raw_data!$N$8:$N$9,Raw_data!$N$13:$N$17,Raw_data!$N$24,Raw_data!$N$38)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115407</c:v>
                      </c:pt>
                      <c:pt idx="3">
                        <c:v>125513</c:v>
                      </c:pt>
                      <c:pt idx="4">
                        <c:v>120460</c:v>
                      </c:pt>
                      <c:pt idx="5">
                        <c:v>646667</c:v>
                      </c:pt>
                      <c:pt idx="6">
                        <c:v>704598</c:v>
                      </c:pt>
                      <c:pt idx="7">
                        <c:v>1493418</c:v>
                      </c:pt>
                      <c:pt idx="8">
                        <c:v>1377861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E1-416E-9301-4F43B4B4811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(Raw_data!$W$8:$W$17,Raw_data!$W$24,Raw_data!$W$38)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(Raw_data!$O$8:$O$17,Raw_data!$O$24,Raw_data!$O$38)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17839</c:v>
                      </c:pt>
                      <c:pt idx="3">
                        <c:v>23708</c:v>
                      </c:pt>
                      <c:pt idx="5">
                        <c:v>117246</c:v>
                      </c:pt>
                      <c:pt idx="6">
                        <c:v>126832</c:v>
                      </c:pt>
                      <c:pt idx="8">
                        <c:v>642364</c:v>
                      </c:pt>
                      <c:pt idx="9">
                        <c:v>701924</c:v>
                      </c:pt>
                      <c:pt idx="10">
                        <c:v>1489336</c:v>
                      </c:pt>
                      <c:pt idx="11">
                        <c:v>1375628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E1-416E-9301-4F43B4B48113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PCE in gas phase in eq.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Calibration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69714202391369"/>
                  <c:y val="4.3349776862700015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Printable!$S$19:$S$22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8.2409181266846418E-2</c:v>
                </c:pt>
                <c:pt idx="2">
                  <c:v>0.16481836253369284</c:v>
                </c:pt>
                <c:pt idx="3">
                  <c:v>0.82409181266846399</c:v>
                </c:pt>
              </c:numCache>
            </c:numRef>
          </c:xVal>
          <c:yVal>
            <c:numRef>
              <c:f>Printable!$N$19:$N$22</c:f>
              <c:numCache>
                <c:formatCode>General</c:formatCode>
                <c:ptCount val="4"/>
                <c:pt idx="0">
                  <c:v>0</c:v>
                </c:pt>
                <c:pt idx="1">
                  <c:v>508815</c:v>
                </c:pt>
                <c:pt idx="2">
                  <c:v>916837.5</c:v>
                </c:pt>
                <c:pt idx="3">
                  <c:v>4883471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E-4BB4-B7C3-8BC7A94BE557}"/>
            </c:ext>
          </c:extLst>
        </c:ser>
        <c:ser>
          <c:idx val="2"/>
          <c:order val="2"/>
          <c:tx>
            <c:v>SIM_166 ALL Calibr. 29.+30.06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5999476633528"/>
                  <c:y val="-8.18120116217334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(Raw_data!$W$8:$W$17,Raw_data!$W$24,Raw_data!$W$38,Raw_data!$W$57:$W$64)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5">
                  <c:v>0.1</c:v>
                </c:pt>
                <c:pt idx="6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5">
                  <c:v>1</c:v>
                </c:pt>
                <c:pt idx="16">
                  <c:v>1</c:v>
                </c:pt>
                <c:pt idx="18">
                  <c:v>5</c:v>
                </c:pt>
                <c:pt idx="1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(Raw_data!$N$8:$N$17,Raw_data!$N$24,Raw_data!$N$38,Raw_data!$N$57:$N$64)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115407</c:v>
                </c:pt>
                <c:pt idx="6">
                  <c:v>125513</c:v>
                </c:pt>
                <c:pt idx="7">
                  <c:v>120460</c:v>
                </c:pt>
                <c:pt idx="8">
                  <c:v>646667</c:v>
                </c:pt>
                <c:pt idx="9">
                  <c:v>704598</c:v>
                </c:pt>
                <c:pt idx="10">
                  <c:v>1493418</c:v>
                </c:pt>
                <c:pt idx="11">
                  <c:v>1377861</c:v>
                </c:pt>
                <c:pt idx="12">
                  <c:v>489365</c:v>
                </c:pt>
                <c:pt idx="13">
                  <c:v>528265</c:v>
                </c:pt>
                <c:pt idx="14">
                  <c:v>508815</c:v>
                </c:pt>
                <c:pt idx="15">
                  <c:v>998863</c:v>
                </c:pt>
                <c:pt idx="16">
                  <c:v>834812</c:v>
                </c:pt>
                <c:pt idx="17">
                  <c:v>916837.5</c:v>
                </c:pt>
                <c:pt idx="18">
                  <c:v>4697540</c:v>
                </c:pt>
                <c:pt idx="19">
                  <c:v>5069402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EEE-4BB4-B7C3-8BC7A94BE557}"/>
            </c:ext>
          </c:extLst>
        </c:ser>
        <c:ser>
          <c:idx val="4"/>
          <c:order val="4"/>
          <c:tx>
            <c:v>Samples Single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Printable!$P$56:$P$61</c:f>
              <c:numCache>
                <c:formatCode>0.0000</c:formatCode>
                <c:ptCount val="6"/>
                <c:pt idx="0">
                  <c:v>0.12892577351988382</c:v>
                </c:pt>
                <c:pt idx="1">
                  <c:v>0.14414095203671251</c:v>
                </c:pt>
                <c:pt idx="2">
                  <c:v>0.2454831989290184</c:v>
                </c:pt>
                <c:pt idx="3">
                  <c:v>0.22883160829265933</c:v>
                </c:pt>
                <c:pt idx="4">
                  <c:v>0.28931180802267592</c:v>
                </c:pt>
                <c:pt idx="5">
                  <c:v>0.28507017744576679</c:v>
                </c:pt>
              </c:numCache>
            </c:numRef>
          </c:xVal>
          <c:yVal>
            <c:numRef>
              <c:f>Printable!$O$56:$O$61</c:f>
              <c:numCache>
                <c:formatCode>General</c:formatCode>
                <c:ptCount val="6"/>
                <c:pt idx="0">
                  <c:v>753379</c:v>
                </c:pt>
                <c:pt idx="1">
                  <c:v>843627</c:v>
                </c:pt>
                <c:pt idx="2">
                  <c:v>1444733</c:v>
                </c:pt>
                <c:pt idx="3">
                  <c:v>1345965</c:v>
                </c:pt>
                <c:pt idx="4">
                  <c:v>1704700</c:v>
                </c:pt>
                <c:pt idx="5">
                  <c:v>1679541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E-4BB4-B7C3-8BC7A94BE557}"/>
            </c:ext>
          </c:extLst>
        </c:ser>
        <c:ser>
          <c:idx val="5"/>
          <c:order val="5"/>
          <c:tx>
            <c:v>Samples Mean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Printable!$P$80:$P$81</c:f>
              <c:numCache>
                <c:formatCode>General</c:formatCode>
                <c:ptCount val="2"/>
                <c:pt idx="0">
                  <c:v>0.23715740361083887</c:v>
                </c:pt>
                <c:pt idx="1">
                  <c:v>0.28719099273422133</c:v>
                </c:pt>
              </c:numCache>
            </c:numRef>
          </c:xVal>
          <c:yVal>
            <c:numRef>
              <c:f>Printable!$O$80:$O$81</c:f>
              <c:numCache>
                <c:formatCode>General</c:formatCode>
                <c:ptCount val="2"/>
                <c:pt idx="0">
                  <c:v>1395349</c:v>
                </c:pt>
                <c:pt idx="1">
                  <c:v>1692120.5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EE-4BB4-B7C3-8BC7A94B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(Raw_data!$W$8:$W$17,Raw_data!$W$24,Raw_data!$W$38)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(Raw_data!$O$8:$O$17,Raw_data!$O$24,Raw_data!$O$38)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17839</c:v>
                      </c:pt>
                      <c:pt idx="3">
                        <c:v>23708</c:v>
                      </c:pt>
                      <c:pt idx="5">
                        <c:v>117246</c:v>
                      </c:pt>
                      <c:pt idx="6">
                        <c:v>126832</c:v>
                      </c:pt>
                      <c:pt idx="8">
                        <c:v>642364</c:v>
                      </c:pt>
                      <c:pt idx="9">
                        <c:v>701924</c:v>
                      </c:pt>
                      <c:pt idx="10">
                        <c:v>1489336</c:v>
                      </c:pt>
                      <c:pt idx="11">
                        <c:v>1375628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EE-4BB4-B7C3-8BC7A94BE5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Calibr. Std. Mean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8"/>
                  <c:spPr>
                    <a:noFill/>
                    <a:ln w="190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(Raw_data!$W$13,Raw_data!$W$16,Raw_data!$W$24)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(Raw_data!$N$15,Raw_data!$N$18,Raw_data!$N$39)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120460</c:v>
                      </c:pt>
                      <c:pt idx="1">
                        <c:v>675632.5</c:v>
                      </c:pt>
                      <c:pt idx="2">
                        <c:v>1435639.5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EE-4BB4-B7C3-8BC7A94BE557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PCE in gas phase in eq.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SIM_166_Calibr.Stds.1-4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16506270049577"/>
                  <c:y val="3.700087489063867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(Raw_data!$W$56:$W$58,Raw_data!$W$60:$W$61,Raw_data!$W$63:$W$64,Raw_data!$W$66)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(Raw_data!$N$56:$N$58,Raw_data!$N$60:$N$61,Raw_data!$N$63,Raw_data!$N$64,Raw_data!$N$66)</c:f>
              <c:numCache>
                <c:formatCode>General</c:formatCode>
                <c:ptCount val="8"/>
                <c:pt idx="0">
                  <c:v>0</c:v>
                </c:pt>
                <c:pt idx="1">
                  <c:v>489365</c:v>
                </c:pt>
                <c:pt idx="2">
                  <c:v>528265</c:v>
                </c:pt>
                <c:pt idx="3">
                  <c:v>998863</c:v>
                </c:pt>
                <c:pt idx="4">
                  <c:v>834812</c:v>
                </c:pt>
                <c:pt idx="5">
                  <c:v>4697540</c:v>
                </c:pt>
                <c:pt idx="6">
                  <c:v>5069402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6-414D-BBE8-CB0CFBA9C7E0}"/>
            </c:ext>
          </c:extLst>
        </c:ser>
        <c:ser>
          <c:idx val="3"/>
          <c:order val="3"/>
          <c:tx>
            <c:v>C_Std_Means_SIM_166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(Raw_data!$W$57,Raw_data!$W$60,Raw_data!$W$63)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(Raw_data!$N$59,Raw_data!$N$62,Raw_data!$N$65)</c:f>
              <c:numCache>
                <c:formatCode>General</c:formatCode>
                <c:ptCount val="3"/>
                <c:pt idx="0">
                  <c:v>508815</c:v>
                </c:pt>
                <c:pt idx="1">
                  <c:v>916837.5</c:v>
                </c:pt>
                <c:pt idx="2">
                  <c:v>4883471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6-414D-BBE8-CB0CFBA9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7906069275687273E-2"/>
                        <c:y val="-1.4742317668397887E-2"/>
                      </c:manualLayout>
                    </c:layout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Raw_data!$W$56:$W$64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4">
                        <c:v>1</c:v>
                      </c:pt>
                      <c:pt idx="5">
                        <c:v>1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Raw_data!$O$56:$O$64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489365</c:v>
                      </c:pt>
                      <c:pt idx="2">
                        <c:v>530405</c:v>
                      </c:pt>
                      <c:pt idx="4">
                        <c:v>998863</c:v>
                      </c:pt>
                      <c:pt idx="5">
                        <c:v>834812</c:v>
                      </c:pt>
                      <c:pt idx="7">
                        <c:v>4686871</c:v>
                      </c:pt>
                      <c:pt idx="8">
                        <c:v>5061150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FD6-414D-BBE8-CB0CFBA9C7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Ref_Stds SIM_166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Raw_data!$W$68:$W$71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Raw_data!$N$68:$N$71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2641400</c:v>
                      </c:pt>
                      <c:pt idx="1">
                        <c:v>4812094</c:v>
                      </c:pt>
                      <c:pt idx="2">
                        <c:v>4634306</c:v>
                      </c:pt>
                      <c:pt idx="3">
                        <c:v>16247860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D6-414D-BBE8-CB0CFBA9C7E0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Initial PCE in aq. phase [ppm]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Material</a:t>
            </a:r>
            <a:r>
              <a:rPr lang="en-US" baseline="0"/>
              <a:t> 30.06.21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Ref. Mat. 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backward val="0.4"/>
            <c:dispRSqr val="1"/>
            <c:dispEq val="1"/>
            <c:trendlineLbl>
              <c:layout>
                <c:manualLayout>
                  <c:x val="-0.343296529306436"/>
                  <c:y val="3.465433777144789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(Raw_data!$W$68:$W$71,Raw_data!$W$83:$W$89)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  <c:pt idx="4">
                  <c:v>0.5</c:v>
                </c:pt>
                <c:pt idx="6">
                  <c:v>0.75</c:v>
                </c:pt>
                <c:pt idx="8">
                  <c:v>1</c:v>
                </c:pt>
                <c:pt idx="10">
                  <c:v>2.5</c:v>
                </c:pt>
              </c:numCache>
            </c:numRef>
          </c:xVal>
          <c:yVal>
            <c:numRef>
              <c:f>(Raw_data!$N$68:$N$71,Raw_data!$N$83:$N$89)</c:f>
              <c:numCache>
                <c:formatCode>General</c:formatCode>
                <c:ptCount val="11"/>
                <c:pt idx="0">
                  <c:v>2641400</c:v>
                </c:pt>
                <c:pt idx="1">
                  <c:v>4812094</c:v>
                </c:pt>
                <c:pt idx="2">
                  <c:v>4634306</c:v>
                </c:pt>
                <c:pt idx="3">
                  <c:v>16247860</c:v>
                </c:pt>
                <c:pt idx="4">
                  <c:v>2877610</c:v>
                </c:pt>
                <c:pt idx="5">
                  <c:v>2759505</c:v>
                </c:pt>
                <c:pt idx="6">
                  <c:v>5055982</c:v>
                </c:pt>
                <c:pt idx="7">
                  <c:v>4934038</c:v>
                </c:pt>
                <c:pt idx="8">
                  <c:v>5740431</c:v>
                </c:pt>
                <c:pt idx="9">
                  <c:v>5187368.5</c:v>
                </c:pt>
                <c:pt idx="10">
                  <c:v>15943987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8-441A-A81C-ECC146C129E4}"/>
            </c:ext>
          </c:extLst>
        </c:ser>
        <c:ser>
          <c:idx val="1"/>
          <c:order val="1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Raw_data!$W$68:$W$71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</c:numCache>
            </c:numRef>
          </c:xVal>
          <c:yVal>
            <c:numRef>
              <c:f>(Raw_data!$N$84,Raw_data!$N$86,Raw_data!$N$88,Raw_data!$N$90)</c:f>
              <c:numCache>
                <c:formatCode>General</c:formatCode>
                <c:ptCount val="4"/>
                <c:pt idx="0">
                  <c:v>2759505</c:v>
                </c:pt>
                <c:pt idx="1">
                  <c:v>4934038</c:v>
                </c:pt>
                <c:pt idx="2">
                  <c:v>5187368.5</c:v>
                </c:pt>
                <c:pt idx="3">
                  <c:v>16095923.5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8-441A-A81C-ECC146C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1720"/>
        <c:axId val="645252536"/>
      </c:scatterChart>
      <c:valAx>
        <c:axId val="6452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PCE in aq. phase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2536"/>
        <c:crosses val="autoZero"/>
        <c:crossBetween val="midCat"/>
        <c:majorUnit val="0.5"/>
      </c:valAx>
      <c:valAx>
        <c:axId val="645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Material</a:t>
            </a:r>
            <a:r>
              <a:rPr lang="en-US" baseline="0"/>
              <a:t> 30.06.21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Ref. Mat. 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01335463332224"/>
                  <c:y val="2.6982742990314224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Printable!$S$27:$S$30</c:f>
              <c:numCache>
                <c:formatCode>0.0000</c:formatCode>
                <c:ptCount val="4"/>
                <c:pt idx="0">
                  <c:v>8.2409181266846418E-2</c:v>
                </c:pt>
                <c:pt idx="1">
                  <c:v>0.12361377190026959</c:v>
                </c:pt>
                <c:pt idx="2">
                  <c:v>0.16481836253369284</c:v>
                </c:pt>
                <c:pt idx="3">
                  <c:v>0.41204590633423199</c:v>
                </c:pt>
              </c:numCache>
            </c:numRef>
          </c:xVal>
          <c:yVal>
            <c:numRef>
              <c:f>Printable!$N$27:$N$30</c:f>
              <c:numCache>
                <c:formatCode>General</c:formatCode>
                <c:ptCount val="4"/>
                <c:pt idx="0">
                  <c:v>2759505</c:v>
                </c:pt>
                <c:pt idx="1">
                  <c:v>4934038</c:v>
                </c:pt>
                <c:pt idx="2">
                  <c:v>5187368.5</c:v>
                </c:pt>
                <c:pt idx="3">
                  <c:v>16095923.5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0-44FC-B843-A9E0793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1720"/>
        <c:axId val="645252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Ref. Mat. SIM_166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1587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5"/>
                  <c:marker>
                    <c:symbol val="x"/>
                    <c:size val="7"/>
                    <c:spPr>
                      <a:noFill/>
                      <a:ln w="1587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8FC0-44FC-B843-A9E079382C3B}"/>
                    </c:ext>
                  </c:extLst>
                </c:dPt>
                <c:trendline>
                  <c:spPr>
                    <a:ln w="19050" cap="rnd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  <c:trendlineType val="linear"/>
                  <c:backward val="0.4"/>
                  <c:dispRSqr val="1"/>
                  <c:dispEq val="1"/>
                  <c:trendlineLbl>
                    <c:layout>
                      <c:manualLayout>
                        <c:x val="-0.343296529306436"/>
                        <c:y val="3.4654337771447892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(Raw_data!$W$68:$W$71,Raw_data!$W$83:$W$89)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2.5</c:v>
                      </c:pt>
                      <c:pt idx="4">
                        <c:v>0.5</c:v>
                      </c:pt>
                      <c:pt idx="6">
                        <c:v>0.75</c:v>
                      </c:pt>
                      <c:pt idx="8">
                        <c:v>1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(Raw_data!$N$68:$N$71,Raw_data!$N$83:$N$89)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2641400</c:v>
                      </c:pt>
                      <c:pt idx="1">
                        <c:v>4812094</c:v>
                      </c:pt>
                      <c:pt idx="2">
                        <c:v>4634306</c:v>
                      </c:pt>
                      <c:pt idx="3">
                        <c:v>16247860</c:v>
                      </c:pt>
                      <c:pt idx="4">
                        <c:v>2877610</c:v>
                      </c:pt>
                      <c:pt idx="5">
                        <c:v>2759505</c:v>
                      </c:pt>
                      <c:pt idx="6">
                        <c:v>5055982</c:v>
                      </c:pt>
                      <c:pt idx="7">
                        <c:v>4934038</c:v>
                      </c:pt>
                      <c:pt idx="8">
                        <c:v>5740431</c:v>
                      </c:pt>
                      <c:pt idx="9">
                        <c:v>5187368.5</c:v>
                      </c:pt>
                      <c:pt idx="10">
                        <c:v>15943987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C0-44FC-B843-A9E079382C3B}"/>
                  </c:ext>
                </c:extLst>
              </c15:ser>
            </c15:filteredScatterSeries>
          </c:ext>
        </c:extLst>
      </c:scatterChart>
      <c:valAx>
        <c:axId val="6452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in gas phase in eq.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2536"/>
        <c:crosses val="autoZero"/>
        <c:crossBetween val="midCat"/>
        <c:majorUnit val="0.2"/>
      </c:valAx>
      <c:valAx>
        <c:axId val="645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PCE phase distribution </a:t>
            </a:r>
          </a:p>
          <a:p>
            <a:pPr>
              <a:defRPr sz="1100"/>
            </a:pPr>
            <a:r>
              <a:rPr lang="en-US" sz="1100"/>
              <a:t>Solid - Aqueous in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74898033003629E-2"/>
          <c:y val="0.1380738943697184"/>
          <c:w val="0.66466742941117107"/>
          <c:h val="0.72228478141771102"/>
        </c:manualLayout>
      </c:layout>
      <c:scatterChart>
        <c:scatterStyle val="lineMarker"/>
        <c:varyColors val="0"/>
        <c:ser>
          <c:idx val="0"/>
          <c:order val="0"/>
          <c:tx>
            <c:v>Samples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Printable!$Q$36:$Q$61</c:f>
              <c:numCache>
                <c:formatCode>General</c:formatCode>
                <c:ptCount val="26"/>
                <c:pt idx="0">
                  <c:v>6.7455371915631597E-3</c:v>
                </c:pt>
                <c:pt idx="1">
                  <c:v>6.7455371915631597E-3</c:v>
                </c:pt>
                <c:pt idx="2">
                  <c:v>6.7455371915631597E-3</c:v>
                </c:pt>
                <c:pt idx="3">
                  <c:v>6.7455371915631597E-3</c:v>
                </c:pt>
                <c:pt idx="4" formatCode="0.0000">
                  <c:v>2.3256827611447119E-2</c:v>
                </c:pt>
                <c:pt idx="5" formatCode="0.0000">
                  <c:v>2.830358243388081E-2</c:v>
                </c:pt>
                <c:pt idx="6" formatCode="0.0000">
                  <c:v>2.3423589289297019E-2</c:v>
                </c:pt>
                <c:pt idx="7" formatCode="0.0000">
                  <c:v>2.6562665889637641E-2</c:v>
                </c:pt>
                <c:pt idx="8" formatCode="0.0000">
                  <c:v>7.3312465069931068E-2</c:v>
                </c:pt>
                <c:pt idx="9" formatCode="0.0000">
                  <c:v>6.8720394912640662E-2</c:v>
                </c:pt>
                <c:pt idx="10" formatCode="0.0000">
                  <c:v>6.2302802568898481E-2</c:v>
                </c:pt>
                <c:pt idx="11" formatCode="0.0000">
                  <c:v>7.4498074648497808E-2</c:v>
                </c:pt>
                <c:pt idx="12" formatCode="0.0000">
                  <c:v>8.7802830071803561E-2</c:v>
                </c:pt>
                <c:pt idx="13" formatCode="0.0000">
                  <c:v>0.10065629259290534</c:v>
                </c:pt>
                <c:pt idx="14" formatCode="0.0000">
                  <c:v>0.10346391858156465</c:v>
                </c:pt>
                <c:pt idx="15" formatCode="0.0000">
                  <c:v>0.10320972479239006</c:v>
                </c:pt>
                <c:pt idx="16" formatCode="0.0000">
                  <c:v>0.1914249564935164</c:v>
                </c:pt>
                <c:pt idx="17" formatCode="0.0000">
                  <c:v>0.17247027773840121</c:v>
                </c:pt>
                <c:pt idx="18" formatCode="0.0000">
                  <c:v>0.21563762152967514</c:v>
                </c:pt>
                <c:pt idx="19" formatCode="0.0000">
                  <c:v>0.22096871914518851</c:v>
                </c:pt>
                <c:pt idx="20" formatCode="0.0000">
                  <c:v>0.21535287727989369</c:v>
                </c:pt>
                <c:pt idx="21" formatCode="0.0000">
                  <c:v>0.240767752695948</c:v>
                </c:pt>
                <c:pt idx="22" formatCode="0.0000">
                  <c:v>0.41004612010400965</c:v>
                </c:pt>
                <c:pt idx="23" formatCode="0.0000">
                  <c:v>0.38223191463582362</c:v>
                </c:pt>
                <c:pt idx="24" formatCode="0.0000">
                  <c:v>0.48325581912543275</c:v>
                </c:pt>
                <c:pt idx="25" formatCode="0.0000">
                  <c:v>0.47617075518393254</c:v>
                </c:pt>
              </c:numCache>
            </c:numRef>
          </c:xVal>
          <c:yVal>
            <c:numRef>
              <c:f>Printable!$R$36:$R$61</c:f>
              <c:numCache>
                <c:formatCode>General</c:formatCode>
                <c:ptCount val="26"/>
                <c:pt idx="0">
                  <c:v>-2.3789149446836987E-2</c:v>
                </c:pt>
                <c:pt idx="1">
                  <c:v>-2.3789149446836987E-2</c:v>
                </c:pt>
                <c:pt idx="2">
                  <c:v>-2.3789149446836987E-2</c:v>
                </c:pt>
                <c:pt idx="3">
                  <c:v>-2.3789149446836987E-2</c:v>
                </c:pt>
                <c:pt idx="4" formatCode="0.0000">
                  <c:v>0.11798130645547115</c:v>
                </c:pt>
                <c:pt idx="5" formatCode="0.0000">
                  <c:v>0.10018316802958264</c:v>
                </c:pt>
                <c:pt idx="6" formatCode="0.0000">
                  <c:v>0.11739319636672414</c:v>
                </c:pt>
                <c:pt idx="7" formatCode="0.0000">
                  <c:v>0.10632277154363201</c:v>
                </c:pt>
                <c:pt idx="8" formatCode="0.0000">
                  <c:v>0.34145258734234984</c:v>
                </c:pt>
                <c:pt idx="9" formatCode="0.0000">
                  <c:v>0.35764721204603889</c:v>
                </c:pt>
                <c:pt idx="10" formatCode="0.0000">
                  <c:v>0.38027981476077993</c:v>
                </c:pt>
                <c:pt idx="11" formatCode="0.0000">
                  <c:v>0.33727135719726936</c:v>
                </c:pt>
                <c:pt idx="12" formatCode="0.0000">
                  <c:v>0.69035014008286333</c:v>
                </c:pt>
                <c:pt idx="13" formatCode="0.0000">
                  <c:v>0.64502047512952987</c:v>
                </c:pt>
                <c:pt idx="14" formatCode="0.0000">
                  <c:v>0.63511896064102069</c:v>
                </c:pt>
                <c:pt idx="15" formatCode="0.0000">
                  <c:v>0.63601541319437627</c:v>
                </c:pt>
                <c:pt idx="16" formatCode="0.0000">
                  <c:v>1.3249111570277683</c:v>
                </c:pt>
                <c:pt idx="17" formatCode="0.0000">
                  <c:v>1.3917576768551581</c:v>
                </c:pt>
                <c:pt idx="18" formatCode="0.0000">
                  <c:v>1.2395215593287439</c:v>
                </c:pt>
                <c:pt idx="19" formatCode="0.0000">
                  <c:v>1.2207206433617037</c:v>
                </c:pt>
                <c:pt idx="20" formatCode="0.0000">
                  <c:v>1.2405257526672153</c:v>
                </c:pt>
                <c:pt idx="21" formatCode="0.0000">
                  <c:v>1.1508963796053562</c:v>
                </c:pt>
                <c:pt idx="22" formatCode="0.0000">
                  <c:v>2.5539108073630699</c:v>
                </c:pt>
                <c:pt idx="23" formatCode="0.0000">
                  <c:v>2.6520017780058951</c:v>
                </c:pt>
                <c:pt idx="24" formatCode="0.0000">
                  <c:v>2.2957258146012101</c:v>
                </c:pt>
                <c:pt idx="25" formatCode="0.0000">
                  <c:v>2.3207123560964602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8-40C1-B127-670CA1F85BE0}"/>
            </c:ext>
          </c:extLst>
        </c:ser>
        <c:ser>
          <c:idx val="2"/>
          <c:order val="1"/>
          <c:tx>
            <c:v>Empirical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Printable!$E$74:$E$90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Printable!$I$74:$I$90</c:f>
              <c:numCache>
                <c:formatCode>General</c:formatCode>
                <c:ptCount val="17"/>
                <c:pt idx="0">
                  <c:v>0</c:v>
                </c:pt>
                <c:pt idx="1">
                  <c:v>0.28246870350797437</c:v>
                </c:pt>
                <c:pt idx="2">
                  <c:v>0.56493740701594874</c:v>
                </c:pt>
                <c:pt idx="3">
                  <c:v>0.84740611052392301</c:v>
                </c:pt>
                <c:pt idx="4">
                  <c:v>1.1298748140318975</c:v>
                </c:pt>
                <c:pt idx="5">
                  <c:v>1.4123435175398718</c:v>
                </c:pt>
                <c:pt idx="6">
                  <c:v>1.694812221047846</c:v>
                </c:pt>
                <c:pt idx="7">
                  <c:v>1.9772809245558203</c:v>
                </c:pt>
                <c:pt idx="8">
                  <c:v>2.259749628063795</c:v>
                </c:pt>
                <c:pt idx="9">
                  <c:v>2.5422183315717692</c:v>
                </c:pt>
                <c:pt idx="10">
                  <c:v>2.8246870350797435</c:v>
                </c:pt>
                <c:pt idx="11">
                  <c:v>3.1071557385877182</c:v>
                </c:pt>
                <c:pt idx="12">
                  <c:v>3.389624442095692</c:v>
                </c:pt>
                <c:pt idx="13">
                  <c:v>3.6720931456036667</c:v>
                </c:pt>
                <c:pt idx="14">
                  <c:v>3.9545618491116405</c:v>
                </c:pt>
                <c:pt idx="15">
                  <c:v>4.2370305526196148</c:v>
                </c:pt>
                <c:pt idx="16">
                  <c:v>4.51949925612759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8-40C1-B127-670CA1F85BE0}"/>
            </c:ext>
          </c:extLst>
        </c:ser>
        <c:ser>
          <c:idx val="1"/>
          <c:order val="2"/>
          <c:tx>
            <c:v>Theoretical Soil 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Printable!$E$74:$E$90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Printable!$F$74:$F$90</c:f>
              <c:numCache>
                <c:formatCode>General</c:formatCode>
                <c:ptCount val="17"/>
                <c:pt idx="0">
                  <c:v>0</c:v>
                </c:pt>
                <c:pt idx="1">
                  <c:v>0.28215000000000001</c:v>
                </c:pt>
                <c:pt idx="2">
                  <c:v>0.56430000000000002</c:v>
                </c:pt>
                <c:pt idx="3">
                  <c:v>0.84644999999999992</c:v>
                </c:pt>
                <c:pt idx="4">
                  <c:v>1.1286</c:v>
                </c:pt>
                <c:pt idx="5">
                  <c:v>1.4107499999999999</c:v>
                </c:pt>
                <c:pt idx="6">
                  <c:v>1.6928999999999998</c:v>
                </c:pt>
                <c:pt idx="7">
                  <c:v>1.9750499999999998</c:v>
                </c:pt>
                <c:pt idx="8">
                  <c:v>2.2572000000000001</c:v>
                </c:pt>
                <c:pt idx="9">
                  <c:v>2.5393499999999998</c:v>
                </c:pt>
                <c:pt idx="10">
                  <c:v>2.8214999999999999</c:v>
                </c:pt>
                <c:pt idx="11">
                  <c:v>3.10365</c:v>
                </c:pt>
                <c:pt idx="12">
                  <c:v>3.3857999999999997</c:v>
                </c:pt>
                <c:pt idx="13">
                  <c:v>3.6679499999999998</c:v>
                </c:pt>
                <c:pt idx="14">
                  <c:v>3.9500999999999995</c:v>
                </c:pt>
                <c:pt idx="15">
                  <c:v>4.2322499999999996</c:v>
                </c:pt>
                <c:pt idx="16">
                  <c:v>4.5144000000000002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8-40C1-B127-670CA1F85BE0}"/>
            </c:ext>
          </c:extLst>
        </c:ser>
        <c:ser>
          <c:idx val="3"/>
          <c:order val="3"/>
          <c:tx>
            <c:v>Theoretical Soil 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Printable!$E$74:$E$90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Printable!$G$74:$G$90</c:f>
              <c:numCache>
                <c:formatCode>General</c:formatCode>
                <c:ptCount val="17"/>
                <c:pt idx="0">
                  <c:v>0</c:v>
                </c:pt>
                <c:pt idx="1">
                  <c:v>0.94347000000000003</c:v>
                </c:pt>
                <c:pt idx="2">
                  <c:v>1.8869400000000001</c:v>
                </c:pt>
                <c:pt idx="3">
                  <c:v>2.8304099999999996</c:v>
                </c:pt>
                <c:pt idx="4">
                  <c:v>3.7738800000000001</c:v>
                </c:pt>
                <c:pt idx="5">
                  <c:v>4.7173499999999997</c:v>
                </c:pt>
                <c:pt idx="6">
                  <c:v>5.6608199999999993</c:v>
                </c:pt>
                <c:pt idx="7">
                  <c:v>6.6042899999999989</c:v>
                </c:pt>
                <c:pt idx="8">
                  <c:v>7.5477600000000002</c:v>
                </c:pt>
                <c:pt idx="9">
                  <c:v>8.4912299999999998</c:v>
                </c:pt>
                <c:pt idx="10">
                  <c:v>9.4346999999999994</c:v>
                </c:pt>
                <c:pt idx="11">
                  <c:v>10.378170000000001</c:v>
                </c:pt>
                <c:pt idx="12">
                  <c:v>11.321639999999999</c:v>
                </c:pt>
                <c:pt idx="13">
                  <c:v>12.26511</c:v>
                </c:pt>
                <c:pt idx="14">
                  <c:v>13.208579999999998</c:v>
                </c:pt>
                <c:pt idx="15">
                  <c:v>14.152049999999999</c:v>
                </c:pt>
                <c:pt idx="16">
                  <c:v>15.09552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8-40C1-B127-670CA1F85BE0}"/>
            </c:ext>
          </c:extLst>
        </c:ser>
        <c:ser>
          <c:idx val="4"/>
          <c:order val="4"/>
          <c:tx>
            <c:v>Theoretical Soil 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Printable!$E$74:$E$90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Printable!$H$74:$H$90</c:f>
              <c:numCache>
                <c:formatCode>General</c:formatCode>
                <c:ptCount val="17"/>
                <c:pt idx="0">
                  <c:v>0</c:v>
                </c:pt>
                <c:pt idx="1">
                  <c:v>8.1179999999999988E-2</c:v>
                </c:pt>
                <c:pt idx="2">
                  <c:v>0.16235999999999998</c:v>
                </c:pt>
                <c:pt idx="3">
                  <c:v>0.24353999999999995</c:v>
                </c:pt>
                <c:pt idx="4">
                  <c:v>0.32471999999999995</c:v>
                </c:pt>
                <c:pt idx="5">
                  <c:v>0.40589999999999993</c:v>
                </c:pt>
                <c:pt idx="6">
                  <c:v>0.4870799999999999</c:v>
                </c:pt>
                <c:pt idx="7">
                  <c:v>0.56825999999999988</c:v>
                </c:pt>
                <c:pt idx="8">
                  <c:v>0.64943999999999991</c:v>
                </c:pt>
                <c:pt idx="9">
                  <c:v>0.73061999999999994</c:v>
                </c:pt>
                <c:pt idx="10">
                  <c:v>0.81179999999999986</c:v>
                </c:pt>
                <c:pt idx="11">
                  <c:v>0.89297999999999988</c:v>
                </c:pt>
                <c:pt idx="12">
                  <c:v>0.9741599999999998</c:v>
                </c:pt>
                <c:pt idx="13">
                  <c:v>1.0553399999999999</c:v>
                </c:pt>
                <c:pt idx="14">
                  <c:v>1.1365199999999998</c:v>
                </c:pt>
                <c:pt idx="15">
                  <c:v>1.2176999999999998</c:v>
                </c:pt>
                <c:pt idx="16">
                  <c:v>1.2988799999999998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E8-40C1-B127-670CA1F8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aqueous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solid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6069737828309913"/>
          <c:y val="0.3512586128142392"/>
          <c:w val="0.21981964002843851"/>
          <c:h val="0.3581872737116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SIM_166_Calibr.Stds.1-4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49213503070203"/>
                  <c:y val="0.12403769009060978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Raw_data!$W$56:$W$64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4">
                  <c:v>1</c:v>
                </c:pt>
                <c:pt idx="5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xVal>
          <c:yVal>
            <c:numRef>
              <c:f>Raw_data!$N$56:$N$64</c:f>
              <c:numCache>
                <c:formatCode>General</c:formatCode>
                <c:ptCount val="9"/>
                <c:pt idx="0">
                  <c:v>0</c:v>
                </c:pt>
                <c:pt idx="1">
                  <c:v>489365</c:v>
                </c:pt>
                <c:pt idx="2">
                  <c:v>528265</c:v>
                </c:pt>
                <c:pt idx="3">
                  <c:v>508815</c:v>
                </c:pt>
                <c:pt idx="4">
                  <c:v>998863</c:v>
                </c:pt>
                <c:pt idx="5">
                  <c:v>834812</c:v>
                </c:pt>
                <c:pt idx="6">
                  <c:v>916837.5</c:v>
                </c:pt>
                <c:pt idx="7">
                  <c:v>4697540</c:v>
                </c:pt>
                <c:pt idx="8">
                  <c:v>5069402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2-4763-9A57-AC9D9F23D991}"/>
            </c:ext>
          </c:extLst>
        </c:ser>
        <c:ser>
          <c:idx val="3"/>
          <c:order val="3"/>
          <c:tx>
            <c:v>C_Std_Means_SIM_166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(Raw_data!$W$57,Raw_data!$W$60,Raw_data!$W$63)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(Raw_data!$N$59,Raw_data!$N$62,Raw_data!$N$65)</c:f>
              <c:numCache>
                <c:formatCode>General</c:formatCode>
                <c:ptCount val="3"/>
                <c:pt idx="0">
                  <c:v>508815</c:v>
                </c:pt>
                <c:pt idx="1">
                  <c:v>916837.5</c:v>
                </c:pt>
                <c:pt idx="2">
                  <c:v>4883471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5-4845-808E-F7858933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SIM_166_C_Std_1-4_auto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7906069275687273E-2"/>
                        <c:y val="-1.4742317668397887E-2"/>
                      </c:manualLayout>
                    </c:layout>
                    <c:numFmt formatCode="#,##0.0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Raw_data!$W$56:$W$64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4">
                        <c:v>1</c:v>
                      </c:pt>
                      <c:pt idx="5">
                        <c:v>1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Raw_data!$O$56:$O$64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489365</c:v>
                      </c:pt>
                      <c:pt idx="2">
                        <c:v>530405</c:v>
                      </c:pt>
                      <c:pt idx="4">
                        <c:v>998863</c:v>
                      </c:pt>
                      <c:pt idx="5">
                        <c:v>834812</c:v>
                      </c:pt>
                      <c:pt idx="7">
                        <c:v>4686871</c:v>
                      </c:pt>
                      <c:pt idx="8">
                        <c:v>5061150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82-4763-9A57-AC9D9F23D9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Ref_Stds SIM_166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Raw_data!$W$68:$W$71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Raw_data!$N$68:$N$71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2641400</c:v>
                      </c:pt>
                      <c:pt idx="1">
                        <c:v>4812094</c:v>
                      </c:pt>
                      <c:pt idx="2">
                        <c:v>4634306</c:v>
                      </c:pt>
                      <c:pt idx="3">
                        <c:v>16247860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82-4763-9A57-AC9D9F23D991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PCE phase distribution </a:t>
            </a:r>
          </a:p>
          <a:p>
            <a:pPr>
              <a:defRPr sz="1100"/>
            </a:pPr>
            <a:r>
              <a:rPr lang="en-US" sz="1100"/>
              <a:t>Solid - Aqueous in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74898033003629E-2"/>
          <c:y val="0.1380738943697184"/>
          <c:w val="0.66466742941117107"/>
          <c:h val="0.72228478141771102"/>
        </c:manualLayout>
      </c:layout>
      <c:scatterChart>
        <c:scatterStyle val="lineMarker"/>
        <c:varyColors val="0"/>
        <c:ser>
          <c:idx val="0"/>
          <c:order val="0"/>
          <c:tx>
            <c:v>Samples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Printable!$Q$36:$Q$61</c:f>
              <c:numCache>
                <c:formatCode>General</c:formatCode>
                <c:ptCount val="26"/>
                <c:pt idx="0">
                  <c:v>6.7455371915631597E-3</c:v>
                </c:pt>
                <c:pt idx="1">
                  <c:v>6.7455371915631597E-3</c:v>
                </c:pt>
                <c:pt idx="2">
                  <c:v>6.7455371915631597E-3</c:v>
                </c:pt>
                <c:pt idx="3">
                  <c:v>6.7455371915631597E-3</c:v>
                </c:pt>
                <c:pt idx="4" formatCode="0.0000">
                  <c:v>2.3256827611447119E-2</c:v>
                </c:pt>
                <c:pt idx="5" formatCode="0.0000">
                  <c:v>2.830358243388081E-2</c:v>
                </c:pt>
                <c:pt idx="6" formatCode="0.0000">
                  <c:v>2.3423589289297019E-2</c:v>
                </c:pt>
                <c:pt idx="7" formatCode="0.0000">
                  <c:v>2.6562665889637641E-2</c:v>
                </c:pt>
                <c:pt idx="8" formatCode="0.0000">
                  <c:v>7.3312465069931068E-2</c:v>
                </c:pt>
                <c:pt idx="9" formatCode="0.0000">
                  <c:v>6.8720394912640662E-2</c:v>
                </c:pt>
                <c:pt idx="10" formatCode="0.0000">
                  <c:v>6.2302802568898481E-2</c:v>
                </c:pt>
                <c:pt idx="11" formatCode="0.0000">
                  <c:v>7.4498074648497808E-2</c:v>
                </c:pt>
                <c:pt idx="12" formatCode="0.0000">
                  <c:v>8.7802830071803561E-2</c:v>
                </c:pt>
                <c:pt idx="13" formatCode="0.0000">
                  <c:v>0.10065629259290534</c:v>
                </c:pt>
                <c:pt idx="14" formatCode="0.0000">
                  <c:v>0.10346391858156465</c:v>
                </c:pt>
                <c:pt idx="15" formatCode="0.0000">
                  <c:v>0.10320972479239006</c:v>
                </c:pt>
                <c:pt idx="16" formatCode="0.0000">
                  <c:v>0.1914249564935164</c:v>
                </c:pt>
                <c:pt idx="17" formatCode="0.0000">
                  <c:v>0.17247027773840121</c:v>
                </c:pt>
                <c:pt idx="18" formatCode="0.0000">
                  <c:v>0.21563762152967514</c:v>
                </c:pt>
                <c:pt idx="19" formatCode="0.0000">
                  <c:v>0.22096871914518851</c:v>
                </c:pt>
                <c:pt idx="20" formatCode="0.0000">
                  <c:v>0.21535287727989369</c:v>
                </c:pt>
                <c:pt idx="21" formatCode="0.0000">
                  <c:v>0.240767752695948</c:v>
                </c:pt>
                <c:pt idx="22" formatCode="0.0000">
                  <c:v>0.41004612010400965</c:v>
                </c:pt>
                <c:pt idx="23" formatCode="0.0000">
                  <c:v>0.38223191463582362</c:v>
                </c:pt>
                <c:pt idx="24" formatCode="0.0000">
                  <c:v>0.48325581912543275</c:v>
                </c:pt>
                <c:pt idx="25" formatCode="0.0000">
                  <c:v>0.47617075518393254</c:v>
                </c:pt>
              </c:numCache>
            </c:numRef>
          </c:xVal>
          <c:yVal>
            <c:numRef>
              <c:f>Printable!$R$36:$R$61</c:f>
              <c:numCache>
                <c:formatCode>General</c:formatCode>
                <c:ptCount val="26"/>
                <c:pt idx="0">
                  <c:v>-2.3789149446836987E-2</c:v>
                </c:pt>
                <c:pt idx="1">
                  <c:v>-2.3789149446836987E-2</c:v>
                </c:pt>
                <c:pt idx="2">
                  <c:v>-2.3789149446836987E-2</c:v>
                </c:pt>
                <c:pt idx="3">
                  <c:v>-2.3789149446836987E-2</c:v>
                </c:pt>
                <c:pt idx="4" formatCode="0.0000">
                  <c:v>0.11798130645547115</c:v>
                </c:pt>
                <c:pt idx="5" formatCode="0.0000">
                  <c:v>0.10018316802958264</c:v>
                </c:pt>
                <c:pt idx="6" formatCode="0.0000">
                  <c:v>0.11739319636672414</c:v>
                </c:pt>
                <c:pt idx="7" formatCode="0.0000">
                  <c:v>0.10632277154363201</c:v>
                </c:pt>
                <c:pt idx="8" formatCode="0.0000">
                  <c:v>0.34145258734234984</c:v>
                </c:pt>
                <c:pt idx="9" formatCode="0.0000">
                  <c:v>0.35764721204603889</c:v>
                </c:pt>
                <c:pt idx="10" formatCode="0.0000">
                  <c:v>0.38027981476077993</c:v>
                </c:pt>
                <c:pt idx="11" formatCode="0.0000">
                  <c:v>0.33727135719726936</c:v>
                </c:pt>
                <c:pt idx="12" formatCode="0.0000">
                  <c:v>0.69035014008286333</c:v>
                </c:pt>
                <c:pt idx="13" formatCode="0.0000">
                  <c:v>0.64502047512952987</c:v>
                </c:pt>
                <c:pt idx="14" formatCode="0.0000">
                  <c:v>0.63511896064102069</c:v>
                </c:pt>
                <c:pt idx="15" formatCode="0.0000">
                  <c:v>0.63601541319437627</c:v>
                </c:pt>
                <c:pt idx="16" formatCode="0.0000">
                  <c:v>1.3249111570277683</c:v>
                </c:pt>
                <c:pt idx="17" formatCode="0.0000">
                  <c:v>1.3917576768551581</c:v>
                </c:pt>
                <c:pt idx="18" formatCode="0.0000">
                  <c:v>1.2395215593287439</c:v>
                </c:pt>
                <c:pt idx="19" formatCode="0.0000">
                  <c:v>1.2207206433617037</c:v>
                </c:pt>
                <c:pt idx="20" formatCode="0.0000">
                  <c:v>1.2405257526672153</c:v>
                </c:pt>
                <c:pt idx="21" formatCode="0.0000">
                  <c:v>1.1508963796053562</c:v>
                </c:pt>
                <c:pt idx="22" formatCode="0.0000">
                  <c:v>2.5539108073630699</c:v>
                </c:pt>
                <c:pt idx="23" formatCode="0.0000">
                  <c:v>2.6520017780058951</c:v>
                </c:pt>
                <c:pt idx="24" formatCode="0.0000">
                  <c:v>2.2957258146012101</c:v>
                </c:pt>
                <c:pt idx="25" formatCode="0.0000">
                  <c:v>2.3207123560964602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2-488C-A40C-9D2008708E2A}"/>
            </c:ext>
          </c:extLst>
        </c:ser>
        <c:ser>
          <c:idx val="2"/>
          <c:order val="1"/>
          <c:tx>
            <c:v>Empirical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Printable!$E$74:$E$90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Printable!$I$74:$I$90</c:f>
              <c:numCache>
                <c:formatCode>General</c:formatCode>
                <c:ptCount val="17"/>
                <c:pt idx="0">
                  <c:v>0</c:v>
                </c:pt>
                <c:pt idx="1">
                  <c:v>0.28246870350797437</c:v>
                </c:pt>
                <c:pt idx="2">
                  <c:v>0.56493740701594874</c:v>
                </c:pt>
                <c:pt idx="3">
                  <c:v>0.84740611052392301</c:v>
                </c:pt>
                <c:pt idx="4">
                  <c:v>1.1298748140318975</c:v>
                </c:pt>
                <c:pt idx="5">
                  <c:v>1.4123435175398718</c:v>
                </c:pt>
                <c:pt idx="6">
                  <c:v>1.694812221047846</c:v>
                </c:pt>
                <c:pt idx="7">
                  <c:v>1.9772809245558203</c:v>
                </c:pt>
                <c:pt idx="8">
                  <c:v>2.259749628063795</c:v>
                </c:pt>
                <c:pt idx="9">
                  <c:v>2.5422183315717692</c:v>
                </c:pt>
                <c:pt idx="10">
                  <c:v>2.8246870350797435</c:v>
                </c:pt>
                <c:pt idx="11">
                  <c:v>3.1071557385877182</c:v>
                </c:pt>
                <c:pt idx="12">
                  <c:v>3.389624442095692</c:v>
                </c:pt>
                <c:pt idx="13">
                  <c:v>3.6720931456036667</c:v>
                </c:pt>
                <c:pt idx="14">
                  <c:v>3.9545618491116405</c:v>
                </c:pt>
                <c:pt idx="15">
                  <c:v>4.2370305526196148</c:v>
                </c:pt>
                <c:pt idx="16">
                  <c:v>4.51949925612759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2-488C-A40C-9D2008708E2A}"/>
            </c:ext>
          </c:extLst>
        </c:ser>
        <c:ser>
          <c:idx val="1"/>
          <c:order val="2"/>
          <c:tx>
            <c:v>Soil 1 Kd min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619289196204119E-2"/>
                  <c:y val="-4.843737709533055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Printable!$Y$88:$Y$104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Printable!$AA$88:$AA$104</c:f>
              <c:numCache>
                <c:formatCode>General</c:formatCode>
                <c:ptCount val="17"/>
                <c:pt idx="0">
                  <c:v>0</c:v>
                </c:pt>
                <c:pt idx="1">
                  <c:v>0.95299999999999996</c:v>
                </c:pt>
                <c:pt idx="2">
                  <c:v>1.9059999999999999</c:v>
                </c:pt>
                <c:pt idx="3">
                  <c:v>2.8589999999999995</c:v>
                </c:pt>
                <c:pt idx="4">
                  <c:v>3.8119999999999998</c:v>
                </c:pt>
                <c:pt idx="5">
                  <c:v>4.7649999999999997</c:v>
                </c:pt>
                <c:pt idx="6">
                  <c:v>5.7179999999999991</c:v>
                </c:pt>
                <c:pt idx="7">
                  <c:v>6.6709999999999994</c:v>
                </c:pt>
                <c:pt idx="8">
                  <c:v>7.6239999999999997</c:v>
                </c:pt>
                <c:pt idx="9">
                  <c:v>8.577</c:v>
                </c:pt>
                <c:pt idx="10">
                  <c:v>9.5299999999999994</c:v>
                </c:pt>
                <c:pt idx="11">
                  <c:v>10.483000000000001</c:v>
                </c:pt>
                <c:pt idx="12">
                  <c:v>11.435999999999998</c:v>
                </c:pt>
                <c:pt idx="13">
                  <c:v>12.388999999999999</c:v>
                </c:pt>
                <c:pt idx="14">
                  <c:v>13.341999999999999</c:v>
                </c:pt>
                <c:pt idx="15">
                  <c:v>14.294999999999998</c:v>
                </c:pt>
                <c:pt idx="16">
                  <c:v>15.247999999999999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22-488C-A40C-9D2008708E2A}"/>
            </c:ext>
          </c:extLst>
        </c:ser>
        <c:ser>
          <c:idx val="3"/>
          <c:order val="3"/>
          <c:tx>
            <c:v>Soil 1 Kd max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72293438167236E-2"/>
                  <c:y val="-3.0999001352842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Printable!$Y$88:$Y$104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Printable!$AB$88:$AB$104</c:f>
              <c:numCache>
                <c:formatCode>General</c:formatCode>
                <c:ptCount val="17"/>
                <c:pt idx="0">
                  <c:v>0</c:v>
                </c:pt>
                <c:pt idx="1">
                  <c:v>8.2000000000000017E-2</c:v>
                </c:pt>
                <c:pt idx="2">
                  <c:v>0.16400000000000003</c:v>
                </c:pt>
                <c:pt idx="3">
                  <c:v>0.246</c:v>
                </c:pt>
                <c:pt idx="4">
                  <c:v>0.32800000000000007</c:v>
                </c:pt>
                <c:pt idx="5">
                  <c:v>0.41000000000000003</c:v>
                </c:pt>
                <c:pt idx="6">
                  <c:v>0.49199999999999999</c:v>
                </c:pt>
                <c:pt idx="7">
                  <c:v>0.57399999999999995</c:v>
                </c:pt>
                <c:pt idx="8">
                  <c:v>0.65600000000000014</c:v>
                </c:pt>
                <c:pt idx="9">
                  <c:v>0.7380000000000001</c:v>
                </c:pt>
                <c:pt idx="10">
                  <c:v>0.82000000000000006</c:v>
                </c:pt>
                <c:pt idx="11">
                  <c:v>0.90200000000000014</c:v>
                </c:pt>
                <c:pt idx="12">
                  <c:v>0.98399999999999999</c:v>
                </c:pt>
                <c:pt idx="13">
                  <c:v>1.0660000000000001</c:v>
                </c:pt>
                <c:pt idx="14">
                  <c:v>1.1479999999999999</c:v>
                </c:pt>
                <c:pt idx="15">
                  <c:v>1.23</c:v>
                </c:pt>
                <c:pt idx="16">
                  <c:v>1.3120000000000003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22-488C-A40C-9D2008708E2A}"/>
            </c:ext>
          </c:extLst>
        </c:ser>
        <c:ser>
          <c:idx val="4"/>
          <c:order val="4"/>
          <c:tx>
            <c:v>Soil 1 Kd mean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Printable!$Y$88:$Y$104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Printable!$Z$88:$Z$104</c:f>
              <c:numCache>
                <c:formatCode>General</c:formatCode>
                <c:ptCount val="17"/>
                <c:pt idx="0">
                  <c:v>0</c:v>
                </c:pt>
                <c:pt idx="1">
                  <c:v>0.28500000000000003</c:v>
                </c:pt>
                <c:pt idx="2">
                  <c:v>0.57000000000000006</c:v>
                </c:pt>
                <c:pt idx="3">
                  <c:v>0.85499999999999998</c:v>
                </c:pt>
                <c:pt idx="4">
                  <c:v>1.1400000000000001</c:v>
                </c:pt>
                <c:pt idx="5">
                  <c:v>1.425</c:v>
                </c:pt>
                <c:pt idx="6">
                  <c:v>1.71</c:v>
                </c:pt>
                <c:pt idx="7">
                  <c:v>1.9949999999999999</c:v>
                </c:pt>
                <c:pt idx="8">
                  <c:v>2.2800000000000002</c:v>
                </c:pt>
                <c:pt idx="9">
                  <c:v>2.5649999999999999</c:v>
                </c:pt>
                <c:pt idx="10">
                  <c:v>2.85</c:v>
                </c:pt>
                <c:pt idx="11">
                  <c:v>3.1350000000000002</c:v>
                </c:pt>
                <c:pt idx="12">
                  <c:v>3.42</c:v>
                </c:pt>
                <c:pt idx="13">
                  <c:v>3.7050000000000001</c:v>
                </c:pt>
                <c:pt idx="14">
                  <c:v>3.9899999999999998</c:v>
                </c:pt>
                <c:pt idx="15">
                  <c:v>4.2750000000000004</c:v>
                </c:pt>
                <c:pt idx="16">
                  <c:v>4.5600000000000005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22-488C-A40C-9D200870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aqueous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solid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6069737828309913"/>
          <c:y val="0.3512586128142392"/>
          <c:w val="0.21981964002843851"/>
          <c:h val="0.3581872737116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Ref. Mat. 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4"/>
            <c:dispRSqr val="1"/>
            <c:dispEq val="1"/>
            <c:trendlineLbl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(Raw_data!$W$68:$W$71,Raw_data!$W$83:$W$89)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  <c:pt idx="4">
                  <c:v>0.5</c:v>
                </c:pt>
                <c:pt idx="6">
                  <c:v>0.75</c:v>
                </c:pt>
                <c:pt idx="8">
                  <c:v>1</c:v>
                </c:pt>
                <c:pt idx="10">
                  <c:v>2.5</c:v>
                </c:pt>
              </c:numCache>
            </c:numRef>
          </c:xVal>
          <c:yVal>
            <c:numRef>
              <c:f>(Raw_data!$N$68:$N$71,Raw_data!$N$83:$N$89)</c:f>
              <c:numCache>
                <c:formatCode>General</c:formatCode>
                <c:ptCount val="11"/>
                <c:pt idx="0">
                  <c:v>2641400</c:v>
                </c:pt>
                <c:pt idx="1">
                  <c:v>4812094</c:v>
                </c:pt>
                <c:pt idx="2">
                  <c:v>4634306</c:v>
                </c:pt>
                <c:pt idx="3">
                  <c:v>16247860</c:v>
                </c:pt>
                <c:pt idx="4">
                  <c:v>2877610</c:v>
                </c:pt>
                <c:pt idx="5">
                  <c:v>2759505</c:v>
                </c:pt>
                <c:pt idx="6">
                  <c:v>5055982</c:v>
                </c:pt>
                <c:pt idx="7">
                  <c:v>4934038</c:v>
                </c:pt>
                <c:pt idx="8">
                  <c:v>5740431</c:v>
                </c:pt>
                <c:pt idx="9">
                  <c:v>5187368.5</c:v>
                </c:pt>
                <c:pt idx="10">
                  <c:v>15943987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B-41DB-B926-5A384E8B4856}"/>
            </c:ext>
          </c:extLst>
        </c:ser>
        <c:ser>
          <c:idx val="1"/>
          <c:order val="1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Raw_data!$W$68:$W$71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</c:numCache>
            </c:numRef>
          </c:xVal>
          <c:yVal>
            <c:numRef>
              <c:f>(Raw_data!$N$84,Raw_data!$N$86,Raw_data!$N$88,Raw_data!$N$90)</c:f>
              <c:numCache>
                <c:formatCode>General</c:formatCode>
                <c:ptCount val="4"/>
                <c:pt idx="0">
                  <c:v>2759505</c:v>
                </c:pt>
                <c:pt idx="1">
                  <c:v>4934038</c:v>
                </c:pt>
                <c:pt idx="2">
                  <c:v>5187368.5</c:v>
                </c:pt>
                <c:pt idx="3">
                  <c:v>16095923.5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B-405B-B706-420A666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1720"/>
        <c:axId val="645252536"/>
      </c:scatterChart>
      <c:valAx>
        <c:axId val="6452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2536"/>
        <c:crosses val="autoZero"/>
        <c:crossBetween val="midCat"/>
        <c:majorUnit val="0.5"/>
      </c:valAx>
      <c:valAx>
        <c:axId val="645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Int. Std. Blk. over</a:t>
            </a:r>
            <a:r>
              <a:rPr lang="en-US" baseline="0"/>
              <a:t> no. meas.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m/z=150 at 30.06.21 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(Raw_data!$A$56,Raw_data!$A$66,Raw_data!$A$72,Raw_data!$A$91)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</c:numRef>
          </c:xVal>
          <c:yVal>
            <c:numRef>
              <c:f>(Raw_data!$F$56,Raw_data!$F$66,Raw_data!$F$72,Raw_data!$F$91)</c:f>
              <c:numCache>
                <c:formatCode>General</c:formatCode>
                <c:ptCount val="4"/>
                <c:pt idx="0">
                  <c:v>760975</c:v>
                </c:pt>
                <c:pt idx="1">
                  <c:v>865614</c:v>
                </c:pt>
                <c:pt idx="2">
                  <c:v>978070</c:v>
                </c:pt>
                <c:pt idx="3">
                  <c:v>1536506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9-42F7-8692-C9DCAF0C9283}"/>
            </c:ext>
          </c:extLst>
        </c:ser>
        <c:ser>
          <c:idx val="2"/>
          <c:order val="2"/>
          <c:tx>
            <c:v>m/z=150 at 29.06.21 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(Raw_data!$A$25,Raw_data!$A$40,Raw_data!$A$49)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</c:numCache>
            </c:numRef>
          </c:xVal>
          <c:yVal>
            <c:numRef>
              <c:f>(Raw_data!$F$25,Raw_data!$F$40,Raw_data!$F$49)</c:f>
              <c:numCache>
                <c:formatCode>General</c:formatCode>
                <c:ptCount val="3"/>
                <c:pt idx="0">
                  <c:v>1209711</c:v>
                </c:pt>
                <c:pt idx="1">
                  <c:v>1177331</c:v>
                </c:pt>
                <c:pt idx="2">
                  <c:v>1561453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A9-42F7-8692-C9DCAF0C9283}"/>
            </c:ext>
          </c:extLst>
        </c:ser>
        <c:ser>
          <c:idx val="4"/>
          <c:order val="4"/>
          <c:tx>
            <c:v>m/z=95 at 29.06.21 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(Raw_data!$A$25,Raw_data!$A$40,Raw_data!$A$49)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</c:numCache>
            </c:numRef>
          </c:xVal>
          <c:yVal>
            <c:numRef>
              <c:f>(Raw_data!$D$25,Raw_data!$D$40,Raw_data!$D$49)</c:f>
              <c:numCache>
                <c:formatCode>General</c:formatCode>
                <c:ptCount val="3"/>
                <c:pt idx="0">
                  <c:v>1966146</c:v>
                </c:pt>
                <c:pt idx="1">
                  <c:v>2028556</c:v>
                </c:pt>
                <c:pt idx="2">
                  <c:v>1997553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A9-42F7-8692-C9DCAF0C9283}"/>
            </c:ext>
          </c:extLst>
        </c:ser>
        <c:ser>
          <c:idx val="5"/>
          <c:order val="5"/>
          <c:tx>
            <c:v>m/z=95 at 30.06.21 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(Raw_data!$A$56,Raw_data!$A$66,Raw_data!$A$72,Raw_data!$A$91)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</c:numRef>
          </c:xVal>
          <c:yVal>
            <c:numRef>
              <c:f>(Raw_data!$D$56,Raw_data!$D$66,Raw_data!$D$72,Raw_data!$D$91)</c:f>
              <c:numCache>
                <c:formatCode>General</c:formatCode>
                <c:ptCount val="4"/>
                <c:pt idx="0">
                  <c:v>1450137</c:v>
                </c:pt>
                <c:pt idx="1">
                  <c:v>1587481</c:v>
                </c:pt>
                <c:pt idx="2">
                  <c:v>1624482</c:v>
                </c:pt>
                <c:pt idx="3">
                  <c:v>1424118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A9-42F7-8692-C9DCAF0C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1040"/>
        <c:axId val="428567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m/z=152 at 30.06.21 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(Raw_data!$A$56,Raw_data!$A$66,Raw_data!$A$72,Raw_data!$A$91)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9</c:v>
                      </c:pt>
                      <c:pt idx="2">
                        <c:v>14</c:v>
                      </c:pt>
                      <c:pt idx="3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(Raw_data!$H$56,Raw_data!$H$66,Raw_data!$H$72,Raw_data!$H$91)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491263</c:v>
                      </c:pt>
                      <c:pt idx="1">
                        <c:v>559399</c:v>
                      </c:pt>
                      <c:pt idx="2">
                        <c:v>629868</c:v>
                      </c:pt>
                      <c:pt idx="3">
                        <c:v>992276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A9-42F7-8692-C9DCAF0C92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m/z=152 at 29.06.21 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(Raw_data!$A$25,Raw_data!$A$40,Raw_data!$A$49)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27</c:v>
                      </c:pt>
                      <c:pt idx="2">
                        <c:v>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(Raw_data!$H$25,Raw_data!$H$40,Raw_data!$H$49)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774627</c:v>
                      </c:pt>
                      <c:pt idx="1">
                        <c:v>757337</c:v>
                      </c:pt>
                      <c:pt idx="2">
                        <c:v>1003673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A9-42F7-8692-C9DCAF0C9283}"/>
                  </c:ext>
                </c:extLst>
              </c15:ser>
            </c15:filteredScatterSeries>
          </c:ext>
        </c:extLst>
      </c:scatterChart>
      <c:valAx>
        <c:axId val="4285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7272"/>
        <c:crosses val="autoZero"/>
        <c:crossBetween val="midCat"/>
      </c:valAx>
      <c:valAx>
        <c:axId val="4285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Int-</a:t>
            </a:r>
            <a:r>
              <a:rPr lang="en-US" baseline="0"/>
              <a:t>Std Blks and C_Stds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m/z=150 at 30.06.21 Blks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(Raw_data!$A$56,Raw_data!$A$66,Raw_data!$A$72,Raw_data!$A$91)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</c:numRef>
          </c:xVal>
          <c:yVal>
            <c:numRef>
              <c:f>(Raw_data!$F$56,Raw_data!$F$66,Raw_data!$F$72,Raw_data!$F$91)</c:f>
              <c:numCache>
                <c:formatCode>General</c:formatCode>
                <c:ptCount val="4"/>
                <c:pt idx="0">
                  <c:v>760975</c:v>
                </c:pt>
                <c:pt idx="1">
                  <c:v>865614</c:v>
                </c:pt>
                <c:pt idx="2">
                  <c:v>978070</c:v>
                </c:pt>
                <c:pt idx="3">
                  <c:v>1536506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C-4B9F-8D98-BE20BD6F6D10}"/>
            </c:ext>
          </c:extLst>
        </c:ser>
        <c:ser>
          <c:idx val="5"/>
          <c:order val="1"/>
          <c:tx>
            <c:v>m/z=95 at 30.06.21 Blk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(Raw_data!$A$56,Raw_data!$A$66,Raw_data!$A$72,Raw_data!$A$91)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</c:numCache>
            </c:numRef>
          </c:xVal>
          <c:yVal>
            <c:numRef>
              <c:f>(Raw_data!$D$56,Raw_data!$D$66,Raw_data!$D$72,Raw_data!$D$91)</c:f>
              <c:numCache>
                <c:formatCode>General</c:formatCode>
                <c:ptCount val="4"/>
                <c:pt idx="0">
                  <c:v>1450137</c:v>
                </c:pt>
                <c:pt idx="1">
                  <c:v>1587481</c:v>
                </c:pt>
                <c:pt idx="2">
                  <c:v>1624482</c:v>
                </c:pt>
                <c:pt idx="3">
                  <c:v>1424118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4C-4B9F-8D98-BE20BD6F6D10}"/>
            </c:ext>
          </c:extLst>
        </c:ser>
        <c:ser>
          <c:idx val="2"/>
          <c:order val="3"/>
          <c:tx>
            <c:v>m/z=150 at 29.06.21 Blk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(Raw_data!$A$25,Raw_data!$A$40,Raw_data!$A$49)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</c:numCache>
              <c:extLst xmlns:c15="http://schemas.microsoft.com/office/drawing/2012/chart"/>
            </c:numRef>
          </c:xVal>
          <c:yVal>
            <c:numRef>
              <c:f>(Raw_data!$F$25,Raw_data!$F$40,Raw_data!$F$49)</c:f>
              <c:numCache>
                <c:formatCode>General</c:formatCode>
                <c:ptCount val="3"/>
                <c:pt idx="0">
                  <c:v>1209711</c:v>
                </c:pt>
                <c:pt idx="1">
                  <c:v>1177331</c:v>
                </c:pt>
                <c:pt idx="2">
                  <c:v>1561453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D4C-4B9F-8D98-BE20BD6F6D10}"/>
            </c:ext>
          </c:extLst>
        </c:ser>
        <c:ser>
          <c:idx val="4"/>
          <c:order val="5"/>
          <c:tx>
            <c:v>m/z=95 at 29.06.21 Blk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(Raw_data!$A$25,Raw_data!$A$40,Raw_data!$A$49)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</c:numCache>
              <c:extLst xmlns:c15="http://schemas.microsoft.com/office/drawing/2012/chart"/>
            </c:numRef>
          </c:xVal>
          <c:yVal>
            <c:numRef>
              <c:f>(Raw_data!$D$25,Raw_data!$D$40,Raw_data!$D$49)</c:f>
              <c:numCache>
                <c:formatCode>General</c:formatCode>
                <c:ptCount val="3"/>
                <c:pt idx="0">
                  <c:v>1966146</c:v>
                </c:pt>
                <c:pt idx="1">
                  <c:v>2028556</c:v>
                </c:pt>
                <c:pt idx="2">
                  <c:v>1997553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D4C-4B9F-8D98-BE20BD6F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1040"/>
        <c:axId val="428567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m/z=152 at 30.06.21 Blk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(Raw_data!$A$56,Raw_data!$A$66,Raw_data!$A$72,Raw_data!$A$91)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9</c:v>
                      </c:pt>
                      <c:pt idx="2">
                        <c:v>14</c:v>
                      </c:pt>
                      <c:pt idx="3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(Raw_data!$H$56,Raw_data!$H$66,Raw_data!$H$72,Raw_data!$H$91)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491263</c:v>
                      </c:pt>
                      <c:pt idx="1">
                        <c:v>559399</c:v>
                      </c:pt>
                      <c:pt idx="2">
                        <c:v>629868</c:v>
                      </c:pt>
                      <c:pt idx="3">
                        <c:v>992276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D4C-4B9F-8D98-BE20BD6F6D10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m/z=152 at 29.06.21 Blk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(Raw_data!$A$25,Raw_data!$A$40,Raw_data!$A$49)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27</c:v>
                      </c:pt>
                      <c:pt idx="2">
                        <c:v>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(Raw_data!$H$25,Raw_data!$H$40,Raw_data!$H$49)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774627</c:v>
                      </c:pt>
                      <c:pt idx="1">
                        <c:v>757337</c:v>
                      </c:pt>
                      <c:pt idx="2">
                        <c:v>1003673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D4C-4B9F-8D98-BE20BD6F6D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m/z=150 at 30.06.21 C_Stds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Raw_data!$A$57:$A$61</c15:sqref>
                        </c15:formulaRef>
                      </c:ext>
                    </c:extLst>
                    <c:strCach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Mean</c:v>
                      </c:pt>
                      <c:pt idx="3">
                        <c:v>5</c:v>
                      </c:pt>
                      <c:pt idx="4">
                        <c:v>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Raw_data!$F$57:$F$61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1216684</c:v>
                      </c:pt>
                      <c:pt idx="1">
                        <c:v>2470434</c:v>
                      </c:pt>
                      <c:pt idx="3">
                        <c:v>1189937</c:v>
                      </c:pt>
                      <c:pt idx="4">
                        <c:v>614429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4C-4B9F-8D98-BE20BD6F6D1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m/z=95 at 30.06.21 C_Std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Raw_data!$A$57:$A$61</c15:sqref>
                        </c15:formulaRef>
                      </c:ext>
                    </c:extLst>
                    <c:strCach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Mean</c:v>
                      </c:pt>
                      <c:pt idx="3">
                        <c:v>5</c:v>
                      </c:pt>
                      <c:pt idx="4">
                        <c:v>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Raw_data!$D$57:$D$61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1484318</c:v>
                      </c:pt>
                      <c:pt idx="1">
                        <c:v>1562722</c:v>
                      </c:pt>
                      <c:pt idx="3">
                        <c:v>1258427</c:v>
                      </c:pt>
                      <c:pt idx="4">
                        <c:v>1308910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4C-4B9F-8D98-BE20BD6F6D1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m/z=150 at 29.06.21 C_Std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(Raw_data!$A$16:$A$17,Raw_data!$A$24,Raw_data!$A$38)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9</c:v>
                      </c:pt>
                      <c:pt idx="2">
                        <c:v>14</c:v>
                      </c:pt>
                      <c:pt idx="3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(Raw_data!$F$16:$F$17,Raw_data!$F$24,Raw_data!$F$38)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2527967</c:v>
                      </c:pt>
                      <c:pt idx="1">
                        <c:v>2869619</c:v>
                      </c:pt>
                      <c:pt idx="2">
                        <c:v>1071588</c:v>
                      </c:pt>
                      <c:pt idx="3">
                        <c:v>1683568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D4C-4B9F-8D98-BE20BD6F6D1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m/z=95 at 29.06.21 C_Stds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(Raw_data!$A$16:$A$17,Raw_data!$A$24,Raw_data!$A$38)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9</c:v>
                      </c:pt>
                      <c:pt idx="2">
                        <c:v>14</c:v>
                      </c:pt>
                      <c:pt idx="3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(Raw_data!$D$16:$D$17,Raw_data!$D$24,Raw_data!$D$38)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2427810</c:v>
                      </c:pt>
                      <c:pt idx="1">
                        <c:v>2553637</c:v>
                      </c:pt>
                      <c:pt idx="2">
                        <c:v>2383223</c:v>
                      </c:pt>
                      <c:pt idx="3">
                        <c:v>2136728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4C-4B9F-8D98-BE20BD6F6D10}"/>
                  </c:ext>
                </c:extLst>
              </c15:ser>
            </c15:filteredScatterSeries>
          </c:ext>
        </c:extLst>
      </c:scatterChart>
      <c:valAx>
        <c:axId val="4285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7272"/>
        <c:crosses val="autoZero"/>
        <c:crossBetween val="midCat"/>
      </c:valAx>
      <c:valAx>
        <c:axId val="4285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Gas Conc [ppm] 29.06.21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61614173228346"/>
                  <c:y val="-4.1666666666666669E-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Processing_final!$U$8:$U$20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1.6481836253369277E-2</c:v>
                </c:pt>
                <c:pt idx="6">
                  <c:v>8.2409181266846418E-2</c:v>
                </c:pt>
                <c:pt idx="7">
                  <c:v>8.2409181266846418E-2</c:v>
                </c:pt>
                <c:pt idx="8">
                  <c:v>0.16481836253369284</c:v>
                </c:pt>
                <c:pt idx="9">
                  <c:v>0</c:v>
                </c:pt>
                <c:pt idx="10">
                  <c:v>0.16481836253369284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Processing_final!$N$8:$N$20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17839</c:v>
                </c:pt>
                <c:pt idx="3">
                  <c:v>23708</c:v>
                </c:pt>
                <c:pt idx="4">
                  <c:v>117246</c:v>
                </c:pt>
                <c:pt idx="5">
                  <c:v>126832</c:v>
                </c:pt>
                <c:pt idx="6">
                  <c:v>642364</c:v>
                </c:pt>
                <c:pt idx="7">
                  <c:v>701924</c:v>
                </c:pt>
                <c:pt idx="8">
                  <c:v>1489336</c:v>
                </c:pt>
                <c:pt idx="9">
                  <c:v>0</c:v>
                </c:pt>
                <c:pt idx="10">
                  <c:v>1375628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C-48DD-B946-4A85E885FEAF}"/>
            </c:ext>
          </c:extLst>
        </c:ser>
        <c:ser>
          <c:idx val="1"/>
          <c:order val="1"/>
          <c:tx>
            <c:v>SIM_166_all_drift_correct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8427875263315E-2"/>
                  <c:y val="0.2375357247010790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Processing_final!$U$8:$U$20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1.6481836253369277E-2</c:v>
                </c:pt>
                <c:pt idx="6">
                  <c:v>8.2409181266846418E-2</c:v>
                </c:pt>
                <c:pt idx="7">
                  <c:v>8.2409181266846418E-2</c:v>
                </c:pt>
                <c:pt idx="8">
                  <c:v>0.16481836253369284</c:v>
                </c:pt>
                <c:pt idx="9">
                  <c:v>0</c:v>
                </c:pt>
                <c:pt idx="10">
                  <c:v>0.16481836253369284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Processing_final!$O$8:$O$20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16646.428216233016</c:v>
                </c:pt>
                <c:pt idx="3">
                  <c:v>21759.409479581649</c:v>
                </c:pt>
                <c:pt idx="4">
                  <c:v>105869.09983857333</c:v>
                </c:pt>
                <c:pt idx="5">
                  <c:v>112702.26085137577</c:v>
                </c:pt>
                <c:pt idx="6">
                  <c:v>561859.33228137111</c:v>
                </c:pt>
                <c:pt idx="7">
                  <c:v>604485.25198836229</c:v>
                </c:pt>
                <c:pt idx="8">
                  <c:v>1190759.5307856475</c:v>
                </c:pt>
                <c:pt idx="9">
                  <c:v>0</c:v>
                </c:pt>
                <c:pt idx="10">
                  <c:v>938566.96613179485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D-444F-85BC-1F7CA575B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33816"/>
        <c:axId val="499431192"/>
      </c:scatterChart>
      <c:valAx>
        <c:axId val="4994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1192"/>
        <c:crosses val="autoZero"/>
        <c:crossBetween val="midCat"/>
      </c:valAx>
      <c:valAx>
        <c:axId val="499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Gas Conc [ppm] 30.06.21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61614173228346"/>
                  <c:y val="-4.1666666666666669E-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Processing_final!$U$22:$U$31</c:f>
              <c:numCache>
                <c:formatCode>General</c:formatCode>
                <c:ptCount val="10"/>
                <c:pt idx="0">
                  <c:v>0</c:v>
                </c:pt>
                <c:pt idx="1">
                  <c:v>8.2409181266846418E-2</c:v>
                </c:pt>
                <c:pt idx="2">
                  <c:v>8.2409181266846418E-2</c:v>
                </c:pt>
                <c:pt idx="3">
                  <c:v>0.16481836253369284</c:v>
                </c:pt>
                <c:pt idx="4">
                  <c:v>0.16481836253369284</c:v>
                </c:pt>
                <c:pt idx="5">
                  <c:v>0.82409181266846399</c:v>
                </c:pt>
                <c:pt idx="6">
                  <c:v>0.82409181266846399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Processing_final!$N$22:$N$31</c:f>
              <c:numCache>
                <c:formatCode>General</c:formatCode>
                <c:ptCount val="10"/>
                <c:pt idx="0">
                  <c:v>0</c:v>
                </c:pt>
                <c:pt idx="1">
                  <c:v>489365</c:v>
                </c:pt>
                <c:pt idx="2">
                  <c:v>530405</c:v>
                </c:pt>
                <c:pt idx="3">
                  <c:v>998863</c:v>
                </c:pt>
                <c:pt idx="4">
                  <c:v>834812</c:v>
                </c:pt>
                <c:pt idx="5">
                  <c:v>4686871</c:v>
                </c:pt>
                <c:pt idx="6">
                  <c:v>5061150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9-4ABF-A539-0612EB1E3556}"/>
            </c:ext>
          </c:extLst>
        </c:ser>
        <c:ser>
          <c:idx val="1"/>
          <c:order val="1"/>
          <c:tx>
            <c:v>SIM_166_all_drift_correct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48675196534398E-2"/>
                  <c:y val="0.2604947387923284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Processing_final!$U$22:$U$31</c:f>
              <c:numCache>
                <c:formatCode>General</c:formatCode>
                <c:ptCount val="10"/>
                <c:pt idx="0">
                  <c:v>0</c:v>
                </c:pt>
                <c:pt idx="1">
                  <c:v>8.2409181266846418E-2</c:v>
                </c:pt>
                <c:pt idx="2">
                  <c:v>8.2409181266846418E-2</c:v>
                </c:pt>
                <c:pt idx="3">
                  <c:v>0.16481836253369284</c:v>
                </c:pt>
                <c:pt idx="4">
                  <c:v>0.16481836253369284</c:v>
                </c:pt>
                <c:pt idx="5">
                  <c:v>0.82409181266846399</c:v>
                </c:pt>
                <c:pt idx="6">
                  <c:v>0.82409181266846399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Processing_final!$O$22:$O$31</c:f>
              <c:numCache>
                <c:formatCode>General</c:formatCode>
                <c:ptCount val="10"/>
                <c:pt idx="0">
                  <c:v>0</c:v>
                </c:pt>
                <c:pt idx="1">
                  <c:v>418221.74183915654</c:v>
                </c:pt>
                <c:pt idx="2">
                  <c:v>432344.18415232364</c:v>
                </c:pt>
                <c:pt idx="3">
                  <c:v>778224.69921202934</c:v>
                </c:pt>
                <c:pt idx="4">
                  <c:v>622892.74718953692</c:v>
                </c:pt>
                <c:pt idx="5">
                  <c:v>3355144.2433267804</c:v>
                </c:pt>
                <c:pt idx="6">
                  <c:v>3481746.6796839833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9-4691-B2C8-6F4FEB3C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33816"/>
        <c:axId val="499431192"/>
      </c:scatterChart>
      <c:valAx>
        <c:axId val="4994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1192"/>
        <c:crosses val="autoZero"/>
        <c:crossBetween val="midCat"/>
      </c:valAx>
      <c:valAx>
        <c:axId val="499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Correlation</a:t>
            </a:r>
          </a:p>
          <a:p>
            <a:pPr>
              <a:defRPr/>
            </a:pPr>
            <a:r>
              <a:rPr lang="en-US" sz="1200"/>
              <a:t>Kd</a:t>
            </a:r>
            <a:r>
              <a:rPr lang="en-US" sz="1200" baseline="0"/>
              <a:t> with init. PCE-conc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(Processing_final!$AD$12:$AD$27,Processing_final!$AD$30:$AD$35)</c:f>
              <c:numCache>
                <c:formatCode>General</c:formatCode>
                <c:ptCount val="2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xVal>
          <c:yVal>
            <c:numRef>
              <c:f>(Processing_final!$AL$12:$AL$27,Processing_final!$AL$30:$AL$35)</c:f>
              <c:numCache>
                <c:formatCode>General</c:formatCode>
                <c:ptCount val="22"/>
                <c:pt idx="0">
                  <c:v>6.2668233714617738</c:v>
                </c:pt>
                <c:pt idx="1">
                  <c:v>1.932917788108083</c:v>
                </c:pt>
                <c:pt idx="2">
                  <c:v>6.0381720674826322</c:v>
                </c:pt>
                <c:pt idx="3">
                  <c:v>4.770165894220078</c:v>
                </c:pt>
                <c:pt idx="4">
                  <c:v>4.8624301354625672</c:v>
                </c:pt>
                <c:pt idx="5">
                  <c:v>5.469907783825513</c:v>
                </c:pt>
                <c:pt idx="6">
                  <c:v>6.4238750657594101</c:v>
                </c:pt>
                <c:pt idx="7">
                  <c:v>4.6905504469872739</c:v>
                </c:pt>
                <c:pt idx="8">
                  <c:v>8.0740356215580977</c:v>
                </c:pt>
                <c:pt idx="9">
                  <c:v>6.5659108455242601</c:v>
                </c:pt>
                <c:pt idx="10">
                  <c:v>6.2393286375821031</c:v>
                </c:pt>
                <c:pt idx="11">
                  <c:v>6.3161149454780183</c:v>
                </c:pt>
                <c:pt idx="12">
                  <c:v>6.9350523245224727</c:v>
                </c:pt>
                <c:pt idx="13">
                  <c:v>8.0772872162904239</c:v>
                </c:pt>
                <c:pt idx="14">
                  <c:v>5.7550746386740714</c:v>
                </c:pt>
                <c:pt idx="15">
                  <c:v>5.4993975200343046</c:v>
                </c:pt>
                <c:pt idx="16">
                  <c:v>5.768614397269582</c:v>
                </c:pt>
                <c:pt idx="17">
                  <c:v>4.7976745305460957</c:v>
                </c:pt>
                <c:pt idx="18">
                  <c:v>6.2286921577976759</c:v>
                </c:pt>
                <c:pt idx="19">
                  <c:v>6.9503246495022113</c:v>
                </c:pt>
                <c:pt idx="20">
                  <c:v>4.7539028238838412</c:v>
                </c:pt>
                <c:pt idx="21">
                  <c:v>4.8926799215893899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7-4C51-A52F-EEBBF6F6EE2B}"/>
            </c:ext>
          </c:extLst>
        </c:ser>
        <c:ser>
          <c:idx val="1"/>
          <c:order val="1"/>
          <c:tx>
            <c:v>Blk Corr &amp; Drift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(Processing_final!$AD$12:$AD$27,Processing_final!$AD$30:$AD$35)</c:f>
              <c:numCache>
                <c:formatCode>General</c:formatCode>
                <c:ptCount val="2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xVal>
          <c:yVal>
            <c:numRef>
              <c:f>(Processing_final!$AX$12:$AX$27,Processing_final!$AX$30:$AX$35)</c:f>
              <c:numCache>
                <c:formatCode>General</c:formatCode>
                <c:ptCount val="22"/>
                <c:pt idx="0">
                  <c:v>7.6062072404753076</c:v>
                </c:pt>
                <c:pt idx="1">
                  <c:v>2.3317160634236975</c:v>
                </c:pt>
                <c:pt idx="2">
                  <c:v>7.5941730572357882</c:v>
                </c:pt>
                <c:pt idx="3">
                  <c:v>6.0418893162058529</c:v>
                </c:pt>
                <c:pt idx="4">
                  <c:v>5.4636648873991094</c:v>
                </c:pt>
                <c:pt idx="5">
                  <c:v>6.2701930361796769</c:v>
                </c:pt>
                <c:pt idx="6">
                  <c:v>7.500926094018058</c:v>
                </c:pt>
                <c:pt idx="7">
                  <c:v>5.6163384746746106</c:v>
                </c:pt>
                <c:pt idx="8">
                  <c:v>9.4624608389450735</c:v>
                </c:pt>
                <c:pt idx="9">
                  <c:v>7.8637299391576567</c:v>
                </c:pt>
                <c:pt idx="10">
                  <c:v>7.8901234503351052</c:v>
                </c:pt>
                <c:pt idx="11">
                  <c:v>8.118632241675904</c:v>
                </c:pt>
                <c:pt idx="12">
                  <c:v>8.8321259848002303</c:v>
                </c:pt>
                <c:pt idx="13">
                  <c:v>10.362895150196955</c:v>
                </c:pt>
                <c:pt idx="14">
                  <c:v>7.673977289579244</c:v>
                </c:pt>
                <c:pt idx="15">
                  <c:v>7.4850300613875529</c:v>
                </c:pt>
                <c:pt idx="16">
                  <c:v>9.3797701606710753</c:v>
                </c:pt>
                <c:pt idx="17">
                  <c:v>8.3131469798413882</c:v>
                </c:pt>
                <c:pt idx="18">
                  <c:v>10.375372517000319</c:v>
                </c:pt>
                <c:pt idx="19">
                  <c:v>11.898275768526842</c:v>
                </c:pt>
                <c:pt idx="20">
                  <c:v>8.9003662233622176</c:v>
                </c:pt>
                <c:pt idx="21">
                  <c:v>9.472883610294982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5-40D6-A8FB-B55717BA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6944"/>
        <c:axId val="499459072"/>
      </c:scatterChart>
      <c:valAx>
        <c:axId val="4994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9072"/>
        <c:crosses val="autoZero"/>
        <c:crossBetween val="midCat"/>
      </c:valAx>
      <c:valAx>
        <c:axId val="499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  <a:r>
                  <a:rPr lang="en-US" baseline="0"/>
                  <a:t> [L/kg]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530677</xdr:colOff>
      <xdr:row>0</xdr:row>
      <xdr:rowOff>40823</xdr:rowOff>
    </xdr:from>
    <xdr:to>
      <xdr:col>38</xdr:col>
      <xdr:colOff>680356</xdr:colOff>
      <xdr:row>28</xdr:row>
      <xdr:rowOff>149678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F151B4-D951-4C32-88E0-53A9EC553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27214</xdr:colOff>
      <xdr:row>28</xdr:row>
      <xdr:rowOff>176892</xdr:rowOff>
    </xdr:from>
    <xdr:to>
      <xdr:col>39</xdr:col>
      <xdr:colOff>108857</xdr:colOff>
      <xdr:row>47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25236B-1E3B-4F84-952A-CDF77A27E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39</xdr:col>
      <xdr:colOff>149679</xdr:colOff>
      <xdr:row>88</xdr:row>
      <xdr:rowOff>160810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F79CA-981E-48EA-B5B5-987C0BB3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34016</xdr:colOff>
      <xdr:row>90</xdr:row>
      <xdr:rowOff>84364</xdr:rowOff>
    </xdr:from>
    <xdr:to>
      <xdr:col>39</xdr:col>
      <xdr:colOff>95249</xdr:colOff>
      <xdr:row>107</xdr:row>
      <xdr:rowOff>136071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001B6C-92E8-4D6F-B240-65298AF9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487053</xdr:colOff>
      <xdr:row>92</xdr:row>
      <xdr:rowOff>108377</xdr:rowOff>
    </xdr:from>
    <xdr:to>
      <xdr:col>10</xdr:col>
      <xdr:colOff>974912</xdr:colOff>
      <xdr:row>117</xdr:row>
      <xdr:rowOff>56028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A0BABE-268C-4987-A966-2E4EDC386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470645</xdr:colOff>
      <xdr:row>92</xdr:row>
      <xdr:rowOff>33617</xdr:rowOff>
    </xdr:from>
    <xdr:to>
      <xdr:col>23</xdr:col>
      <xdr:colOff>156882</xdr:colOff>
      <xdr:row>123</xdr:row>
      <xdr:rowOff>22412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1E71DB6-76D5-4A49-989B-576BD07D9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39</xdr:row>
      <xdr:rowOff>0</xdr:rowOff>
    </xdr:from>
    <xdr:to>
      <xdr:col>26</xdr:col>
      <xdr:colOff>1251057</xdr:colOff>
      <xdr:row>53</xdr:row>
      <xdr:rowOff>76200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99AECAB3-86DE-43D6-B5CF-6544637E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1864179</xdr:colOff>
      <xdr:row>39</xdr:row>
      <xdr:rowOff>54429</xdr:rowOff>
    </xdr:from>
    <xdr:to>
      <xdr:col>32</xdr:col>
      <xdr:colOff>0</xdr:colOff>
      <xdr:row>53</xdr:row>
      <xdr:rowOff>16008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A9D31C7F-DA2B-4536-944D-0BEE4A6A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734786</xdr:colOff>
      <xdr:row>41</xdr:row>
      <xdr:rowOff>81643</xdr:rowOff>
    </xdr:from>
    <xdr:to>
      <xdr:col>37</xdr:col>
      <xdr:colOff>408215</xdr:colOff>
      <xdr:row>56</xdr:row>
      <xdr:rowOff>40181</xdr:rowOff>
    </xdr:to>
    <xdr:graphicFrame macro="">
      <xdr:nvGraphicFramePr>
        <xdr:cNvPr id="54" name="Diagramm 53">
          <a:extLst>
            <a:ext uri="{FF2B5EF4-FFF2-40B4-BE49-F238E27FC236}">
              <a16:creationId xmlns:a16="http://schemas.microsoft.com/office/drawing/2014/main" id="{48BAC4C3-87E2-4680-9B91-7A780DB78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26</xdr:col>
      <xdr:colOff>1251057</xdr:colOff>
      <xdr:row>68</xdr:row>
      <xdr:rowOff>76200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1BDD2CA-737D-4780-B5B5-E58D33DEE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563338</xdr:colOff>
      <xdr:row>44</xdr:row>
      <xdr:rowOff>95250</xdr:rowOff>
    </xdr:from>
    <xdr:to>
      <xdr:col>21</xdr:col>
      <xdr:colOff>0</xdr:colOff>
      <xdr:row>61</xdr:row>
      <xdr:rowOff>54430</xdr:rowOff>
    </xdr:to>
    <xdr:graphicFrame macro="">
      <xdr:nvGraphicFramePr>
        <xdr:cNvPr id="58" name="Diagramm 57">
          <a:extLst>
            <a:ext uri="{FF2B5EF4-FFF2-40B4-BE49-F238E27FC236}">
              <a16:creationId xmlns:a16="http://schemas.microsoft.com/office/drawing/2014/main" id="{2A350DFC-C386-4AE1-9582-0B9F79713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3</xdr:row>
      <xdr:rowOff>0</xdr:rowOff>
    </xdr:from>
    <xdr:to>
      <xdr:col>59</xdr:col>
      <xdr:colOff>449036</xdr:colOff>
      <xdr:row>24</xdr:row>
      <xdr:rowOff>163286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C32215C-A28E-47DC-AB8C-2E611A60D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54</xdr:row>
      <xdr:rowOff>190499</xdr:rowOff>
    </xdr:from>
    <xdr:to>
      <xdr:col>10</xdr:col>
      <xdr:colOff>750794</xdr:colOff>
      <xdr:row>65</xdr:row>
      <xdr:rowOff>100852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10AD9A2-1C02-4C70-8FDB-32F6B5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918883</xdr:colOff>
      <xdr:row>55</xdr:row>
      <xdr:rowOff>0</xdr:rowOff>
    </xdr:from>
    <xdr:to>
      <xdr:col>15</xdr:col>
      <xdr:colOff>627530</xdr:colOff>
      <xdr:row>65</xdr:row>
      <xdr:rowOff>100853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516CEF9-E892-47DF-BC55-C3AA3185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55</xdr:row>
      <xdr:rowOff>0</xdr:rowOff>
    </xdr:from>
    <xdr:to>
      <xdr:col>20</xdr:col>
      <xdr:colOff>728382</xdr:colOff>
      <xdr:row>65</xdr:row>
      <xdr:rowOff>134471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A219ED5-F1D9-4A70-BC71-ECFF6D43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66</xdr:row>
      <xdr:rowOff>57150</xdr:rowOff>
    </xdr:from>
    <xdr:to>
      <xdr:col>10</xdr:col>
      <xdr:colOff>704850</xdr:colOff>
      <xdr:row>79</xdr:row>
      <xdr:rowOff>70757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73FC4E83-ED63-48DF-B95D-1B4D3A38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585507</xdr:colOff>
      <xdr:row>66</xdr:row>
      <xdr:rowOff>171450</xdr:rowOff>
    </xdr:from>
    <xdr:to>
      <xdr:col>15</xdr:col>
      <xdr:colOff>923925</xdr:colOff>
      <xdr:row>80</xdr:row>
      <xdr:rowOff>35379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A3D874E-3D6B-4C23-AB5F-34CD94A7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21</xdr:col>
      <xdr:colOff>283509</xdr:colOff>
      <xdr:row>77</xdr:row>
      <xdr:rowOff>100853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1EECEF12-E6B6-460A-A3D0-01FEC22E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11</xdr:col>
      <xdr:colOff>147918</xdr:colOff>
      <xdr:row>93</xdr:row>
      <xdr:rowOff>71437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47A2AC3-B1FD-4033-89DD-2AC4A5BD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600314</xdr:colOff>
      <xdr:row>0</xdr:row>
      <xdr:rowOff>0</xdr:rowOff>
    </xdr:from>
    <xdr:to>
      <xdr:col>27</xdr:col>
      <xdr:colOff>326572</xdr:colOff>
      <xdr:row>18</xdr:row>
      <xdr:rowOff>96052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FBC89563-54C2-4F6F-8599-11BF47F41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361790</xdr:colOff>
      <xdr:row>0</xdr:row>
      <xdr:rowOff>0</xdr:rowOff>
    </xdr:from>
    <xdr:to>
      <xdr:col>35</xdr:col>
      <xdr:colOff>405013</xdr:colOff>
      <xdr:row>18</xdr:row>
      <xdr:rowOff>78441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F69B045E-2F86-45A2-88E1-8B027844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</xdr:rowOff>
    </xdr:from>
    <xdr:to>
      <xdr:col>17</xdr:col>
      <xdr:colOff>647701</xdr:colOff>
      <xdr:row>21</xdr:row>
      <xdr:rowOff>171451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DB9DA-01F0-4934-82D0-ACAD7E163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34</xdr:col>
      <xdr:colOff>0</xdr:colOff>
      <xdr:row>22</xdr:row>
      <xdr:rowOff>11206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AD6F5C2-7E6D-43FB-AFFF-B05888BE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44</xdr:col>
      <xdr:colOff>0</xdr:colOff>
      <xdr:row>22</xdr:row>
      <xdr:rowOff>11206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3154332-0E5E-465A-9B18-7E1B4801E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0</xdr:colOff>
      <xdr:row>49</xdr:row>
      <xdr:rowOff>22412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B5ABBF0B-3131-45A0-83D4-35F3C8E0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34</xdr:col>
      <xdr:colOff>0</xdr:colOff>
      <xdr:row>49</xdr:row>
      <xdr:rowOff>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9FEBAD5D-188D-4A63-9886-1584B351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34</xdr:col>
      <xdr:colOff>103910</xdr:colOff>
      <xdr:row>72</xdr:row>
      <xdr:rowOff>138545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D02ED3A1-F34F-40BE-A1BA-3F2B4D36E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103910</xdr:colOff>
      <xdr:row>50</xdr:row>
      <xdr:rowOff>0</xdr:rowOff>
    </xdr:from>
    <xdr:to>
      <xdr:col>45</xdr:col>
      <xdr:colOff>206790</xdr:colOff>
      <xdr:row>72</xdr:row>
      <xdr:rowOff>138545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50ABA8F3-9D8D-496D-A374-D66D851C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19</xdr:col>
      <xdr:colOff>235324</xdr:colOff>
      <xdr:row>104</xdr:row>
      <xdr:rowOff>156882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790B69C5-0A4F-4EA5-8C27-2A4E7DAFC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19</xdr:col>
      <xdr:colOff>235324</xdr:colOff>
      <xdr:row>129</xdr:row>
      <xdr:rowOff>156882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6D38135E-48F2-49C3-AB82-0179955E0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9C49-4C11-4698-A19E-EB41911A8EE6}">
  <dimension ref="A1:AO99"/>
  <sheetViews>
    <sheetView topLeftCell="A43" zoomScale="70" zoomScaleNormal="70" workbookViewId="0">
      <selection activeCell="H91" activeCellId="11" sqref="H55:H58 H60:H61 H63:H64 H66 H68:H72 H74:H75 H77:H80 H83 H85 H87 H89 H91"/>
    </sheetView>
  </sheetViews>
  <sheetFormatPr baseColWidth="10" defaultRowHeight="15" x14ac:dyDescent="0.25"/>
  <cols>
    <col min="2" max="2" width="32.140625" bestFit="1" customWidth="1"/>
    <col min="6" max="6" width="12.42578125" bestFit="1" customWidth="1"/>
    <col min="8" max="8" width="12.42578125" bestFit="1" customWidth="1"/>
    <col min="11" max="11" width="14.85546875" bestFit="1" customWidth="1"/>
    <col min="15" max="15" width="14.85546875" bestFit="1" customWidth="1"/>
    <col min="16" max="17" width="14.85546875" customWidth="1"/>
    <col min="18" max="18" width="15.42578125" bestFit="1" customWidth="1"/>
    <col min="19" max="22" width="15.42578125" customWidth="1"/>
    <col min="23" max="23" width="15.42578125" bestFit="1" customWidth="1"/>
    <col min="24" max="24" width="16.28515625" bestFit="1" customWidth="1"/>
    <col min="25" max="25" width="21.42578125" bestFit="1" customWidth="1"/>
    <col min="26" max="26" width="14.85546875" bestFit="1" customWidth="1"/>
  </cols>
  <sheetData>
    <row r="1" spans="1:26" x14ac:dyDescent="0.25">
      <c r="A1" t="s">
        <v>0</v>
      </c>
    </row>
    <row r="2" spans="1:26" x14ac:dyDescent="0.25">
      <c r="A2" t="s">
        <v>70</v>
      </c>
      <c r="P2" t="s">
        <v>201</v>
      </c>
    </row>
    <row r="3" spans="1:26" x14ac:dyDescent="0.25">
      <c r="A3" t="s">
        <v>2</v>
      </c>
      <c r="C3" t="s">
        <v>29</v>
      </c>
    </row>
    <row r="4" spans="1:26" x14ac:dyDescent="0.25">
      <c r="A4" t="s">
        <v>1</v>
      </c>
      <c r="C4" t="s">
        <v>30</v>
      </c>
      <c r="P4" s="9" t="s">
        <v>199</v>
      </c>
      <c r="R4" t="s">
        <v>45</v>
      </c>
      <c r="X4" t="s">
        <v>47</v>
      </c>
      <c r="Z4" t="s">
        <v>67</v>
      </c>
    </row>
    <row r="5" spans="1:26" x14ac:dyDescent="0.25">
      <c r="A5" s="7"/>
      <c r="B5" s="8"/>
      <c r="C5" s="1" t="s">
        <v>13</v>
      </c>
      <c r="D5" s="2"/>
      <c r="E5" s="1" t="s">
        <v>17</v>
      </c>
      <c r="F5" s="2"/>
      <c r="G5" s="1" t="s">
        <v>21</v>
      </c>
      <c r="H5" s="2"/>
      <c r="I5" s="1" t="s">
        <v>24</v>
      </c>
      <c r="J5" s="1"/>
      <c r="K5" s="2"/>
      <c r="L5" s="1" t="s">
        <v>22</v>
      </c>
      <c r="M5" s="1" t="s">
        <v>15</v>
      </c>
      <c r="N5" s="1"/>
      <c r="O5" s="2"/>
      <c r="P5" s="9" t="s">
        <v>200</v>
      </c>
      <c r="Q5" s="9"/>
      <c r="R5" t="s">
        <v>46</v>
      </c>
      <c r="W5" t="s">
        <v>27</v>
      </c>
      <c r="X5" t="s">
        <v>48</v>
      </c>
      <c r="Z5" t="s">
        <v>68</v>
      </c>
    </row>
    <row r="6" spans="1:26" x14ac:dyDescent="0.25">
      <c r="A6" s="3" t="s">
        <v>3</v>
      </c>
      <c r="B6" s="5" t="s">
        <v>4</v>
      </c>
      <c r="C6" s="4" t="s">
        <v>14</v>
      </c>
      <c r="D6" s="5" t="s">
        <v>20</v>
      </c>
      <c r="E6" s="4" t="s">
        <v>14</v>
      </c>
      <c r="F6" s="5" t="s">
        <v>19</v>
      </c>
      <c r="G6" s="4" t="s">
        <v>14</v>
      </c>
      <c r="H6" s="5" t="s">
        <v>18</v>
      </c>
      <c r="I6" s="4" t="s">
        <v>14</v>
      </c>
      <c r="J6" s="4" t="s">
        <v>25</v>
      </c>
      <c r="K6" s="5" t="s">
        <v>31</v>
      </c>
      <c r="L6" s="4" t="s">
        <v>14</v>
      </c>
      <c r="M6" s="4" t="s">
        <v>16</v>
      </c>
      <c r="N6" s="4" t="s">
        <v>23</v>
      </c>
      <c r="O6" s="11" t="s">
        <v>32</v>
      </c>
      <c r="P6" t="s">
        <v>201</v>
      </c>
      <c r="Q6" t="s">
        <v>202</v>
      </c>
      <c r="R6" s="9" t="s">
        <v>44</v>
      </c>
      <c r="S6" s="9" t="s">
        <v>84</v>
      </c>
      <c r="T6" s="9" t="s">
        <v>87</v>
      </c>
      <c r="U6" s="9" t="s">
        <v>85</v>
      </c>
      <c r="V6" s="9" t="s">
        <v>86</v>
      </c>
      <c r="W6" t="s">
        <v>28</v>
      </c>
      <c r="X6" t="s">
        <v>23</v>
      </c>
      <c r="Y6" t="s">
        <v>32</v>
      </c>
      <c r="Z6" t="s">
        <v>28</v>
      </c>
    </row>
    <row r="7" spans="1:26" x14ac:dyDescent="0.25">
      <c r="A7">
        <v>1</v>
      </c>
      <c r="B7" s="6" t="s">
        <v>5</v>
      </c>
      <c r="D7" s="6"/>
      <c r="F7" s="6"/>
      <c r="H7" s="6"/>
      <c r="J7" s="13"/>
      <c r="K7" s="6"/>
      <c r="N7" s="13"/>
      <c r="O7" s="12"/>
      <c r="P7" s="9"/>
      <c r="Q7" s="9"/>
      <c r="W7">
        <v>0</v>
      </c>
    </row>
    <row r="8" spans="1:26" x14ac:dyDescent="0.25">
      <c r="A8">
        <v>2</v>
      </c>
      <c r="B8" s="6" t="s">
        <v>6</v>
      </c>
      <c r="C8">
        <v>3.556</v>
      </c>
      <c r="D8" s="6">
        <v>8888560</v>
      </c>
      <c r="E8">
        <v>13.154999999999999</v>
      </c>
      <c r="F8" s="6">
        <v>270266283</v>
      </c>
      <c r="G8">
        <v>13.156000000000001</v>
      </c>
      <c r="H8" s="6">
        <v>172108034</v>
      </c>
      <c r="I8" s="9">
        <v>0</v>
      </c>
      <c r="J8" s="13">
        <v>0</v>
      </c>
      <c r="K8" s="6">
        <v>0</v>
      </c>
      <c r="L8" s="9">
        <v>0</v>
      </c>
      <c r="M8" s="9">
        <v>0</v>
      </c>
      <c r="N8" s="13">
        <v>0</v>
      </c>
      <c r="O8" s="12">
        <v>0</v>
      </c>
      <c r="P8" s="9">
        <f>(1-(D8/AVERAGE(D8,D9,D25,D38,D49)))*100</f>
        <v>-153.89722540494168</v>
      </c>
      <c r="Q8" s="9"/>
      <c r="W8">
        <v>0</v>
      </c>
    </row>
    <row r="9" spans="1:26" x14ac:dyDescent="0.25">
      <c r="A9">
        <v>3</v>
      </c>
      <c r="B9" s="6" t="s">
        <v>7</v>
      </c>
      <c r="C9">
        <v>3.5659999999999998</v>
      </c>
      <c r="D9" s="6">
        <v>2515261</v>
      </c>
      <c r="E9">
        <v>13.16</v>
      </c>
      <c r="F9" s="6">
        <v>4362081</v>
      </c>
      <c r="G9">
        <v>13.161</v>
      </c>
      <c r="H9" s="6">
        <v>2794350</v>
      </c>
      <c r="I9" s="9">
        <v>0</v>
      </c>
      <c r="J9" s="13">
        <v>0</v>
      </c>
      <c r="K9" s="6">
        <v>0</v>
      </c>
      <c r="L9" s="9">
        <v>0</v>
      </c>
      <c r="M9" s="9">
        <v>0</v>
      </c>
      <c r="N9" s="13">
        <v>0</v>
      </c>
      <c r="O9" s="12">
        <v>0</v>
      </c>
      <c r="P9" s="9">
        <f>(1-(D9/AVERAGE(D9,D25,D40,D49)))*100</f>
        <v>-18.260653285870987</v>
      </c>
      <c r="Q9" s="9"/>
      <c r="R9" s="25"/>
      <c r="S9" s="27">
        <v>0</v>
      </c>
      <c r="T9" s="25">
        <f>N9/D9</f>
        <v>0</v>
      </c>
      <c r="U9" s="25">
        <f t="shared" ref="U9:U17" si="0">H9/F9</f>
        <v>0.640600208936973</v>
      </c>
      <c r="V9" s="25">
        <f t="shared" ref="V9:V17" si="1">D9/F9</f>
        <v>0.57661950798254324</v>
      </c>
      <c r="W9">
        <v>0</v>
      </c>
    </row>
    <row r="10" spans="1:26" x14ac:dyDescent="0.25">
      <c r="A10">
        <v>4</v>
      </c>
      <c r="B10" s="6" t="s">
        <v>8</v>
      </c>
      <c r="C10">
        <v>3.5630000000000002</v>
      </c>
      <c r="D10" s="6">
        <v>1050372</v>
      </c>
      <c r="E10">
        <v>13.16</v>
      </c>
      <c r="F10" s="6">
        <v>2351904</v>
      </c>
      <c r="G10">
        <v>13.161</v>
      </c>
      <c r="H10" s="6">
        <v>1496580</v>
      </c>
      <c r="I10" s="9">
        <v>0</v>
      </c>
      <c r="J10" s="13">
        <v>0</v>
      </c>
      <c r="K10" s="6">
        <v>0</v>
      </c>
      <c r="L10">
        <v>6.984</v>
      </c>
      <c r="M10">
        <v>78674</v>
      </c>
      <c r="N10">
        <v>0</v>
      </c>
      <c r="O10" s="12">
        <v>17839</v>
      </c>
      <c r="P10" s="9">
        <f>(1-(D10/AVERAGE(D10:D11)))*100</f>
        <v>4.5564948110751624</v>
      </c>
      <c r="Q10" s="9">
        <v>0</v>
      </c>
      <c r="R10" s="25"/>
      <c r="S10" s="27">
        <f t="shared" ref="S10:S17" si="2">N10/F10</f>
        <v>0</v>
      </c>
      <c r="T10" s="25">
        <f t="shared" ref="T10:T17" si="3">N10/D10</f>
        <v>0</v>
      </c>
      <c r="U10" s="25">
        <f t="shared" si="0"/>
        <v>0.63632699293848727</v>
      </c>
      <c r="V10" s="25">
        <f t="shared" si="1"/>
        <v>0.44660496346789663</v>
      </c>
      <c r="W10">
        <v>0.05</v>
      </c>
    </row>
    <row r="11" spans="1:26" x14ac:dyDescent="0.25">
      <c r="A11">
        <v>5</v>
      </c>
      <c r="B11" s="6" t="s">
        <v>9</v>
      </c>
      <c r="C11">
        <v>3.5649999999999999</v>
      </c>
      <c r="D11" s="6">
        <v>1150662</v>
      </c>
      <c r="E11">
        <v>13.161</v>
      </c>
      <c r="F11" s="6">
        <v>319952</v>
      </c>
      <c r="G11">
        <v>13.162000000000001</v>
      </c>
      <c r="H11" s="6">
        <v>201190</v>
      </c>
      <c r="I11" s="9">
        <v>0</v>
      </c>
      <c r="J11" s="13">
        <v>0</v>
      </c>
      <c r="K11" s="6">
        <v>18993</v>
      </c>
      <c r="L11">
        <v>6.9880000000000004</v>
      </c>
      <c r="M11">
        <v>96593</v>
      </c>
      <c r="N11">
        <v>0</v>
      </c>
      <c r="O11" s="12">
        <v>23708</v>
      </c>
      <c r="P11" s="9">
        <f>(1-(D11/AVERAGE(D10:D11)))*100</f>
        <v>-4.5564948110751624</v>
      </c>
      <c r="Q11" s="9">
        <v>0</v>
      </c>
      <c r="R11" s="25"/>
      <c r="S11" s="27">
        <f t="shared" si="2"/>
        <v>0</v>
      </c>
      <c r="T11" s="25">
        <f t="shared" si="3"/>
        <v>0</v>
      </c>
      <c r="U11" s="25">
        <f t="shared" si="0"/>
        <v>0.62881307196079417</v>
      </c>
      <c r="V11" s="25">
        <f t="shared" si="1"/>
        <v>3.5963582037305595</v>
      </c>
      <c r="W11">
        <v>0.05</v>
      </c>
    </row>
    <row r="12" spans="1:26" x14ac:dyDescent="0.25">
      <c r="A12" t="s">
        <v>66</v>
      </c>
      <c r="B12" s="6"/>
      <c r="D12" s="6"/>
      <c r="F12" s="6"/>
      <c r="H12" s="6"/>
      <c r="I12" s="9"/>
      <c r="J12" s="13"/>
      <c r="K12" s="6"/>
      <c r="O12" s="12"/>
      <c r="P12" s="9"/>
      <c r="Q12" s="9"/>
      <c r="R12" s="25"/>
      <c r="S12" s="27"/>
      <c r="T12" s="25"/>
      <c r="U12" s="25"/>
      <c r="V12" s="25"/>
    </row>
    <row r="13" spans="1:26" x14ac:dyDescent="0.25">
      <c r="A13">
        <v>6</v>
      </c>
      <c r="B13" s="6" t="s">
        <v>10</v>
      </c>
      <c r="C13">
        <v>3.5659999999999998</v>
      </c>
      <c r="D13" s="6">
        <v>2231395</v>
      </c>
      <c r="E13">
        <v>13.16</v>
      </c>
      <c r="F13" s="6">
        <v>767882</v>
      </c>
      <c r="G13">
        <v>13.161</v>
      </c>
      <c r="H13" s="6">
        <v>497635</v>
      </c>
      <c r="I13">
        <v>6.9870000000000001</v>
      </c>
      <c r="J13" s="13">
        <v>89283</v>
      </c>
      <c r="K13" s="6">
        <v>89312</v>
      </c>
      <c r="L13">
        <v>6.9880000000000004</v>
      </c>
      <c r="M13">
        <v>493662</v>
      </c>
      <c r="N13" s="13">
        <v>115407</v>
      </c>
      <c r="O13" s="12">
        <v>117246</v>
      </c>
      <c r="P13" s="9">
        <f>(1-(D13/AVERAGE(D13:D14)))*100</f>
        <v>3.2064402520524893</v>
      </c>
      <c r="Q13" s="9">
        <f>(1-(N13/AVERAGE(N13:N14)))*100</f>
        <v>4.1947534451270085</v>
      </c>
      <c r="R13" s="25">
        <f t="shared" ref="R13:R29" si="4">J13/N13</f>
        <v>0.77363591463256132</v>
      </c>
      <c r="S13" s="25">
        <f t="shared" si="2"/>
        <v>0.15029262308531779</v>
      </c>
      <c r="T13" s="25">
        <f t="shared" si="3"/>
        <v>5.1719664156278919E-2</v>
      </c>
      <c r="U13" s="25">
        <f t="shared" si="0"/>
        <v>0.64806181158042508</v>
      </c>
      <c r="V13" s="25">
        <f t="shared" si="1"/>
        <v>2.9059087203502623</v>
      </c>
      <c r="W13">
        <v>0.1</v>
      </c>
    </row>
    <row r="14" spans="1:26" x14ac:dyDescent="0.25">
      <c r="A14">
        <v>7</v>
      </c>
      <c r="B14" s="6" t="s">
        <v>11</v>
      </c>
      <c r="C14">
        <v>3.5609999999999999</v>
      </c>
      <c r="D14" s="6">
        <v>2379232</v>
      </c>
      <c r="E14">
        <v>13.157999999999999</v>
      </c>
      <c r="F14" s="6">
        <v>1191558</v>
      </c>
      <c r="G14">
        <v>13.159000000000001</v>
      </c>
      <c r="H14" s="6">
        <v>757758</v>
      </c>
      <c r="I14">
        <v>6.9820000000000002</v>
      </c>
      <c r="J14" s="13">
        <v>100975</v>
      </c>
      <c r="K14" s="6">
        <v>110836</v>
      </c>
      <c r="L14">
        <v>6.9820000000000002</v>
      </c>
      <c r="M14">
        <v>537962</v>
      </c>
      <c r="N14" s="13">
        <v>125513</v>
      </c>
      <c r="O14" s="12">
        <v>126832</v>
      </c>
      <c r="P14" s="9">
        <f>(1-(D14/AVERAGE(D13:D14)))*100</f>
        <v>-3.2064402520524782</v>
      </c>
      <c r="Q14" s="9">
        <f>(1-(N14/AVERAGE(N13:N14)))*100</f>
        <v>-4.1947534451270085</v>
      </c>
      <c r="R14" s="25">
        <f t="shared" si="4"/>
        <v>0.804498338817493</v>
      </c>
      <c r="S14" s="25">
        <f t="shared" si="2"/>
        <v>0.10533519979724025</v>
      </c>
      <c r="T14" s="25">
        <f t="shared" si="3"/>
        <v>5.2753577625048759E-2</v>
      </c>
      <c r="U14" s="25">
        <f t="shared" si="0"/>
        <v>0.63593882966670523</v>
      </c>
      <c r="V14" s="25">
        <f t="shared" si="1"/>
        <v>1.9967404020618384</v>
      </c>
      <c r="W14">
        <v>0.1</v>
      </c>
    </row>
    <row r="15" spans="1:26" x14ac:dyDescent="0.25">
      <c r="A15" t="s">
        <v>66</v>
      </c>
      <c r="B15" s="6"/>
      <c r="D15" s="6"/>
      <c r="F15" s="6"/>
      <c r="H15" s="6"/>
      <c r="J15" s="13">
        <f>AVERAGE(J13:J14)</f>
        <v>95129</v>
      </c>
      <c r="K15" s="6"/>
      <c r="N15" s="13">
        <f>AVERAGE(N13:N14)</f>
        <v>120460</v>
      </c>
      <c r="O15" s="12"/>
      <c r="P15" s="9"/>
      <c r="Q15" s="9"/>
      <c r="R15" s="25"/>
      <c r="S15" s="25"/>
      <c r="T15" s="25"/>
      <c r="U15" s="25"/>
      <c r="V15" s="25"/>
    </row>
    <row r="16" spans="1:26" x14ac:dyDescent="0.25">
      <c r="A16">
        <v>8</v>
      </c>
      <c r="B16" s="6" t="s">
        <v>12</v>
      </c>
      <c r="C16">
        <v>3.5640000000000001</v>
      </c>
      <c r="D16" s="6">
        <v>2427810</v>
      </c>
      <c r="E16">
        <v>13.159000000000001</v>
      </c>
      <c r="F16" s="6">
        <v>2527967</v>
      </c>
      <c r="G16">
        <v>13.16</v>
      </c>
      <c r="H16" s="6">
        <v>1607663</v>
      </c>
      <c r="I16">
        <v>6.984</v>
      </c>
      <c r="J16" s="13">
        <v>507217</v>
      </c>
      <c r="K16" s="6">
        <v>507725</v>
      </c>
      <c r="L16">
        <v>6.9859999999999998</v>
      </c>
      <c r="M16">
        <v>2793943</v>
      </c>
      <c r="N16" s="13">
        <v>646667</v>
      </c>
      <c r="O16" s="12">
        <v>642364</v>
      </c>
      <c r="P16" s="9">
        <f>(1-(D16/AVERAGE(D16:D17)))*100</f>
        <v>2.5259126514845964</v>
      </c>
      <c r="Q16" s="9">
        <f>(1-(N16/AVERAGE(N16:N17)))*100</f>
        <v>4.2871679500320115</v>
      </c>
      <c r="R16" s="25">
        <f t="shared" si="4"/>
        <v>0.78435578125990657</v>
      </c>
      <c r="S16" s="25">
        <f t="shared" si="2"/>
        <v>0.25580515884898813</v>
      </c>
      <c r="T16" s="25">
        <f t="shared" si="3"/>
        <v>0.26635815817547503</v>
      </c>
      <c r="U16" s="25">
        <f t="shared" si="0"/>
        <v>0.63595094397988583</v>
      </c>
      <c r="V16" s="25">
        <f t="shared" si="1"/>
        <v>0.9603804163582832</v>
      </c>
      <c r="W16">
        <v>0.5</v>
      </c>
    </row>
    <row r="17" spans="1:26" x14ac:dyDescent="0.25">
      <c r="A17">
        <v>9</v>
      </c>
      <c r="B17" s="6" t="s">
        <v>26</v>
      </c>
      <c r="C17">
        <v>3.5680000000000001</v>
      </c>
      <c r="D17" s="6">
        <v>2553637</v>
      </c>
      <c r="E17">
        <v>13.16</v>
      </c>
      <c r="F17" s="6">
        <v>2869619</v>
      </c>
      <c r="G17">
        <v>13.161</v>
      </c>
      <c r="H17" s="6">
        <v>1845166</v>
      </c>
      <c r="I17">
        <v>6.9880000000000004</v>
      </c>
      <c r="J17" s="13">
        <v>551560</v>
      </c>
      <c r="K17" s="6">
        <v>551004</v>
      </c>
      <c r="L17">
        <v>6.9889999999999999</v>
      </c>
      <c r="M17">
        <v>3027759</v>
      </c>
      <c r="N17" s="13">
        <v>704598</v>
      </c>
      <c r="O17" s="12">
        <v>701924</v>
      </c>
      <c r="P17" s="9">
        <f>(1-(D17/AVERAGE(D16:D17)))*100</f>
        <v>-2.5259126514846075</v>
      </c>
      <c r="Q17" s="9">
        <f>(1-(N17/AVERAGE(N16:N17)))*100</f>
        <v>-4.2871679500320115</v>
      </c>
      <c r="R17" s="25">
        <f t="shared" si="4"/>
        <v>0.78280097303710772</v>
      </c>
      <c r="S17" s="25">
        <f t="shared" si="2"/>
        <v>0.24553712531175742</v>
      </c>
      <c r="T17" s="25">
        <f t="shared" si="3"/>
        <v>0.27591940436326701</v>
      </c>
      <c r="U17" s="25">
        <f t="shared" si="0"/>
        <v>0.64300034255418581</v>
      </c>
      <c r="V17" s="25">
        <f t="shared" si="1"/>
        <v>0.88988712438828987</v>
      </c>
      <c r="W17">
        <v>0.5</v>
      </c>
    </row>
    <row r="18" spans="1:26" ht="15.75" thickBot="1" x14ac:dyDescent="0.3">
      <c r="A18" t="s">
        <v>66</v>
      </c>
      <c r="B18" s="6"/>
      <c r="D18" s="6"/>
      <c r="F18" s="6"/>
      <c r="H18" s="6"/>
      <c r="J18" s="13">
        <f>AVERAGE(J16:J17)</f>
        <v>529388.5</v>
      </c>
      <c r="K18" s="6"/>
      <c r="N18" s="13">
        <f>AVERAGE(N16:N17)</f>
        <v>675632.5</v>
      </c>
      <c r="O18" s="12"/>
      <c r="P18" s="9"/>
      <c r="Q18" s="9"/>
      <c r="R18" s="25"/>
      <c r="S18" s="25"/>
      <c r="T18" s="25"/>
      <c r="U18" s="25"/>
      <c r="V18" s="25"/>
    </row>
    <row r="19" spans="1:26" x14ac:dyDescent="0.25">
      <c r="A19">
        <v>10</v>
      </c>
      <c r="B19" s="6" t="s">
        <v>36</v>
      </c>
      <c r="D19" s="6"/>
      <c r="F19" s="6"/>
      <c r="H19" s="6"/>
      <c r="J19" s="13">
        <v>0</v>
      </c>
      <c r="K19" s="6">
        <v>0</v>
      </c>
      <c r="L19" s="9"/>
      <c r="M19" s="9">
        <v>0</v>
      </c>
      <c r="N19" s="13">
        <v>0</v>
      </c>
      <c r="O19" s="12">
        <v>0</v>
      </c>
      <c r="P19" s="9"/>
      <c r="Q19" s="9"/>
      <c r="R19" s="25"/>
      <c r="S19" s="25"/>
      <c r="T19" s="25"/>
      <c r="U19" s="25"/>
      <c r="V19" s="25"/>
      <c r="W19">
        <v>0</v>
      </c>
      <c r="X19" s="14">
        <f>(N19+18072.7742)/1440014.4355</f>
        <v>1.2550411825368122E-2</v>
      </c>
      <c r="Y19" s="15">
        <f>(O19+28571.9337999999)/1448665.5571</f>
        <v>1.9722933053779854E-2</v>
      </c>
    </row>
    <row r="20" spans="1:26" x14ac:dyDescent="0.25">
      <c r="A20">
        <v>11</v>
      </c>
      <c r="B20" s="6" t="s">
        <v>37</v>
      </c>
      <c r="D20" s="6"/>
      <c r="F20" s="6"/>
      <c r="H20" s="6"/>
      <c r="J20" s="13">
        <v>0</v>
      </c>
      <c r="K20" s="6">
        <v>0</v>
      </c>
      <c r="L20" s="9"/>
      <c r="M20" s="9">
        <v>0</v>
      </c>
      <c r="N20" s="13">
        <v>0</v>
      </c>
      <c r="O20" s="12">
        <v>0</v>
      </c>
      <c r="P20" s="9"/>
      <c r="Q20" s="9"/>
      <c r="R20" s="25"/>
      <c r="S20" s="25"/>
      <c r="T20" s="25"/>
      <c r="U20" s="25"/>
      <c r="V20" s="25"/>
      <c r="W20">
        <v>0</v>
      </c>
      <c r="X20" s="16">
        <f>(N20+18072.7742)/1440014.4355</f>
        <v>1.2550411825368122E-2</v>
      </c>
      <c r="Y20" s="17">
        <f>(O20+28571.9337999999)/1448665.5571</f>
        <v>1.9722933053779854E-2</v>
      </c>
    </row>
    <row r="21" spans="1:26" x14ac:dyDescent="0.25">
      <c r="A21">
        <v>12</v>
      </c>
      <c r="B21" s="6" t="s">
        <v>38</v>
      </c>
      <c r="D21" s="6"/>
      <c r="F21" s="6"/>
      <c r="H21" s="6"/>
      <c r="J21" s="13">
        <v>0</v>
      </c>
      <c r="K21" s="6">
        <v>0</v>
      </c>
      <c r="L21" s="9"/>
      <c r="M21" s="9">
        <v>0</v>
      </c>
      <c r="N21" s="13">
        <v>0</v>
      </c>
      <c r="O21" s="12">
        <v>0</v>
      </c>
      <c r="P21" s="9"/>
      <c r="Q21" s="9"/>
      <c r="R21" s="25"/>
      <c r="S21" s="25"/>
      <c r="T21" s="25"/>
      <c r="U21" s="25"/>
      <c r="V21" s="25"/>
      <c r="X21" s="16">
        <f>(N21+18072.7742)/1440014.4355</f>
        <v>1.2550411825368122E-2</v>
      </c>
      <c r="Y21" s="17">
        <f>(O21+28571.9337999999)/1448665.5571</f>
        <v>1.9722933053779854E-2</v>
      </c>
    </row>
    <row r="22" spans="1:26" x14ac:dyDescent="0.25">
      <c r="A22">
        <v>13</v>
      </c>
      <c r="B22" s="6" t="s">
        <v>39</v>
      </c>
      <c r="D22" s="6"/>
      <c r="F22" s="6"/>
      <c r="H22" s="6"/>
      <c r="J22" s="9">
        <v>0</v>
      </c>
      <c r="K22" s="6">
        <v>0</v>
      </c>
      <c r="M22" s="9">
        <v>0</v>
      </c>
      <c r="N22" s="9">
        <v>0</v>
      </c>
      <c r="O22" s="6">
        <v>0</v>
      </c>
      <c r="P22" s="13"/>
      <c r="Q22" s="13"/>
      <c r="R22" s="25"/>
      <c r="S22" s="25"/>
      <c r="T22" s="25"/>
      <c r="U22" s="25"/>
      <c r="V22" s="25"/>
      <c r="X22" s="16">
        <f>(N22+18072.7742)/1440014.4355</f>
        <v>1.2550411825368122E-2</v>
      </c>
      <c r="Y22" s="17">
        <f>(O22+28571.9337999999)/1448665.5571</f>
        <v>1.9722933053779854E-2</v>
      </c>
    </row>
    <row r="23" spans="1:26" ht="15.75" thickBot="1" x14ac:dyDescent="0.3">
      <c r="B23" s="6"/>
      <c r="D23" s="6"/>
      <c r="F23" s="6"/>
      <c r="H23" s="6"/>
      <c r="J23" s="9"/>
      <c r="K23" s="6"/>
      <c r="M23" s="9"/>
      <c r="N23" s="9"/>
      <c r="O23" s="6"/>
      <c r="P23" s="13"/>
      <c r="Q23" s="13"/>
      <c r="R23" s="25"/>
      <c r="S23" s="25"/>
      <c r="T23" s="25"/>
      <c r="U23" s="25"/>
      <c r="V23" s="25"/>
      <c r="X23" s="18">
        <v>0</v>
      </c>
      <c r="Y23" s="19">
        <v>0</v>
      </c>
      <c r="Z23">
        <v>0</v>
      </c>
    </row>
    <row r="24" spans="1:26" x14ac:dyDescent="0.25">
      <c r="A24">
        <v>14</v>
      </c>
      <c r="B24" s="6" t="s">
        <v>33</v>
      </c>
      <c r="C24">
        <v>3.5680000000000001</v>
      </c>
      <c r="D24" s="6">
        <v>2383223</v>
      </c>
      <c r="E24">
        <v>13.16</v>
      </c>
      <c r="F24" s="6">
        <v>1071588</v>
      </c>
      <c r="G24">
        <v>13.161</v>
      </c>
      <c r="H24" s="6">
        <v>680907</v>
      </c>
      <c r="I24">
        <v>6.9880000000000004</v>
      </c>
      <c r="J24" s="13">
        <v>1166700</v>
      </c>
      <c r="K24" s="6">
        <v>1163230</v>
      </c>
      <c r="L24">
        <v>6.9889999999999999</v>
      </c>
      <c r="M24">
        <v>6440610</v>
      </c>
      <c r="N24">
        <v>1493418</v>
      </c>
      <c r="O24" s="6">
        <v>1489336</v>
      </c>
      <c r="P24" s="9">
        <f>(1-(D24/AVERAGE(D24,D38)))*100</f>
        <v>-5.4534883232141285</v>
      </c>
      <c r="Q24" s="9">
        <f>(1-(N24/AVERAGE(N24,N38)))*100</f>
        <v>-4.0245827730429617</v>
      </c>
      <c r="R24" s="25">
        <f t="shared" si="4"/>
        <v>0.78122802858945051</v>
      </c>
      <c r="S24" s="25">
        <f>N24/F24</f>
        <v>1.3936494249655651</v>
      </c>
      <c r="T24" s="25">
        <f>N24/D24</f>
        <v>0.6266379604426443</v>
      </c>
      <c r="U24" s="25">
        <f>H24/F24</f>
        <v>0.6354186497049239</v>
      </c>
      <c r="V24" s="25">
        <f>D24/F24</f>
        <v>2.2240105338992224</v>
      </c>
      <c r="W24">
        <v>1</v>
      </c>
    </row>
    <row r="25" spans="1:26" ht="15.75" thickBot="1" x14ac:dyDescent="0.3">
      <c r="A25">
        <v>15</v>
      </c>
      <c r="B25" s="6" t="s">
        <v>35</v>
      </c>
      <c r="C25">
        <v>3.5659999999999998</v>
      </c>
      <c r="D25" s="6">
        <v>1966146</v>
      </c>
      <c r="E25">
        <v>13.16</v>
      </c>
      <c r="F25" s="10">
        <v>1209711</v>
      </c>
      <c r="G25">
        <v>13.161</v>
      </c>
      <c r="H25" s="10">
        <v>774627</v>
      </c>
      <c r="J25" s="13">
        <v>0</v>
      </c>
      <c r="K25" s="6">
        <v>0</v>
      </c>
      <c r="L25" s="9"/>
      <c r="M25" s="9">
        <v>0</v>
      </c>
      <c r="N25" s="13">
        <v>0</v>
      </c>
      <c r="O25" s="12">
        <v>0</v>
      </c>
      <c r="P25" s="9">
        <f>(1-(D25/AVERAGE(D9,D25,D40,D49)))*100</f>
        <v>7.5572235185922709</v>
      </c>
      <c r="Q25" s="9"/>
      <c r="R25" s="25"/>
      <c r="S25" s="27">
        <f>N25/F25</f>
        <v>0</v>
      </c>
      <c r="T25" s="25">
        <f>N25/D25</f>
        <v>0</v>
      </c>
      <c r="U25" s="25">
        <f>H25/F25</f>
        <v>0.64034054414649444</v>
      </c>
      <c r="V25" s="25">
        <f>D25/F25</f>
        <v>1.6253022416097729</v>
      </c>
    </row>
    <row r="26" spans="1:26" x14ac:dyDescent="0.25">
      <c r="A26">
        <v>16</v>
      </c>
      <c r="B26" s="6" t="s">
        <v>40</v>
      </c>
      <c r="D26" s="6"/>
      <c r="F26" s="6"/>
      <c r="H26" s="6"/>
      <c r="I26">
        <v>6.9880000000000004</v>
      </c>
      <c r="J26" s="9">
        <v>69536</v>
      </c>
      <c r="K26" s="6">
        <v>70852</v>
      </c>
      <c r="L26" s="9">
        <v>6.99</v>
      </c>
      <c r="M26" s="9">
        <v>389791</v>
      </c>
      <c r="N26" s="9">
        <v>87625</v>
      </c>
      <c r="O26" s="6">
        <v>87798</v>
      </c>
      <c r="P26" s="13"/>
      <c r="Q26" s="13"/>
      <c r="R26" s="25">
        <f t="shared" si="4"/>
        <v>0.79356348074179739</v>
      </c>
      <c r="S26" s="25"/>
      <c r="T26" s="25"/>
      <c r="U26" s="25"/>
      <c r="V26" s="25"/>
      <c r="X26" s="14">
        <f>(N26+18072.7742)/1440014.4355</f>
        <v>7.3400496268844526E-2</v>
      </c>
      <c r="Y26" s="15">
        <f>(O26+28571.9337999999)/1448665.5571</f>
        <v>8.0329054024694452E-2</v>
      </c>
    </row>
    <row r="27" spans="1:26" x14ac:dyDescent="0.25">
      <c r="A27">
        <v>17</v>
      </c>
      <c r="B27" s="6" t="s">
        <v>41</v>
      </c>
      <c r="D27" s="6"/>
      <c r="F27" s="6"/>
      <c r="H27" s="6"/>
      <c r="I27">
        <v>6.9850000000000003</v>
      </c>
      <c r="J27" s="9">
        <v>93741</v>
      </c>
      <c r="K27" s="6">
        <v>97095</v>
      </c>
      <c r="L27" s="9">
        <v>6.9859999999999998</v>
      </c>
      <c r="M27" s="9">
        <v>762869</v>
      </c>
      <c r="N27" s="9">
        <v>114408</v>
      </c>
      <c r="O27" s="6">
        <v>172342</v>
      </c>
      <c r="P27" s="13"/>
      <c r="Q27" s="13"/>
      <c r="R27" s="25">
        <f t="shared" si="4"/>
        <v>0.81935703796937276</v>
      </c>
      <c r="S27" s="25"/>
      <c r="T27" s="25"/>
      <c r="U27" s="25"/>
      <c r="V27" s="25"/>
      <c r="X27" s="16">
        <f>(N27+18072.7742)/1440014.4355</f>
        <v>9.1999615374689064E-2</v>
      </c>
      <c r="Y27" s="17">
        <f>(O27+28571.9337999999)/1448665.5571</f>
        <v>0.13868896986975932</v>
      </c>
    </row>
    <row r="28" spans="1:26" x14ac:dyDescent="0.25">
      <c r="A28">
        <v>18</v>
      </c>
      <c r="B28" s="6" t="s">
        <v>42</v>
      </c>
      <c r="D28" s="6"/>
      <c r="F28" s="6"/>
      <c r="H28" s="6"/>
      <c r="I28">
        <v>6.9880000000000004</v>
      </c>
      <c r="J28" s="9">
        <v>68015</v>
      </c>
      <c r="K28" s="6">
        <v>69440</v>
      </c>
      <c r="L28" s="9">
        <v>6.99</v>
      </c>
      <c r="M28" s="9">
        <v>383221</v>
      </c>
      <c r="N28" s="9">
        <v>88510</v>
      </c>
      <c r="O28" s="6">
        <v>90344</v>
      </c>
      <c r="P28" s="13"/>
      <c r="Q28" s="13"/>
      <c r="R28" s="25">
        <f t="shared" si="4"/>
        <v>0.76844424358829511</v>
      </c>
      <c r="S28" s="25"/>
      <c r="T28" s="25"/>
      <c r="U28" s="25"/>
      <c r="V28" s="25"/>
      <c r="X28" s="16">
        <f>(N28+18072.7742)/1440014.4355</f>
        <v>7.4015073441255103E-2</v>
      </c>
      <c r="Y28" s="17">
        <f>(O28+28571.9337999999)/1448665.5571</f>
        <v>8.208653351160701E-2</v>
      </c>
    </row>
    <row r="29" spans="1:26" x14ac:dyDescent="0.25">
      <c r="A29">
        <v>19</v>
      </c>
      <c r="B29" s="6" t="s">
        <v>43</v>
      </c>
      <c r="D29" s="6"/>
      <c r="F29" s="6"/>
      <c r="H29" s="6"/>
      <c r="I29">
        <v>6.99</v>
      </c>
      <c r="J29" s="9">
        <v>84248</v>
      </c>
      <c r="K29" s="12">
        <v>84492</v>
      </c>
      <c r="L29" s="9">
        <v>6.9909999999999997</v>
      </c>
      <c r="M29" s="9">
        <v>465562</v>
      </c>
      <c r="N29" s="9">
        <v>105169</v>
      </c>
      <c r="O29" s="12">
        <v>107010</v>
      </c>
      <c r="P29" s="9"/>
      <c r="Q29" s="9"/>
      <c r="R29" s="25">
        <f t="shared" si="4"/>
        <v>0.80107255940438726</v>
      </c>
      <c r="S29" s="25"/>
      <c r="T29" s="25"/>
      <c r="U29" s="25"/>
      <c r="V29" s="25"/>
      <c r="X29" s="16">
        <f>(N29+18072.7742)/1440014.4355</f>
        <v>8.5583707469715858E-2</v>
      </c>
      <c r="Y29" s="17">
        <f>(O29+28571.9337999999)/1448665.5571</f>
        <v>9.3590914159244351E-2</v>
      </c>
    </row>
    <row r="30" spans="1:26" ht="15.75" thickBot="1" x14ac:dyDescent="0.3">
      <c r="B30" s="6"/>
      <c r="D30" s="6"/>
      <c r="F30" s="6"/>
      <c r="H30" s="6"/>
      <c r="J30" s="9"/>
      <c r="K30" s="12"/>
      <c r="L30" s="9"/>
      <c r="N30" s="9"/>
      <c r="O30" s="12"/>
      <c r="P30" s="9"/>
      <c r="Q30" s="9"/>
      <c r="R30" s="25"/>
      <c r="S30" s="25"/>
      <c r="T30" s="25"/>
      <c r="U30" s="25"/>
      <c r="V30" s="25"/>
      <c r="W30" t="s">
        <v>66</v>
      </c>
      <c r="X30" s="18">
        <f>AVERAGE(X26:X29)</f>
        <v>8.1249723138626134E-2</v>
      </c>
      <c r="Y30" s="19">
        <f>AVERAGE(Y26:Y29)</f>
        <v>9.8673867891326289E-2</v>
      </c>
      <c r="Z30">
        <v>0.5</v>
      </c>
    </row>
    <row r="31" spans="1:26" x14ac:dyDescent="0.25">
      <c r="A31">
        <v>20</v>
      </c>
      <c r="B31" s="6" t="s">
        <v>49</v>
      </c>
      <c r="D31" s="6"/>
      <c r="F31" s="6"/>
      <c r="H31" s="6"/>
      <c r="I31">
        <v>6.9889999999999999</v>
      </c>
      <c r="J31" s="9">
        <v>272560</v>
      </c>
      <c r="K31" s="12">
        <v>273484</v>
      </c>
      <c r="L31" s="9">
        <v>6.99</v>
      </c>
      <c r="M31" s="9">
        <v>1537276</v>
      </c>
      <c r="N31" s="9">
        <v>353269</v>
      </c>
      <c r="O31" s="12">
        <v>354292</v>
      </c>
      <c r="P31" s="9"/>
      <c r="Q31" s="9"/>
      <c r="R31" s="25">
        <f>J31/N31</f>
        <v>0.77153670432446664</v>
      </c>
      <c r="S31" s="25"/>
      <c r="T31" s="25"/>
      <c r="U31" s="25"/>
      <c r="V31" s="25"/>
      <c r="X31" s="14">
        <f>(N31+18072.7742)/1440014.4355</f>
        <v>0.25787364698956172</v>
      </c>
      <c r="Y31" s="15">
        <f>(O31+28571.9337999999)/1448665.5571</f>
        <v>0.26428731733391464</v>
      </c>
    </row>
    <row r="32" spans="1:26" x14ac:dyDescent="0.25">
      <c r="A32">
        <v>21</v>
      </c>
      <c r="B32" s="6" t="s">
        <v>50</v>
      </c>
      <c r="D32" s="6"/>
      <c r="F32" s="6"/>
      <c r="H32" s="6"/>
      <c r="I32">
        <v>6.9880000000000004</v>
      </c>
      <c r="J32" s="9">
        <v>251758</v>
      </c>
      <c r="K32" s="12">
        <v>252842</v>
      </c>
      <c r="L32" s="9">
        <v>6.9889999999999999</v>
      </c>
      <c r="M32" s="9">
        <v>1425323</v>
      </c>
      <c r="N32" s="9">
        <v>328899</v>
      </c>
      <c r="O32" s="12">
        <v>329106</v>
      </c>
      <c r="P32" s="9"/>
      <c r="Q32" s="9"/>
      <c r="R32" s="26">
        <f>J32/N32</f>
        <v>0.76545687277857333</v>
      </c>
      <c r="S32" s="25"/>
      <c r="T32" s="25"/>
      <c r="U32" s="25"/>
      <c r="V32" s="25"/>
      <c r="X32" s="16">
        <f>(N32+18072.7742)/1440014.4355</f>
        <v>0.24095020553007507</v>
      </c>
      <c r="Y32" s="17">
        <f>(O32+28571.9337999999)/1448665.5571</f>
        <v>0.24690166204821959</v>
      </c>
    </row>
    <row r="33" spans="1:26" x14ac:dyDescent="0.25">
      <c r="A33">
        <v>22</v>
      </c>
      <c r="B33" s="6" t="s">
        <v>51</v>
      </c>
      <c r="D33" s="6"/>
      <c r="F33" s="6"/>
      <c r="H33" s="6"/>
      <c r="I33">
        <v>6.9889999999999999</v>
      </c>
      <c r="J33" s="9">
        <v>230652</v>
      </c>
      <c r="K33" s="12">
        <v>230815</v>
      </c>
      <c r="L33" s="9">
        <v>6.99</v>
      </c>
      <c r="M33" s="9">
        <v>1282990</v>
      </c>
      <c r="N33" s="9">
        <v>294841</v>
      </c>
      <c r="O33" s="12">
        <v>295761</v>
      </c>
      <c r="P33" s="9"/>
      <c r="Q33" s="9"/>
      <c r="R33" s="26">
        <f>J33/N33</f>
        <v>0.78229282901631725</v>
      </c>
      <c r="S33" s="25"/>
      <c r="T33" s="25"/>
      <c r="U33" s="25"/>
      <c r="V33" s="25"/>
      <c r="X33" s="16">
        <f>(N33+18072.7742)/1440014.4355</f>
        <v>0.21729905373577069</v>
      </c>
      <c r="Y33" s="17">
        <f>(O33+28571.9337999999)/1448665.5571</f>
        <v>0.22388392697708873</v>
      </c>
    </row>
    <row r="34" spans="1:26" x14ac:dyDescent="0.25">
      <c r="A34">
        <v>23</v>
      </c>
      <c r="B34" s="6" t="s">
        <v>52</v>
      </c>
      <c r="D34" s="6"/>
      <c r="F34" s="6"/>
      <c r="H34" s="6"/>
      <c r="I34">
        <v>6.9850000000000003</v>
      </c>
      <c r="J34" s="9">
        <v>285428</v>
      </c>
      <c r="K34" s="12">
        <v>286958</v>
      </c>
      <c r="L34" s="9">
        <v>6.9859999999999998</v>
      </c>
      <c r="M34" s="9">
        <v>1598651</v>
      </c>
      <c r="N34" s="9">
        <v>359561</v>
      </c>
      <c r="O34" s="12">
        <v>362094</v>
      </c>
      <c r="P34" s="9"/>
      <c r="Q34" s="9"/>
      <c r="R34" s="26">
        <f>J34/N34</f>
        <v>0.79382357930921321</v>
      </c>
      <c r="S34" s="25"/>
      <c r="T34" s="25"/>
      <c r="U34" s="25"/>
      <c r="V34" s="25"/>
      <c r="X34" s="16">
        <f>(N34+18072.7742)/1440014.4355</f>
        <v>0.2622430476322819</v>
      </c>
      <c r="Y34" s="17">
        <f>(O34+28571.9337999999)/1448665.5571</f>
        <v>0.26967296342853042</v>
      </c>
    </row>
    <row r="35" spans="1:26" ht="15.75" thickBot="1" x14ac:dyDescent="0.3">
      <c r="B35" s="6"/>
      <c r="D35" s="6"/>
      <c r="F35" s="6"/>
      <c r="H35" s="6"/>
      <c r="K35" s="6"/>
      <c r="O35" s="6"/>
      <c r="P35" s="13"/>
      <c r="Q35" s="13"/>
      <c r="R35" s="26"/>
      <c r="S35" s="25"/>
      <c r="T35" s="25"/>
      <c r="U35" s="25"/>
      <c r="V35" s="25"/>
      <c r="W35" t="s">
        <v>66</v>
      </c>
      <c r="X35" s="18">
        <f>AVERAGE(X31:X34)</f>
        <v>0.24459148847192236</v>
      </c>
      <c r="Y35" s="19">
        <f>AVERAGE(Y31:Y34)</f>
        <v>0.25118646744693834</v>
      </c>
      <c r="Z35">
        <v>1.5</v>
      </c>
    </row>
    <row r="36" spans="1:26" x14ac:dyDescent="0.25">
      <c r="A36">
        <v>24</v>
      </c>
      <c r="B36" s="6" t="s">
        <v>53</v>
      </c>
      <c r="D36" s="6"/>
      <c r="F36" s="6"/>
      <c r="H36" s="6"/>
      <c r="I36">
        <v>6.9880000000000004</v>
      </c>
      <c r="J36">
        <v>342309</v>
      </c>
      <c r="K36" s="6">
        <v>341042</v>
      </c>
      <c r="L36">
        <v>6.9889999999999999</v>
      </c>
      <c r="M36">
        <v>1892966</v>
      </c>
      <c r="N36">
        <v>430169</v>
      </c>
      <c r="O36" s="6">
        <v>430852</v>
      </c>
      <c r="P36" s="13"/>
      <c r="Q36" s="13"/>
      <c r="R36" s="26">
        <f t="shared" ref="R36:R47" si="5">J36/N36</f>
        <v>0.79575469176068014</v>
      </c>
      <c r="S36" s="25"/>
      <c r="T36" s="25"/>
      <c r="U36" s="25"/>
      <c r="V36" s="25"/>
      <c r="X36" s="16">
        <f>(N36+18072.7742)/1440014.4355</f>
        <v>0.31127588942840151</v>
      </c>
      <c r="Y36" s="17">
        <f>(O36+28571.9337999999)/1448665.5571</f>
        <v>0.31713595422237706</v>
      </c>
    </row>
    <row r="37" spans="1:26" x14ac:dyDescent="0.25">
      <c r="A37">
        <v>25</v>
      </c>
      <c r="B37" s="6" t="s">
        <v>54</v>
      </c>
      <c r="D37" s="6"/>
      <c r="F37" s="6"/>
      <c r="H37" s="6"/>
      <c r="I37">
        <v>6.9889999999999999</v>
      </c>
      <c r="J37">
        <v>385777</v>
      </c>
      <c r="K37" s="6">
        <v>385707</v>
      </c>
      <c r="L37">
        <v>6.99</v>
      </c>
      <c r="M37">
        <v>2153144</v>
      </c>
      <c r="N37">
        <v>498382</v>
      </c>
      <c r="O37" s="6">
        <v>498029</v>
      </c>
      <c r="P37" s="13"/>
      <c r="Q37" s="13"/>
      <c r="R37" s="26">
        <f t="shared" si="5"/>
        <v>0.77405885445300993</v>
      </c>
      <c r="S37" s="25"/>
      <c r="T37" s="25"/>
      <c r="U37" s="25"/>
      <c r="V37" s="25"/>
      <c r="X37" s="16">
        <f>(N37+18072.7742)/1440014.4355</f>
        <v>0.35864555345285637</v>
      </c>
      <c r="Y37" s="17">
        <f>(O37+28571.9337999999)/1448665.5571</f>
        <v>0.3635075958140207</v>
      </c>
    </row>
    <row r="38" spans="1:26" x14ac:dyDescent="0.25">
      <c r="A38">
        <v>26</v>
      </c>
      <c r="B38" s="6" t="s">
        <v>34</v>
      </c>
      <c r="C38">
        <v>3.5710000000000002</v>
      </c>
      <c r="D38" s="6">
        <v>2136728</v>
      </c>
      <c r="E38">
        <v>13.161</v>
      </c>
      <c r="F38" s="6">
        <v>1683568</v>
      </c>
      <c r="G38">
        <v>13.162000000000001</v>
      </c>
      <c r="H38" s="6">
        <v>1089786</v>
      </c>
      <c r="I38">
        <v>6.9909999999999997</v>
      </c>
      <c r="J38">
        <v>1087329</v>
      </c>
      <c r="K38" s="6">
        <v>1085761</v>
      </c>
      <c r="L38">
        <v>6.992</v>
      </c>
      <c r="M38">
        <v>6032071</v>
      </c>
      <c r="N38">
        <v>1377861</v>
      </c>
      <c r="O38" s="6">
        <v>1375628</v>
      </c>
      <c r="P38" s="9">
        <f>(1-(D38/AVERAGE(D24,D38)))*100</f>
        <v>5.4534883232141285</v>
      </c>
      <c r="Q38" s="9">
        <f>(1-(N38/AVERAGE(N24,N38)))*100</f>
        <v>4.0245827730429511</v>
      </c>
      <c r="R38" s="26">
        <f t="shared" si="5"/>
        <v>0.78914273645890265</v>
      </c>
      <c r="S38" s="25">
        <f>N38/F38</f>
        <v>0.81841719490985809</v>
      </c>
      <c r="T38" s="25">
        <f>N38/D38</f>
        <v>0.64484623218303871</v>
      </c>
      <c r="U38" s="25">
        <f>H38/F38</f>
        <v>0.64730738526747955</v>
      </c>
      <c r="V38" s="25">
        <f>D38/F38</f>
        <v>1.2691664369957139</v>
      </c>
      <c r="W38" s="9">
        <v>1</v>
      </c>
      <c r="X38" s="13"/>
      <c r="Y38" s="9"/>
    </row>
    <row r="39" spans="1:26" x14ac:dyDescent="0.25">
      <c r="A39" t="s">
        <v>66</v>
      </c>
      <c r="B39" s="6"/>
      <c r="D39" s="6"/>
      <c r="F39" s="6"/>
      <c r="H39" s="6"/>
      <c r="J39" s="13">
        <f>AVERAGE(J38,J24)</f>
        <v>1127014.5</v>
      </c>
      <c r="K39" s="6"/>
      <c r="N39" s="13">
        <f>AVERAGE(N38,N24)</f>
        <v>1435639.5</v>
      </c>
      <c r="O39" s="6"/>
      <c r="P39" s="9"/>
      <c r="Q39" s="9"/>
      <c r="R39" s="26"/>
      <c r="S39" s="25"/>
      <c r="T39" s="25"/>
      <c r="U39" s="25"/>
      <c r="V39" s="25"/>
      <c r="W39" s="9"/>
      <c r="X39" s="13"/>
      <c r="Y39" s="9"/>
    </row>
    <row r="40" spans="1:26" x14ac:dyDescent="0.25">
      <c r="A40">
        <v>27</v>
      </c>
      <c r="B40" s="6" t="s">
        <v>65</v>
      </c>
      <c r="C40">
        <v>3.569</v>
      </c>
      <c r="D40" s="6">
        <v>2028556</v>
      </c>
      <c r="E40">
        <v>13.161</v>
      </c>
      <c r="F40" s="10">
        <v>1177331</v>
      </c>
      <c r="G40">
        <v>13.162000000000001</v>
      </c>
      <c r="H40" s="10">
        <v>757337</v>
      </c>
      <c r="I40">
        <v>0</v>
      </c>
      <c r="J40">
        <v>0</v>
      </c>
      <c r="K40" s="6">
        <v>0</v>
      </c>
      <c r="L40">
        <v>0</v>
      </c>
      <c r="M40">
        <v>0</v>
      </c>
      <c r="N40">
        <v>0</v>
      </c>
      <c r="O40" s="6">
        <v>0</v>
      </c>
      <c r="P40" s="13">
        <f>(1-(D40/AVERAGE(D9,D25,D40,D49)))*100</f>
        <v>4.6228769948831179</v>
      </c>
      <c r="Q40" s="13"/>
      <c r="R40" s="26"/>
      <c r="S40" s="27">
        <f>N40/F40</f>
        <v>0</v>
      </c>
      <c r="T40" s="25">
        <f>N40/D40</f>
        <v>0</v>
      </c>
      <c r="U40" s="25">
        <f>H40/F40</f>
        <v>0.64326599741279211</v>
      </c>
      <c r="V40" s="25">
        <f>D40/F40</f>
        <v>1.7230124748265356</v>
      </c>
      <c r="X40" s="13"/>
      <c r="Y40" s="13"/>
    </row>
    <row r="41" spans="1:26" x14ac:dyDescent="0.25">
      <c r="A41">
        <v>28</v>
      </c>
      <c r="B41" s="6" t="s">
        <v>55</v>
      </c>
      <c r="D41" s="6"/>
      <c r="F41" s="6"/>
      <c r="H41" s="6"/>
      <c r="I41">
        <v>6.9880000000000004</v>
      </c>
      <c r="J41">
        <v>401943</v>
      </c>
      <c r="K41" s="6">
        <v>403504</v>
      </c>
      <c r="L41">
        <v>6.9889999999999999</v>
      </c>
      <c r="M41">
        <v>2249933</v>
      </c>
      <c r="N41">
        <v>513282</v>
      </c>
      <c r="O41" s="6">
        <v>515309</v>
      </c>
      <c r="P41" s="13"/>
      <c r="Q41" s="13"/>
      <c r="R41" s="26">
        <f t="shared" si="5"/>
        <v>0.78308415257110131</v>
      </c>
      <c r="S41" s="25"/>
      <c r="T41" s="25"/>
      <c r="U41" s="25"/>
      <c r="V41" s="25"/>
      <c r="X41" s="16">
        <f>(N41+18072.7742)/1440014.4355</f>
        <v>0.36899267194880842</v>
      </c>
      <c r="Y41" s="17">
        <f>(O41+28571.9337999999)/1448665.5571</f>
        <v>0.3754358147982505</v>
      </c>
    </row>
    <row r="42" spans="1:26" x14ac:dyDescent="0.25">
      <c r="A42">
        <v>29</v>
      </c>
      <c r="B42" s="6" t="s">
        <v>56</v>
      </c>
      <c r="D42" s="6"/>
      <c r="F42" s="6"/>
      <c r="H42" s="6"/>
      <c r="I42">
        <v>6.99</v>
      </c>
      <c r="J42">
        <v>394982</v>
      </c>
      <c r="K42" s="6">
        <v>395193</v>
      </c>
      <c r="L42">
        <v>6.9909999999999997</v>
      </c>
      <c r="M42">
        <v>2206527</v>
      </c>
      <c r="N42">
        <v>511933</v>
      </c>
      <c r="O42" s="6">
        <v>511143</v>
      </c>
      <c r="P42" s="13"/>
      <c r="Q42" s="13"/>
      <c r="R42" s="26">
        <f t="shared" si="5"/>
        <v>0.77155018332477099</v>
      </c>
      <c r="S42" s="27"/>
      <c r="T42" s="25"/>
      <c r="U42" s="25"/>
      <c r="V42" s="25"/>
      <c r="X42" s="16">
        <f>(N42+18072.7742)/1440014.4355</f>
        <v>0.36805587578430909</v>
      </c>
      <c r="Y42" s="17">
        <f>(O42+28571.9337999999)/1448665.5571</f>
        <v>0.37256006478156639</v>
      </c>
    </row>
    <row r="43" spans="1:26" ht="15.75" thickBot="1" x14ac:dyDescent="0.3">
      <c r="B43" s="6"/>
      <c r="D43" s="6"/>
      <c r="F43" s="6"/>
      <c r="H43" s="6"/>
      <c r="K43" s="6"/>
      <c r="O43" s="6"/>
      <c r="P43" s="13"/>
      <c r="Q43" s="13"/>
      <c r="R43" s="25"/>
      <c r="S43" s="25"/>
      <c r="T43" s="25"/>
      <c r="U43" s="25"/>
      <c r="V43" s="25"/>
      <c r="W43" t="s">
        <v>66</v>
      </c>
      <c r="X43" s="18">
        <f>AVERAGE(X36:X37,X41:X42)</f>
        <v>0.35174249765359383</v>
      </c>
      <c r="Y43" s="19">
        <f>AVERAGE(Y36:Y37,Y41:Y42)</f>
        <v>0.35715985740405365</v>
      </c>
      <c r="Z43">
        <v>2.5</v>
      </c>
    </row>
    <row r="44" spans="1:26" x14ac:dyDescent="0.25">
      <c r="A44">
        <v>30</v>
      </c>
      <c r="B44" s="6" t="s">
        <v>57</v>
      </c>
      <c r="D44" s="6"/>
      <c r="F44" s="6"/>
      <c r="H44" s="6"/>
      <c r="I44">
        <v>6.9909999999999997</v>
      </c>
      <c r="J44">
        <v>763677</v>
      </c>
      <c r="K44" s="6">
        <v>765697</v>
      </c>
      <c r="L44">
        <v>6.992</v>
      </c>
      <c r="M44">
        <v>4272488</v>
      </c>
      <c r="N44">
        <v>980089</v>
      </c>
      <c r="O44" s="6">
        <v>978297</v>
      </c>
      <c r="P44" s="13"/>
      <c r="Q44" s="13"/>
      <c r="R44" s="26">
        <f t="shared" si="5"/>
        <v>0.77919148158993723</v>
      </c>
      <c r="S44" s="27"/>
      <c r="T44" s="25"/>
      <c r="U44" s="25"/>
      <c r="V44" s="25"/>
      <c r="X44" s="14">
        <f>(N44+18072.7742)/1440014.4355</f>
        <v>0.69316095005215661</v>
      </c>
      <c r="Y44" s="15">
        <f>(O44+28571.9337999999)/1448665.5571</f>
        <v>0.69503200988335279</v>
      </c>
    </row>
    <row r="45" spans="1:26" x14ac:dyDescent="0.25">
      <c r="A45">
        <v>31</v>
      </c>
      <c r="B45" s="6" t="s">
        <v>58</v>
      </c>
      <c r="D45" s="6"/>
      <c r="F45" s="6"/>
      <c r="H45" s="6"/>
      <c r="I45">
        <v>6.9889999999999999</v>
      </c>
      <c r="J45">
        <v>686258</v>
      </c>
      <c r="K45" s="6">
        <v>686891</v>
      </c>
      <c r="L45">
        <v>6.99</v>
      </c>
      <c r="M45">
        <v>3847351</v>
      </c>
      <c r="N45">
        <v>879497</v>
      </c>
      <c r="O45" s="6">
        <v>880157</v>
      </c>
      <c r="P45" s="13"/>
      <c r="Q45" s="13"/>
      <c r="R45" s="26">
        <f t="shared" si="5"/>
        <v>0.78028463997034669</v>
      </c>
      <c r="S45" s="25"/>
      <c r="T45" s="25"/>
      <c r="U45" s="25"/>
      <c r="V45" s="25"/>
      <c r="X45" s="16">
        <f>(N45+18072.7742)/1440014.4355</f>
        <v>0.62330609476727017</v>
      </c>
      <c r="Y45" s="17">
        <f>(O45+28571.9337999999)/1448665.5571</f>
        <v>0.62728690507361273</v>
      </c>
    </row>
    <row r="46" spans="1:26" x14ac:dyDescent="0.25">
      <c r="A46">
        <v>32</v>
      </c>
      <c r="B46" s="6" t="s">
        <v>59</v>
      </c>
      <c r="D46" s="6"/>
      <c r="F46" s="6"/>
      <c r="H46" s="6"/>
      <c r="I46">
        <v>6.9909999999999997</v>
      </c>
      <c r="J46">
        <v>855473</v>
      </c>
      <c r="K46" s="6">
        <v>853825</v>
      </c>
      <c r="L46">
        <v>6.992</v>
      </c>
      <c r="M46">
        <v>4798773</v>
      </c>
      <c r="N46">
        <v>1108585</v>
      </c>
      <c r="O46" s="6">
        <v>1105045</v>
      </c>
      <c r="P46" s="13"/>
      <c r="Q46" s="13"/>
      <c r="R46" s="26">
        <f t="shared" si="5"/>
        <v>0.7716801147408634</v>
      </c>
      <c r="S46" s="27"/>
      <c r="T46" s="25"/>
      <c r="U46" s="25"/>
      <c r="V46" s="25"/>
      <c r="X46" s="21">
        <f>(N46+18072.7742)/1440014.4355</f>
        <v>0.78239338886127452</v>
      </c>
      <c r="Y46" s="20">
        <f>(O46+28571.9337999999)/1448665.5571</f>
        <v>0.78252494390031768</v>
      </c>
    </row>
    <row r="47" spans="1:26" x14ac:dyDescent="0.25">
      <c r="A47">
        <v>33</v>
      </c>
      <c r="B47" s="6" t="s">
        <v>60</v>
      </c>
      <c r="D47" s="6"/>
      <c r="F47" s="6"/>
      <c r="H47" s="6"/>
      <c r="I47">
        <v>6.9889999999999999</v>
      </c>
      <c r="J47">
        <v>879136</v>
      </c>
      <c r="K47" s="6">
        <v>879136</v>
      </c>
      <c r="L47">
        <v>6.99</v>
      </c>
      <c r="M47">
        <v>4931453</v>
      </c>
      <c r="N47">
        <v>1136877</v>
      </c>
      <c r="O47" s="6">
        <v>1136877</v>
      </c>
      <c r="P47" s="13"/>
      <c r="Q47" s="13"/>
      <c r="R47" s="26">
        <f t="shared" si="5"/>
        <v>0.77329033835674399</v>
      </c>
      <c r="S47" s="25"/>
      <c r="T47" s="25"/>
      <c r="U47" s="25"/>
      <c r="V47" s="25"/>
      <c r="X47" s="21">
        <f>(N47+18072.7742)/1440014.4355</f>
        <v>0.80204041412889027</v>
      </c>
      <c r="Y47" s="20">
        <f>(O47+28571.9337999999)/1448665.5571</f>
        <v>0.80449826951987791</v>
      </c>
    </row>
    <row r="48" spans="1:26" ht="15.75" thickBot="1" x14ac:dyDescent="0.3">
      <c r="B48" s="6"/>
      <c r="D48" s="6"/>
      <c r="F48" s="6"/>
      <c r="H48" s="6"/>
      <c r="K48" s="6"/>
      <c r="O48" s="6"/>
      <c r="P48" s="13"/>
      <c r="Q48" s="13"/>
      <c r="S48" s="27"/>
      <c r="T48" s="25"/>
      <c r="U48" s="25"/>
      <c r="V48" s="25"/>
      <c r="W48" t="s">
        <v>66</v>
      </c>
      <c r="X48" s="18">
        <f>AVERAGE(X44:X47)</f>
        <v>0.72522521195239786</v>
      </c>
      <c r="Y48" s="22">
        <f>AVERAGE(Y44:Y47)</f>
        <v>0.72733553209429025</v>
      </c>
      <c r="Z48">
        <v>5</v>
      </c>
    </row>
    <row r="49" spans="1:41" x14ac:dyDescent="0.25">
      <c r="A49">
        <v>34</v>
      </c>
      <c r="B49" s="6" t="s">
        <v>69</v>
      </c>
      <c r="C49">
        <v>3.569</v>
      </c>
      <c r="D49" s="6">
        <v>1997553</v>
      </c>
      <c r="E49">
        <v>13.161</v>
      </c>
      <c r="F49" s="10">
        <v>1561453</v>
      </c>
      <c r="G49">
        <v>13.162000000000001</v>
      </c>
      <c r="H49" s="10">
        <v>1003673</v>
      </c>
      <c r="I49">
        <v>0</v>
      </c>
      <c r="J49">
        <v>0</v>
      </c>
      <c r="K49" s="6">
        <v>0</v>
      </c>
      <c r="L49">
        <v>0</v>
      </c>
      <c r="M49">
        <v>0</v>
      </c>
      <c r="N49">
        <v>0</v>
      </c>
      <c r="O49" s="6">
        <v>0</v>
      </c>
      <c r="P49" s="13">
        <f>(1-(D49/AVERAGE(D9,D25,D40,D49)))*100</f>
        <v>6.0805527723956088</v>
      </c>
      <c r="Q49" s="13"/>
      <c r="S49" s="25">
        <f>N49/F49</f>
        <v>0</v>
      </c>
      <c r="T49" s="25">
        <f>N49/D49</f>
        <v>0</v>
      </c>
      <c r="U49" s="25">
        <f>H49/F49</f>
        <v>0.64278143498395401</v>
      </c>
      <c r="V49" s="25">
        <f>D49/F49</f>
        <v>1.2792911474120578</v>
      </c>
    </row>
    <row r="50" spans="1:41" x14ac:dyDescent="0.25">
      <c r="B50" s="6"/>
      <c r="D50" s="6"/>
      <c r="F50" s="6"/>
      <c r="H50" s="6"/>
      <c r="K50" s="6"/>
      <c r="O50" s="6"/>
      <c r="P50" s="13"/>
      <c r="Q50" s="13"/>
    </row>
    <row r="51" spans="1:41" ht="15.75" thickBot="1" x14ac:dyDescent="0.3">
      <c r="A51" s="23"/>
      <c r="B51" s="24"/>
      <c r="C51" s="23"/>
      <c r="D51" s="24"/>
      <c r="E51" s="23"/>
      <c r="F51" s="24"/>
      <c r="G51" s="23"/>
      <c r="H51" s="24"/>
      <c r="I51" s="23"/>
      <c r="J51" s="23"/>
      <c r="K51" s="24"/>
      <c r="L51" s="23"/>
      <c r="M51" s="23"/>
      <c r="N51" s="23"/>
      <c r="O51" s="2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5">
      <c r="A52" t="s">
        <v>71</v>
      </c>
      <c r="B52" s="6"/>
      <c r="D52" s="6"/>
      <c r="F52" s="6"/>
      <c r="H52" s="6"/>
      <c r="K52" s="6"/>
      <c r="O52" s="6"/>
      <c r="P52" s="9" t="s">
        <v>199</v>
      </c>
      <c r="R52" t="s">
        <v>45</v>
      </c>
      <c r="X52" t="s">
        <v>83</v>
      </c>
      <c r="Y52" t="s">
        <v>47</v>
      </c>
      <c r="AA52" t="s">
        <v>67</v>
      </c>
    </row>
    <row r="53" spans="1:41" x14ac:dyDescent="0.25">
      <c r="A53" t="s">
        <v>82</v>
      </c>
      <c r="B53" s="6"/>
      <c r="C53" s="1" t="s">
        <v>13</v>
      </c>
      <c r="D53" s="2"/>
      <c r="E53" s="1" t="s">
        <v>17</v>
      </c>
      <c r="F53" s="2"/>
      <c r="G53" s="1" t="s">
        <v>21</v>
      </c>
      <c r="H53" s="2"/>
      <c r="I53" s="1" t="s">
        <v>24</v>
      </c>
      <c r="J53" s="1"/>
      <c r="K53" s="2"/>
      <c r="L53" s="1" t="s">
        <v>22</v>
      </c>
      <c r="M53" s="1" t="s">
        <v>15</v>
      </c>
      <c r="N53" s="1"/>
      <c r="O53" s="2"/>
      <c r="P53" s="9" t="s">
        <v>200</v>
      </c>
      <c r="Q53" s="9"/>
      <c r="R53" t="s">
        <v>46</v>
      </c>
      <c r="W53" t="s">
        <v>27</v>
      </c>
      <c r="Y53" t="s">
        <v>48</v>
      </c>
      <c r="AA53" t="s">
        <v>68</v>
      </c>
    </row>
    <row r="54" spans="1:41" x14ac:dyDescent="0.25">
      <c r="B54" s="6"/>
      <c r="C54" s="4" t="s">
        <v>14</v>
      </c>
      <c r="D54" s="5" t="s">
        <v>20</v>
      </c>
      <c r="E54" s="4" t="s">
        <v>14</v>
      </c>
      <c r="F54" s="5" t="s">
        <v>19</v>
      </c>
      <c r="G54" s="4" t="s">
        <v>14</v>
      </c>
      <c r="H54" s="5" t="s">
        <v>18</v>
      </c>
      <c r="I54" s="4" t="s">
        <v>14</v>
      </c>
      <c r="J54" s="4" t="s">
        <v>25</v>
      </c>
      <c r="K54" s="5" t="s">
        <v>31</v>
      </c>
      <c r="L54" s="4" t="s">
        <v>14</v>
      </c>
      <c r="M54" s="4" t="s">
        <v>16</v>
      </c>
      <c r="N54" s="4" t="s">
        <v>23</v>
      </c>
      <c r="O54" s="11" t="s">
        <v>32</v>
      </c>
      <c r="P54" t="s">
        <v>201</v>
      </c>
      <c r="Q54" t="s">
        <v>202</v>
      </c>
      <c r="R54" s="9" t="s">
        <v>44</v>
      </c>
      <c r="S54" s="9" t="s">
        <v>84</v>
      </c>
      <c r="T54" s="9" t="s">
        <v>87</v>
      </c>
      <c r="U54" s="9" t="s">
        <v>85</v>
      </c>
      <c r="V54" s="9" t="s">
        <v>86</v>
      </c>
      <c r="W54" t="s">
        <v>28</v>
      </c>
      <c r="Y54" t="s">
        <v>23</v>
      </c>
      <c r="Z54" t="s">
        <v>32</v>
      </c>
      <c r="AA54" t="s">
        <v>28</v>
      </c>
    </row>
    <row r="55" spans="1:41" x14ac:dyDescent="0.25">
      <c r="A55">
        <v>1</v>
      </c>
      <c r="B55" s="6" t="s">
        <v>5</v>
      </c>
      <c r="D55" s="6"/>
      <c r="F55" s="6"/>
      <c r="H55" s="6"/>
      <c r="K55" s="6"/>
      <c r="O55" s="6"/>
      <c r="P55" s="13"/>
      <c r="Q55" s="13"/>
    </row>
    <row r="56" spans="1:41" x14ac:dyDescent="0.25">
      <c r="A56">
        <v>2</v>
      </c>
      <c r="B56" s="6" t="s">
        <v>6</v>
      </c>
      <c r="C56">
        <v>3.5670000000000002</v>
      </c>
      <c r="D56" s="6">
        <v>1450137</v>
      </c>
      <c r="E56">
        <v>13.16</v>
      </c>
      <c r="F56" s="10">
        <v>760975</v>
      </c>
      <c r="G56">
        <v>13.161</v>
      </c>
      <c r="H56" s="10">
        <v>491263</v>
      </c>
      <c r="I56">
        <v>0</v>
      </c>
      <c r="J56">
        <v>0</v>
      </c>
      <c r="K56" s="6">
        <v>0</v>
      </c>
      <c r="L56">
        <v>0</v>
      </c>
      <c r="M56">
        <v>0</v>
      </c>
      <c r="N56">
        <v>0</v>
      </c>
      <c r="O56" s="6">
        <v>0</v>
      </c>
      <c r="P56" s="9">
        <f>(1-(D56/AVERAGE(D56,D66,D72,D91)))*100</f>
        <v>4.6937194822794677</v>
      </c>
      <c r="Q56" s="13"/>
      <c r="R56" s="25"/>
      <c r="S56" s="25">
        <f>N56/F56</f>
        <v>0</v>
      </c>
      <c r="T56" s="25">
        <f t="shared" ref="T56:T91" si="6">N56/D56</f>
        <v>0</v>
      </c>
      <c r="U56" s="25">
        <f>H56/F56</f>
        <v>0.64557048523276062</v>
      </c>
      <c r="V56" s="25">
        <f>D56/F56</f>
        <v>1.9056302769473372</v>
      </c>
      <c r="W56">
        <v>0</v>
      </c>
    </row>
    <row r="57" spans="1:41" x14ac:dyDescent="0.25">
      <c r="A57">
        <v>3</v>
      </c>
      <c r="B57" s="6" t="s">
        <v>12</v>
      </c>
      <c r="C57">
        <v>3.5640000000000001</v>
      </c>
      <c r="D57" s="6">
        <v>1484318</v>
      </c>
      <c r="E57">
        <v>13.161</v>
      </c>
      <c r="F57" s="6">
        <v>1216684</v>
      </c>
      <c r="G57">
        <v>13.162000000000001</v>
      </c>
      <c r="H57" s="6">
        <v>786404</v>
      </c>
      <c r="I57">
        <v>6.9850000000000003</v>
      </c>
      <c r="J57" s="31">
        <v>380553</v>
      </c>
      <c r="K57" s="6">
        <v>381714</v>
      </c>
      <c r="L57">
        <v>6.9859999999999998</v>
      </c>
      <c r="M57">
        <v>2071746</v>
      </c>
      <c r="N57">
        <v>489365</v>
      </c>
      <c r="O57" s="6">
        <v>489365</v>
      </c>
      <c r="P57" s="9">
        <f>(1-(D57/AVERAGE(D57:D58)))*100</f>
        <v>2.5731201428271344</v>
      </c>
      <c r="Q57" s="9">
        <f>(1-(N57/AVERAGE(N57:N58)))*100</f>
        <v>3.8226074309916203</v>
      </c>
      <c r="R57" s="26">
        <f t="shared" ref="R57:R89" si="7">J57/N57</f>
        <v>0.77764654194721727</v>
      </c>
      <c r="S57" s="25">
        <f t="shared" ref="S57:S66" si="8">N57/F57</f>
        <v>0.40221207807450415</v>
      </c>
      <c r="T57" s="25">
        <f t="shared" si="6"/>
        <v>0.32969013378534789</v>
      </c>
      <c r="U57" s="25">
        <f t="shared" ref="U57:U66" si="9">H57/F57</f>
        <v>0.64635024377734895</v>
      </c>
      <c r="V57" s="25">
        <f t="shared" ref="V57:V66" si="10">D57/F57</f>
        <v>1.2199700168655132</v>
      </c>
      <c r="W57" s="9">
        <v>0.5</v>
      </c>
      <c r="X57">
        <f>(N57+1023632.7355)/6827408.6194</f>
        <v>0.22160644247963054</v>
      </c>
    </row>
    <row r="58" spans="1:41" x14ac:dyDescent="0.25">
      <c r="A58">
        <v>4</v>
      </c>
      <c r="B58" s="6" t="s">
        <v>26</v>
      </c>
      <c r="C58">
        <v>3.5710000000000002</v>
      </c>
      <c r="D58" s="6">
        <v>1562722</v>
      </c>
      <c r="E58" s="9">
        <v>13.162000000000001</v>
      </c>
      <c r="F58" s="6">
        <v>2470434</v>
      </c>
      <c r="G58" s="9">
        <v>13.162000000000001</v>
      </c>
      <c r="H58" s="6">
        <v>1593865</v>
      </c>
      <c r="I58" s="9">
        <v>6.9909999999999997</v>
      </c>
      <c r="J58" s="33">
        <v>412825</v>
      </c>
      <c r="K58" s="6">
        <v>4125825</v>
      </c>
      <c r="L58" s="9">
        <v>6.992</v>
      </c>
      <c r="M58" s="9">
        <v>2240588</v>
      </c>
      <c r="N58">
        <v>528265</v>
      </c>
      <c r="O58" s="6">
        <v>530405</v>
      </c>
      <c r="P58" s="13">
        <f>(1-(D58/AVERAGE(D57:D58)))*100</f>
        <v>-2.5731201428271344</v>
      </c>
      <c r="Q58" s="9">
        <f>(1-(N58/AVERAGE(N57:N58)))*100</f>
        <v>-3.8226074309916092</v>
      </c>
      <c r="R58" s="26">
        <f t="shared" si="7"/>
        <v>0.78147331358314487</v>
      </c>
      <c r="S58" s="25">
        <f t="shared" si="8"/>
        <v>0.21383489702619055</v>
      </c>
      <c r="T58" s="25">
        <f t="shared" si="6"/>
        <v>0.33804157105358473</v>
      </c>
      <c r="U58" s="25">
        <f t="shared" si="9"/>
        <v>0.6451761107562477</v>
      </c>
      <c r="V58" s="25">
        <f t="shared" si="10"/>
        <v>0.6325698237637597</v>
      </c>
      <c r="W58" s="9">
        <v>0.5</v>
      </c>
      <c r="X58">
        <f t="shared" ref="X58:X91" si="11">(N58+1023632.7355)/6827408.6194</f>
        <v>0.22730406542392981</v>
      </c>
    </row>
    <row r="59" spans="1:41" x14ac:dyDescent="0.25">
      <c r="A59" t="s">
        <v>66</v>
      </c>
      <c r="B59" s="6"/>
      <c r="D59" s="6"/>
      <c r="E59" s="9"/>
      <c r="F59" s="6"/>
      <c r="G59" s="9"/>
      <c r="H59" s="6"/>
      <c r="I59" s="9"/>
      <c r="J59" s="34">
        <f>AVERAGE(J57:J58)</f>
        <v>396689</v>
      </c>
      <c r="K59" s="6"/>
      <c r="L59" s="9"/>
      <c r="M59" s="9"/>
      <c r="N59" s="34">
        <f>AVERAGE(N57:N58)</f>
        <v>508815</v>
      </c>
      <c r="O59" s="6"/>
      <c r="P59" s="13"/>
      <c r="Q59" s="9"/>
      <c r="R59" s="26"/>
      <c r="S59" s="25"/>
      <c r="T59" s="25"/>
      <c r="U59" s="25"/>
      <c r="V59" s="25"/>
      <c r="W59" s="9"/>
    </row>
    <row r="60" spans="1:41" x14ac:dyDescent="0.25">
      <c r="A60">
        <v>5</v>
      </c>
      <c r="B60" s="6" t="s">
        <v>33</v>
      </c>
      <c r="C60">
        <v>3.57</v>
      </c>
      <c r="D60" s="6">
        <v>1258427</v>
      </c>
      <c r="E60" s="9">
        <v>13.162000000000001</v>
      </c>
      <c r="F60" s="6">
        <v>1189937</v>
      </c>
      <c r="G60" s="9">
        <v>13.163</v>
      </c>
      <c r="H60" s="6">
        <v>766554</v>
      </c>
      <c r="I60" s="9">
        <v>6.992</v>
      </c>
      <c r="J60" s="31">
        <v>771676</v>
      </c>
      <c r="K60" s="6">
        <v>771676</v>
      </c>
      <c r="L60">
        <v>6.992</v>
      </c>
      <c r="M60">
        <v>4197917</v>
      </c>
      <c r="N60">
        <v>998863</v>
      </c>
      <c r="O60" s="6">
        <v>998863</v>
      </c>
      <c r="P60" s="9">
        <f>(1-(D60/AVERAGE(D60:D61)))*100</f>
        <v>1.9663565788207826</v>
      </c>
      <c r="Q60" s="9">
        <f>(1-(N60/AVERAGE(N60:N61)))*100</f>
        <v>-8.9465690484955118</v>
      </c>
      <c r="R60" s="26">
        <f t="shared" si="7"/>
        <v>0.77255439434637185</v>
      </c>
      <c r="S60" s="25">
        <f t="shared" si="8"/>
        <v>0.83942511242191808</v>
      </c>
      <c r="T60" s="25">
        <f t="shared" si="6"/>
        <v>0.79373932695341087</v>
      </c>
      <c r="U60" s="25">
        <f t="shared" si="9"/>
        <v>0.64419712976401267</v>
      </c>
      <c r="V60" s="25">
        <f t="shared" si="10"/>
        <v>1.0575576690194524</v>
      </c>
      <c r="W60">
        <v>1</v>
      </c>
      <c r="X60">
        <f t="shared" si="11"/>
        <v>0.29623182795198494</v>
      </c>
    </row>
    <row r="61" spans="1:41" x14ac:dyDescent="0.25">
      <c r="A61">
        <v>6</v>
      </c>
      <c r="B61" s="6" t="s">
        <v>34</v>
      </c>
      <c r="C61">
        <v>3.57</v>
      </c>
      <c r="D61" s="6">
        <v>1308910</v>
      </c>
      <c r="E61">
        <v>13.162000000000001</v>
      </c>
      <c r="F61" s="6">
        <v>614429</v>
      </c>
      <c r="G61">
        <v>13.163</v>
      </c>
      <c r="H61" s="6">
        <v>398863</v>
      </c>
      <c r="I61">
        <v>6.9909999999999997</v>
      </c>
      <c r="J61" s="33">
        <v>642610</v>
      </c>
      <c r="K61" s="6">
        <v>642610</v>
      </c>
      <c r="L61">
        <v>6.992</v>
      </c>
      <c r="M61">
        <v>3492415</v>
      </c>
      <c r="N61">
        <v>834812</v>
      </c>
      <c r="O61" s="6">
        <v>834812</v>
      </c>
      <c r="P61" s="13">
        <f>(1-(D61/AVERAGE(D60:D61)))*100</f>
        <v>-1.9663565788207826</v>
      </c>
      <c r="Q61" s="9">
        <f>(1-(N61/AVERAGE(N60:N61)))*100</f>
        <v>8.9465690484955118</v>
      </c>
      <c r="R61" s="26">
        <f t="shared" si="7"/>
        <v>0.76976612698427904</v>
      </c>
      <c r="S61" s="25">
        <f t="shared" si="8"/>
        <v>1.3586793592099331</v>
      </c>
      <c r="T61" s="25">
        <f t="shared" si="6"/>
        <v>0.63779175038772717</v>
      </c>
      <c r="U61" s="25">
        <f t="shared" si="9"/>
        <v>0.64916044001829343</v>
      </c>
      <c r="V61" s="25">
        <f t="shared" si="10"/>
        <v>2.1302868191442785</v>
      </c>
      <c r="W61">
        <v>1</v>
      </c>
      <c r="X61">
        <f t="shared" si="11"/>
        <v>0.27220353125185026</v>
      </c>
    </row>
    <row r="62" spans="1:41" x14ac:dyDescent="0.25">
      <c r="A62" t="s">
        <v>66</v>
      </c>
      <c r="B62" s="6"/>
      <c r="D62" s="6"/>
      <c r="F62" s="6"/>
      <c r="H62" s="6"/>
      <c r="J62" s="34">
        <f>AVERAGE(J60:J61)</f>
        <v>707143</v>
      </c>
      <c r="K62" s="6"/>
      <c r="N62" s="34">
        <f>AVERAGE(N60:N61)</f>
        <v>916837.5</v>
      </c>
      <c r="O62" s="6"/>
      <c r="P62" s="13"/>
      <c r="Q62" s="9"/>
      <c r="R62" s="26"/>
      <c r="S62" s="25"/>
      <c r="T62" s="25"/>
      <c r="U62" s="25"/>
      <c r="V62" s="25"/>
    </row>
    <row r="63" spans="1:41" x14ac:dyDescent="0.25">
      <c r="A63">
        <v>7</v>
      </c>
      <c r="B63" s="6" t="s">
        <v>72</v>
      </c>
      <c r="C63">
        <v>3.57</v>
      </c>
      <c r="D63" s="6">
        <v>1501740</v>
      </c>
      <c r="E63">
        <v>13.162000000000001</v>
      </c>
      <c r="F63" s="6">
        <v>899564</v>
      </c>
      <c r="G63">
        <v>13.163</v>
      </c>
      <c r="H63" s="6">
        <v>577016</v>
      </c>
      <c r="I63" s="9">
        <v>6.99</v>
      </c>
      <c r="J63">
        <v>3665552</v>
      </c>
      <c r="K63" s="6">
        <v>3657518</v>
      </c>
      <c r="L63" s="9">
        <v>6.9909999999999997</v>
      </c>
      <c r="M63" s="9">
        <v>19828451</v>
      </c>
      <c r="N63">
        <v>4697540</v>
      </c>
      <c r="O63" s="6">
        <v>4686871</v>
      </c>
      <c r="P63" s="9">
        <f>(1-(D63/AVERAGE(D63:D64)))*100</f>
        <v>7.738725142509062</v>
      </c>
      <c r="Q63" s="9">
        <f>(1-(N63/AVERAGE(N63:N64)))*100</f>
        <v>3.8073534172722634</v>
      </c>
      <c r="R63" s="26">
        <f t="shared" si="7"/>
        <v>0.78031310004811028</v>
      </c>
      <c r="S63" s="25">
        <f t="shared" si="8"/>
        <v>5.2220186668208157</v>
      </c>
      <c r="T63" s="25">
        <f t="shared" si="6"/>
        <v>3.1280647781906321</v>
      </c>
      <c r="U63" s="25">
        <f t="shared" si="9"/>
        <v>0.64143963075445443</v>
      </c>
      <c r="V63" s="25">
        <f t="shared" si="10"/>
        <v>1.6694087357875593</v>
      </c>
      <c r="W63">
        <v>5</v>
      </c>
      <c r="X63">
        <f t="shared" si="11"/>
        <v>0.83797133794560885</v>
      </c>
    </row>
    <row r="64" spans="1:41" x14ac:dyDescent="0.25">
      <c r="A64">
        <v>8</v>
      </c>
      <c r="B64" s="6" t="s">
        <v>73</v>
      </c>
      <c r="C64">
        <v>3.5670000000000002</v>
      </c>
      <c r="D64" s="6">
        <v>1753667</v>
      </c>
      <c r="E64">
        <v>13.162000000000001</v>
      </c>
      <c r="F64" s="6">
        <v>873395</v>
      </c>
      <c r="G64">
        <v>13.163</v>
      </c>
      <c r="H64" s="6">
        <v>555161</v>
      </c>
      <c r="I64" s="9">
        <v>6.9870000000000001</v>
      </c>
      <c r="J64">
        <v>3965190</v>
      </c>
      <c r="K64" s="6">
        <v>3950723</v>
      </c>
      <c r="L64" s="9">
        <v>6.9880000000000004</v>
      </c>
      <c r="M64" s="9">
        <v>21577056</v>
      </c>
      <c r="N64">
        <v>5069402</v>
      </c>
      <c r="O64" s="6">
        <v>5061150</v>
      </c>
      <c r="P64" s="13">
        <f>(1-(D64/AVERAGE(D63:D64)))*100</f>
        <v>-7.738725142509062</v>
      </c>
      <c r="Q64" s="9">
        <f>(1-(N64/AVERAGE(N63:N64)))*100</f>
        <v>-3.8073534172722745</v>
      </c>
      <c r="R64" s="26">
        <f t="shared" si="7"/>
        <v>0.78218101464433087</v>
      </c>
      <c r="S64" s="25">
        <f t="shared" si="8"/>
        <v>5.8042489366208878</v>
      </c>
      <c r="T64" s="25">
        <f t="shared" si="6"/>
        <v>2.890743795714922</v>
      </c>
      <c r="U64" s="25">
        <f t="shared" si="9"/>
        <v>0.6356356516810836</v>
      </c>
      <c r="V64" s="25">
        <f t="shared" si="10"/>
        <v>2.0078738715014399</v>
      </c>
      <c r="W64">
        <v>5</v>
      </c>
      <c r="X64">
        <f t="shared" si="11"/>
        <v>0.89243739098707453</v>
      </c>
    </row>
    <row r="65" spans="1:26" x14ac:dyDescent="0.25">
      <c r="A65" t="s">
        <v>66</v>
      </c>
      <c r="B65" s="6"/>
      <c r="D65" s="6"/>
      <c r="F65" s="6"/>
      <c r="H65" s="6"/>
      <c r="I65" s="9"/>
      <c r="J65" s="34">
        <f>AVERAGE(J63:J64)</f>
        <v>3815371</v>
      </c>
      <c r="K65" s="6"/>
      <c r="L65" s="9"/>
      <c r="M65" s="9"/>
      <c r="N65" s="34">
        <f>AVERAGE(N63:N64)</f>
        <v>4883471</v>
      </c>
      <c r="O65" s="6"/>
      <c r="P65" s="13"/>
      <c r="Q65" s="9"/>
      <c r="R65" s="26"/>
      <c r="S65" s="25"/>
      <c r="T65" s="25"/>
      <c r="U65" s="25"/>
      <c r="V65" s="25"/>
    </row>
    <row r="66" spans="1:26" x14ac:dyDescent="0.25">
      <c r="A66">
        <v>9</v>
      </c>
      <c r="B66" s="6" t="s">
        <v>7</v>
      </c>
      <c r="C66">
        <v>3.569</v>
      </c>
      <c r="D66" s="6">
        <v>1587481</v>
      </c>
      <c r="E66">
        <v>13.162000000000001</v>
      </c>
      <c r="F66" s="10">
        <v>865614</v>
      </c>
      <c r="G66">
        <v>13.163</v>
      </c>
      <c r="H66" s="10">
        <v>559399</v>
      </c>
      <c r="I66" s="9">
        <v>0</v>
      </c>
      <c r="J66">
        <v>0</v>
      </c>
      <c r="K66" s="6">
        <v>0</v>
      </c>
      <c r="L66" s="9">
        <v>0</v>
      </c>
      <c r="M66" s="9">
        <v>0</v>
      </c>
      <c r="N66" s="9">
        <v>0</v>
      </c>
      <c r="O66" s="6">
        <v>0</v>
      </c>
      <c r="P66" s="13">
        <f>(1-(D66/AVERAGE(D56,D66,D72,D91)))*100</f>
        <v>-4.3328385542548808</v>
      </c>
      <c r="Q66" s="13"/>
      <c r="R66" s="26"/>
      <c r="S66" s="25">
        <f t="shared" si="8"/>
        <v>0</v>
      </c>
      <c r="T66" s="25">
        <f t="shared" si="6"/>
        <v>0</v>
      </c>
      <c r="U66" s="25">
        <f t="shared" si="9"/>
        <v>0.6462453241283066</v>
      </c>
      <c r="V66" s="25">
        <f t="shared" si="10"/>
        <v>1.8339363734874898</v>
      </c>
      <c r="W66">
        <v>0</v>
      </c>
      <c r="X66">
        <f t="shared" si="11"/>
        <v>0.14992990643497736</v>
      </c>
    </row>
    <row r="67" spans="1:26" x14ac:dyDescent="0.25">
      <c r="B67" s="6"/>
      <c r="D67" s="6"/>
      <c r="F67" s="6"/>
      <c r="H67" s="6"/>
      <c r="I67" s="9"/>
      <c r="K67" s="6"/>
      <c r="L67" s="9"/>
      <c r="M67" s="9"/>
      <c r="N67" s="9"/>
      <c r="O67" s="6"/>
      <c r="P67" s="13"/>
      <c r="Q67" s="13"/>
      <c r="R67" s="9"/>
      <c r="T67" s="25"/>
    </row>
    <row r="68" spans="1:26" x14ac:dyDescent="0.25">
      <c r="A68">
        <v>10</v>
      </c>
      <c r="B68" s="6" t="s">
        <v>74</v>
      </c>
      <c r="C68">
        <v>3.5710000000000002</v>
      </c>
      <c r="D68" s="6">
        <v>1298525</v>
      </c>
      <c r="E68">
        <v>13.162000000000001</v>
      </c>
      <c r="F68" s="6">
        <v>799160</v>
      </c>
      <c r="G68">
        <v>13.163</v>
      </c>
      <c r="H68" s="6">
        <v>517987</v>
      </c>
      <c r="I68" s="9">
        <v>6.992</v>
      </c>
      <c r="J68">
        <v>2057819</v>
      </c>
      <c r="K68" s="6">
        <v>2054317</v>
      </c>
      <c r="L68" s="9">
        <v>6.9930000000000003</v>
      </c>
      <c r="M68" s="9">
        <v>11103786</v>
      </c>
      <c r="N68" s="9">
        <v>2641400</v>
      </c>
      <c r="O68" s="6">
        <v>2638019</v>
      </c>
      <c r="P68" s="9">
        <f>(1-(D68/AVERAGE(D68,D83)))*100</f>
        <v>3.3111478201495403</v>
      </c>
      <c r="Q68" s="9">
        <f>(1-(N68/AVERAGE(N68,N83)))*100</f>
        <v>4.2799342635726383</v>
      </c>
      <c r="R68" s="26">
        <f t="shared" si="7"/>
        <v>0.77906375406981143</v>
      </c>
      <c r="S68" s="25">
        <f>N68/F68</f>
        <v>3.305220481505581</v>
      </c>
      <c r="T68" s="25">
        <f t="shared" si="6"/>
        <v>2.0341541364240197</v>
      </c>
      <c r="U68" s="25">
        <f>H68/F68</f>
        <v>0.64816432253866563</v>
      </c>
      <c r="V68" s="25">
        <f>D68/F68</f>
        <v>1.6248623554732469</v>
      </c>
      <c r="W68">
        <v>0.5</v>
      </c>
      <c r="X68">
        <f t="shared" si="11"/>
        <v>0.53681168651395106</v>
      </c>
      <c r="Y68">
        <f>(N68+14335.6801)/978353.597</f>
        <v>2.7144947268998494</v>
      </c>
      <c r="Z68">
        <f>(O68+12648.262)/976154.1411</f>
        <v>2.7154187544735913</v>
      </c>
    </row>
    <row r="69" spans="1:26" x14ac:dyDescent="0.25">
      <c r="A69">
        <v>11</v>
      </c>
      <c r="B69" s="6" t="s">
        <v>77</v>
      </c>
      <c r="C69">
        <v>3.569</v>
      </c>
      <c r="D69" s="6">
        <v>1368902</v>
      </c>
      <c r="E69">
        <v>13.163</v>
      </c>
      <c r="F69" s="6">
        <v>723749</v>
      </c>
      <c r="G69">
        <v>13.163</v>
      </c>
      <c r="H69" s="6">
        <v>468595</v>
      </c>
      <c r="I69">
        <v>6.99</v>
      </c>
      <c r="J69">
        <v>3734937</v>
      </c>
      <c r="K69" s="6">
        <v>3727509</v>
      </c>
      <c r="L69">
        <v>6.9909999999999997</v>
      </c>
      <c r="M69">
        <v>20188298</v>
      </c>
      <c r="N69">
        <v>4812094</v>
      </c>
      <c r="O69" s="6">
        <v>4805424</v>
      </c>
      <c r="P69" s="9">
        <f>(1-(D69/AVERAGE(D69,D85)))*100</f>
        <v>4.3876565336402829</v>
      </c>
      <c r="Q69" s="9">
        <f>(1-(N69/AVERAGE(N69,N85)))*100</f>
        <v>2.4714848162904257</v>
      </c>
      <c r="R69" s="26">
        <f t="shared" si="7"/>
        <v>0.77615628456135732</v>
      </c>
      <c r="S69" s="25">
        <f>N69/F69</f>
        <v>6.648843728972337</v>
      </c>
      <c r="T69" s="25">
        <f t="shared" si="6"/>
        <v>3.5152947398718095</v>
      </c>
      <c r="U69" s="25">
        <f>H69/F69</f>
        <v>0.64745512601744526</v>
      </c>
      <c r="V69" s="25">
        <f>D69/F69</f>
        <v>1.8914043404550474</v>
      </c>
      <c r="W69">
        <v>0.75</v>
      </c>
      <c r="X69">
        <f t="shared" si="11"/>
        <v>0.85474988547160524</v>
      </c>
      <c r="Y69">
        <f>(N69+14335.6801)/978353.597</f>
        <v>4.93321606308767</v>
      </c>
      <c r="Z69">
        <f>(O69+12648.262)/976154.1411</f>
        <v>4.9357699354434468</v>
      </c>
    </row>
    <row r="70" spans="1:26" x14ac:dyDescent="0.25">
      <c r="A70">
        <v>12</v>
      </c>
      <c r="B70" s="6" t="s">
        <v>75</v>
      </c>
      <c r="C70">
        <v>3.5649999999999999</v>
      </c>
      <c r="D70" s="6">
        <v>1056495</v>
      </c>
      <c r="E70">
        <v>13.162000000000001</v>
      </c>
      <c r="F70" s="6">
        <v>567473</v>
      </c>
      <c r="G70">
        <v>13.163</v>
      </c>
      <c r="H70" s="6">
        <v>360947</v>
      </c>
      <c r="I70">
        <v>6.9880000000000004</v>
      </c>
      <c r="J70">
        <v>3653753</v>
      </c>
      <c r="K70" s="6">
        <v>3638146</v>
      </c>
      <c r="L70">
        <v>6.9889999999999999</v>
      </c>
      <c r="M70">
        <v>19747127</v>
      </c>
      <c r="N70">
        <v>4634306</v>
      </c>
      <c r="O70" s="6">
        <v>4612072</v>
      </c>
      <c r="P70" s="9">
        <f>(1-(D70/AVERAGE(D70,D87)))*100</f>
        <v>11.829617126750225</v>
      </c>
      <c r="Q70" s="9">
        <f>(1-(N70/AVERAGE(N70,N87)))*100</f>
        <v>10.661716051211712</v>
      </c>
      <c r="R70" s="26">
        <f t="shared" si="7"/>
        <v>0.78841427389559515</v>
      </c>
      <c r="S70" s="25">
        <f>N70/F70</f>
        <v>8.1665665150588662</v>
      </c>
      <c r="T70" s="25">
        <f t="shared" si="6"/>
        <v>4.3864911807438745</v>
      </c>
      <c r="U70" s="25">
        <f>H70/F70</f>
        <v>0.6360602178429634</v>
      </c>
      <c r="V70" s="25">
        <f>D70/F70</f>
        <v>1.8617537750694746</v>
      </c>
      <c r="W70">
        <v>1</v>
      </c>
      <c r="X70">
        <f t="shared" si="11"/>
        <v>0.82870955158931525</v>
      </c>
      <c r="Y70">
        <f>(N70+14335.6801)/978353.597</f>
        <v>4.751494443680162</v>
      </c>
      <c r="Z70">
        <f>(O70+12648.262)/976154.1411</f>
        <v>4.737694660382771</v>
      </c>
    </row>
    <row r="71" spans="1:26" x14ac:dyDescent="0.25">
      <c r="A71">
        <v>13</v>
      </c>
      <c r="B71" s="6" t="s">
        <v>76</v>
      </c>
      <c r="C71">
        <v>3.569</v>
      </c>
      <c r="D71" s="6">
        <v>1379242</v>
      </c>
      <c r="E71">
        <v>13.162000000000001</v>
      </c>
      <c r="F71" s="6">
        <v>942488</v>
      </c>
      <c r="G71">
        <v>13.163</v>
      </c>
      <c r="H71" s="6">
        <v>609963</v>
      </c>
      <c r="I71">
        <v>6.9880000000000004</v>
      </c>
      <c r="J71">
        <v>12668599</v>
      </c>
      <c r="K71" s="6">
        <v>12628802</v>
      </c>
      <c r="L71">
        <v>6.9889999999999999</v>
      </c>
      <c r="M71">
        <v>68231866</v>
      </c>
      <c r="N71">
        <v>16247860</v>
      </c>
      <c r="O71" s="6">
        <v>16198341</v>
      </c>
      <c r="P71" s="9">
        <f>(1-(D71/AVERAGE(D71,D89)))*100</f>
        <v>-1.9562330418468443</v>
      </c>
      <c r="Q71" s="9">
        <f>(1-(N71/AVERAGE(N71,N89)))*100</f>
        <v>-0.94394397438581912</v>
      </c>
      <c r="R71" s="26">
        <f t="shared" si="7"/>
        <v>0.77970877395546245</v>
      </c>
      <c r="S71" s="25">
        <f>N71/F71</f>
        <v>17.239328246089073</v>
      </c>
      <c r="T71" s="25">
        <f t="shared" si="6"/>
        <v>11.780282212983654</v>
      </c>
      <c r="U71" s="25">
        <f>H71/F71</f>
        <v>0.64718383682338665</v>
      </c>
      <c r="V71" s="25">
        <f>D71/F71</f>
        <v>1.4634053696174381</v>
      </c>
      <c r="W71">
        <v>2.5</v>
      </c>
      <c r="X71">
        <f t="shared" si="11"/>
        <v>2.5297288764031585</v>
      </c>
      <c r="Y71">
        <f>(N71+14335.6801)/978353.597</f>
        <v>16.622002239237435</v>
      </c>
      <c r="Z71">
        <f>(O71+12648.262)/976154.1411</f>
        <v>16.606997378234038</v>
      </c>
    </row>
    <row r="72" spans="1:26" x14ac:dyDescent="0.25">
      <c r="A72">
        <v>14</v>
      </c>
      <c r="B72" s="6" t="s">
        <v>35</v>
      </c>
      <c r="C72">
        <v>3.573</v>
      </c>
      <c r="D72" s="6">
        <v>1624482</v>
      </c>
      <c r="E72">
        <v>13.163</v>
      </c>
      <c r="F72" s="10">
        <v>978070</v>
      </c>
      <c r="G72">
        <v>13.163</v>
      </c>
      <c r="H72" s="10">
        <v>629868</v>
      </c>
      <c r="I72" s="9">
        <v>0</v>
      </c>
      <c r="J72" s="9">
        <v>0</v>
      </c>
      <c r="K72" s="6">
        <v>0</v>
      </c>
      <c r="L72" s="9">
        <v>0</v>
      </c>
      <c r="M72" s="9">
        <v>0</v>
      </c>
      <c r="N72" s="9">
        <v>0</v>
      </c>
      <c r="O72" s="6">
        <v>0</v>
      </c>
      <c r="P72" s="9">
        <f>(1-(D72/AVERAGE(D56,D66,D72,D91)))*100</f>
        <v>-6.764627885494745</v>
      </c>
      <c r="Q72" s="13"/>
      <c r="R72" s="26"/>
      <c r="S72" s="25">
        <f>N72/F72</f>
        <v>0</v>
      </c>
      <c r="T72" s="25">
        <f t="shared" si="6"/>
        <v>0</v>
      </c>
      <c r="U72" s="25">
        <f>H72/F72</f>
        <v>0.64399071641089078</v>
      </c>
      <c r="V72" s="25">
        <f>D72/F72</f>
        <v>1.6609056611489976</v>
      </c>
      <c r="W72">
        <v>0</v>
      </c>
      <c r="X72">
        <f t="shared" si="11"/>
        <v>0.14992990643497736</v>
      </c>
    </row>
    <row r="73" spans="1:26" x14ac:dyDescent="0.25">
      <c r="B73" s="6"/>
      <c r="D73" s="6"/>
      <c r="F73" s="6"/>
      <c r="H73" s="6"/>
      <c r="I73" s="9"/>
      <c r="J73" s="9"/>
      <c r="K73" s="6"/>
      <c r="L73" s="9"/>
      <c r="M73" s="9"/>
      <c r="N73" s="9"/>
      <c r="O73" s="6"/>
      <c r="P73" s="13"/>
      <c r="Q73" s="13"/>
      <c r="R73" s="9"/>
      <c r="S73" s="9"/>
      <c r="T73" s="25"/>
      <c r="U73" s="9"/>
      <c r="V73" s="9"/>
    </row>
    <row r="74" spans="1:26" x14ac:dyDescent="0.25">
      <c r="A74">
        <v>15</v>
      </c>
      <c r="B74" s="6" t="s">
        <v>57</v>
      </c>
      <c r="D74" s="6"/>
      <c r="F74" s="6"/>
      <c r="H74" s="6"/>
      <c r="I74">
        <v>6.9909999999999997</v>
      </c>
      <c r="J74">
        <v>596191</v>
      </c>
      <c r="K74" s="6">
        <v>596191</v>
      </c>
      <c r="L74">
        <v>6.992</v>
      </c>
      <c r="M74">
        <v>3199038</v>
      </c>
      <c r="N74">
        <v>753379</v>
      </c>
      <c r="O74" s="6">
        <v>754769</v>
      </c>
      <c r="P74" s="13"/>
      <c r="Q74" s="13"/>
      <c r="R74" s="26">
        <f t="shared" si="7"/>
        <v>0.79135601071970418</v>
      </c>
      <c r="S74" s="26"/>
      <c r="T74" s="25"/>
      <c r="U74" s="26"/>
      <c r="V74" s="26"/>
      <c r="X74">
        <f t="shared" si="11"/>
        <v>0.26027616546205279</v>
      </c>
      <c r="Y74">
        <f>(N74+14335.6801)/978353.597</f>
        <v>0.78470062608662339</v>
      </c>
      <c r="Z74">
        <f>(O74+12648.262)/976154.1411</f>
        <v>0.78616401825148186</v>
      </c>
    </row>
    <row r="75" spans="1:26" x14ac:dyDescent="0.25">
      <c r="A75">
        <v>16</v>
      </c>
      <c r="B75" s="6" t="s">
        <v>59</v>
      </c>
      <c r="D75" s="6"/>
      <c r="F75" s="6"/>
      <c r="H75" s="6"/>
      <c r="I75">
        <v>6.992</v>
      </c>
      <c r="J75">
        <v>652544</v>
      </c>
      <c r="K75" s="6">
        <v>652544</v>
      </c>
      <c r="L75">
        <v>6.9930000000000003</v>
      </c>
      <c r="M75">
        <v>3536218</v>
      </c>
      <c r="N75">
        <v>843627</v>
      </c>
      <c r="O75" s="6">
        <v>843627</v>
      </c>
      <c r="P75" s="13"/>
      <c r="Q75" s="13"/>
      <c r="R75" s="26">
        <f t="shared" si="7"/>
        <v>0.77349824033607273</v>
      </c>
      <c r="S75" s="26"/>
      <c r="T75" s="25"/>
      <c r="U75" s="26"/>
      <c r="V75" s="26"/>
      <c r="X75">
        <f t="shared" si="11"/>
        <v>0.27349465069282708</v>
      </c>
      <c r="Y75">
        <f>(N75+14335.6801)/978353.597</f>
        <v>0.87694539349662148</v>
      </c>
      <c r="Z75">
        <f>(O75+12648.262)/976154.1411</f>
        <v>0.87719267475020701</v>
      </c>
    </row>
    <row r="76" spans="1:26" ht="15.75" thickBot="1" x14ac:dyDescent="0.3">
      <c r="B76" s="6"/>
      <c r="D76" s="6"/>
      <c r="F76" s="6"/>
      <c r="H76" s="6"/>
      <c r="K76" s="6"/>
      <c r="O76" s="6"/>
      <c r="P76" s="13"/>
      <c r="Q76" s="13"/>
      <c r="R76" s="26"/>
      <c r="S76" s="26"/>
      <c r="T76" s="25"/>
      <c r="U76" s="26"/>
      <c r="V76" s="26"/>
      <c r="X76" t="s">
        <v>66</v>
      </c>
      <c r="Y76" s="18">
        <f>AVERAGE(Y74:Y75)</f>
        <v>0.83082300979162249</v>
      </c>
      <c r="Z76" s="22">
        <f>AVERAGE(Z74:Z75)</f>
        <v>0.83167834650084438</v>
      </c>
    </row>
    <row r="77" spans="1:26" x14ac:dyDescent="0.25">
      <c r="A77">
        <v>17</v>
      </c>
      <c r="B77" s="6" t="s">
        <v>61</v>
      </c>
      <c r="D77" s="6"/>
      <c r="F77" s="6"/>
      <c r="H77" s="6"/>
      <c r="I77">
        <v>6.992</v>
      </c>
      <c r="J77">
        <v>1125912</v>
      </c>
      <c r="K77" s="6">
        <v>1125912</v>
      </c>
      <c r="L77">
        <v>6.9930000000000003</v>
      </c>
      <c r="M77">
        <v>6084736</v>
      </c>
      <c r="N77">
        <v>1444733</v>
      </c>
      <c r="O77" s="6">
        <v>1444733</v>
      </c>
      <c r="P77" s="13"/>
      <c r="Q77" s="13"/>
      <c r="R77" s="26">
        <f t="shared" si="7"/>
        <v>0.77932185393425635</v>
      </c>
      <c r="S77" s="26"/>
      <c r="T77" s="25"/>
      <c r="U77" s="26"/>
      <c r="V77" s="26"/>
      <c r="X77">
        <f t="shared" si="11"/>
        <v>0.36153771849632205</v>
      </c>
      <c r="Y77">
        <f>(N77+14335.6801)/978353.597</f>
        <v>1.4913510662955125</v>
      </c>
      <c r="Z77">
        <f>(O77+12648.262)/976154.1411</f>
        <v>1.4929827172148438</v>
      </c>
    </row>
    <row r="78" spans="1:26" x14ac:dyDescent="0.25">
      <c r="A78">
        <v>18</v>
      </c>
      <c r="B78" s="6" t="s">
        <v>62</v>
      </c>
      <c r="D78" s="6"/>
      <c r="F78" s="6"/>
      <c r="H78" s="6"/>
      <c r="I78">
        <v>6.992</v>
      </c>
      <c r="J78">
        <v>1048799</v>
      </c>
      <c r="K78" s="6">
        <v>1048799</v>
      </c>
      <c r="L78">
        <v>6.9930000000000003</v>
      </c>
      <c r="M78">
        <v>5679734</v>
      </c>
      <c r="N78">
        <v>1345965</v>
      </c>
      <c r="O78" s="6">
        <v>1344737</v>
      </c>
      <c r="P78" s="13"/>
      <c r="Q78" s="13"/>
      <c r="R78" s="26">
        <f t="shared" si="7"/>
        <v>0.77921714160472222</v>
      </c>
      <c r="S78" s="26"/>
      <c r="T78" s="25"/>
      <c r="U78" s="26"/>
      <c r="V78" s="26"/>
      <c r="X78">
        <f t="shared" si="11"/>
        <v>0.34707132201913565</v>
      </c>
      <c r="Y78">
        <f>(N78+14335.6801)/978353.597</f>
        <v>1.3903977910146121</v>
      </c>
      <c r="Z78">
        <f>(O78+12648.262)/976154.1411</f>
        <v>1.3905439774812631</v>
      </c>
    </row>
    <row r="79" spans="1:26" x14ac:dyDescent="0.25">
      <c r="A79">
        <v>19</v>
      </c>
      <c r="B79" s="6" t="s">
        <v>63</v>
      </c>
      <c r="D79" s="6"/>
      <c r="F79" s="6"/>
      <c r="H79" s="6"/>
      <c r="I79">
        <v>6.992</v>
      </c>
      <c r="J79">
        <v>1324168</v>
      </c>
      <c r="K79" s="6">
        <v>1321507</v>
      </c>
      <c r="L79" s="9">
        <v>6.9939999999999998</v>
      </c>
      <c r="M79" s="9">
        <v>7160990</v>
      </c>
      <c r="N79">
        <v>1704700</v>
      </c>
      <c r="O79" s="6">
        <v>1703300</v>
      </c>
      <c r="P79" s="13"/>
      <c r="Q79" s="13"/>
      <c r="R79" s="26">
        <f t="shared" si="7"/>
        <v>0.77677479908488301</v>
      </c>
      <c r="S79" s="26"/>
      <c r="T79" s="25"/>
      <c r="U79" s="26"/>
      <c r="V79" s="26"/>
      <c r="X79">
        <f t="shared" si="11"/>
        <v>0.39961468363669855</v>
      </c>
      <c r="Y79">
        <f>(N79+14335.6801)/978353.597</f>
        <v>1.757069923769085</v>
      </c>
      <c r="Z79">
        <f t="shared" ref="Z79:Z91" si="12">(O79+12648.262)/976154.1411</f>
        <v>1.7578660887166317</v>
      </c>
    </row>
    <row r="80" spans="1:26" x14ac:dyDescent="0.25">
      <c r="A80">
        <v>20</v>
      </c>
      <c r="B80" s="6" t="s">
        <v>64</v>
      </c>
      <c r="D80" s="6"/>
      <c r="F80" s="6"/>
      <c r="H80" s="6"/>
      <c r="I80">
        <v>6.9930000000000003</v>
      </c>
      <c r="J80">
        <v>1309651</v>
      </c>
      <c r="K80" s="6">
        <v>1309651</v>
      </c>
      <c r="L80" s="9">
        <v>6.9939999999999998</v>
      </c>
      <c r="M80" s="9">
        <v>7070285</v>
      </c>
      <c r="N80">
        <v>1679541</v>
      </c>
      <c r="O80" s="6">
        <v>1675108</v>
      </c>
      <c r="P80" s="13"/>
      <c r="Q80" s="13"/>
      <c r="R80" s="26">
        <f t="shared" si="7"/>
        <v>0.77976721020802708</v>
      </c>
      <c r="S80" s="26"/>
      <c r="T80" s="25"/>
      <c r="U80" s="26"/>
      <c r="V80" s="26"/>
      <c r="X80">
        <f t="shared" si="11"/>
        <v>0.39592968374837917</v>
      </c>
      <c r="Y80">
        <f>(N80+14335.6801)/978353.597</f>
        <v>1.7313542724164994</v>
      </c>
      <c r="Z80">
        <f t="shared" si="12"/>
        <v>1.7289854039835513</v>
      </c>
    </row>
    <row r="81" spans="1:27" ht="15.75" thickBot="1" x14ac:dyDescent="0.3">
      <c r="B81" s="6"/>
      <c r="D81" s="6"/>
      <c r="F81" s="6"/>
      <c r="H81" s="6"/>
      <c r="K81" s="6"/>
      <c r="L81" s="9"/>
      <c r="M81" s="9"/>
      <c r="O81" s="6"/>
      <c r="P81" s="13"/>
      <c r="Q81" s="13"/>
      <c r="R81" s="26"/>
      <c r="S81" s="26"/>
      <c r="T81" s="25"/>
      <c r="U81" s="26"/>
      <c r="V81" s="26"/>
      <c r="X81" t="s">
        <v>66</v>
      </c>
      <c r="Y81" s="18">
        <f>AVERAGE(Y77:Y80)</f>
        <v>1.5925432633739274</v>
      </c>
      <c r="Z81" s="22">
        <f>AVERAGE(Z77:Z80)</f>
        <v>1.5925945468490725</v>
      </c>
      <c r="AA81">
        <v>10</v>
      </c>
    </row>
    <row r="82" spans="1:27" x14ac:dyDescent="0.25">
      <c r="B82" s="6"/>
      <c r="D82" s="6"/>
      <c r="F82" s="6"/>
      <c r="H82" s="6"/>
      <c r="K82" s="6"/>
      <c r="L82" s="9"/>
      <c r="M82" s="9"/>
      <c r="O82" s="6"/>
      <c r="P82" s="13"/>
      <c r="Q82" s="13"/>
      <c r="R82" s="26"/>
      <c r="S82" s="26"/>
      <c r="T82" s="25"/>
      <c r="U82" s="26"/>
      <c r="V82" s="26"/>
      <c r="Y82" s="13"/>
      <c r="Z82" s="13"/>
    </row>
    <row r="83" spans="1:27" x14ac:dyDescent="0.25">
      <c r="A83">
        <v>21</v>
      </c>
      <c r="B83" s="6" t="s">
        <v>78</v>
      </c>
      <c r="C83">
        <v>3.5710000000000002</v>
      </c>
      <c r="D83" s="6">
        <v>1387462</v>
      </c>
      <c r="E83" s="9">
        <v>13.163</v>
      </c>
      <c r="F83" s="6">
        <v>1431261</v>
      </c>
      <c r="G83" s="9">
        <v>13.164</v>
      </c>
      <c r="H83" s="6">
        <v>921314</v>
      </c>
      <c r="I83">
        <v>6.9930000000000003</v>
      </c>
      <c r="J83">
        <v>2250518</v>
      </c>
      <c r="K83" s="6">
        <v>2246042</v>
      </c>
      <c r="L83" s="9">
        <v>6.9939999999999998</v>
      </c>
      <c r="M83" s="9">
        <v>12163577</v>
      </c>
      <c r="N83">
        <v>2877610</v>
      </c>
      <c r="O83" s="6">
        <v>2874258</v>
      </c>
      <c r="P83" s="9">
        <f>(1-(D83/AVERAGE(D68,D83)))*100</f>
        <v>-3.3111478201495403</v>
      </c>
      <c r="Q83" s="9">
        <f>(1-(N83/AVERAGE(N68,N83)))*100</f>
        <v>-4.2799342635726267</v>
      </c>
      <c r="R83" s="26">
        <f t="shared" si="7"/>
        <v>0.78207887795774966</v>
      </c>
      <c r="S83" s="25">
        <f>N83/F83</f>
        <v>2.0105417530415486</v>
      </c>
      <c r="T83" s="25">
        <f t="shared" si="6"/>
        <v>2.0740099548672326</v>
      </c>
      <c r="U83" s="25">
        <f>H83/F83</f>
        <v>0.64370789115332561</v>
      </c>
      <c r="V83" s="25">
        <f>D83/F83</f>
        <v>0.96939831379461883</v>
      </c>
      <c r="W83">
        <v>0.5</v>
      </c>
      <c r="X83">
        <f t="shared" si="11"/>
        <v>0.57140900054153276</v>
      </c>
      <c r="Y83">
        <f>(N83+14335.6801)/978353.597</f>
        <v>2.9559309527432545</v>
      </c>
      <c r="Z83">
        <f t="shared" si="12"/>
        <v>2.9574286892301953</v>
      </c>
    </row>
    <row r="84" spans="1:27" x14ac:dyDescent="0.25">
      <c r="A84" t="s">
        <v>66</v>
      </c>
      <c r="B84" s="6"/>
      <c r="D84" s="6"/>
      <c r="E84" s="9"/>
      <c r="F84" s="6"/>
      <c r="G84" s="9"/>
      <c r="H84" s="6"/>
      <c r="J84" s="34">
        <f>AVERAGE(J68,J83)</f>
        <v>2154168.5</v>
      </c>
      <c r="K84" s="6"/>
      <c r="L84" s="9"/>
      <c r="M84" s="9"/>
      <c r="N84" s="34">
        <f>AVERAGE(N68,N83)</f>
        <v>2759505</v>
      </c>
      <c r="O84" s="6"/>
      <c r="P84" s="9"/>
      <c r="Q84" s="9"/>
      <c r="R84" s="26"/>
      <c r="S84" s="25"/>
      <c r="T84" s="25"/>
      <c r="U84" s="25"/>
      <c r="V84" s="25"/>
    </row>
    <row r="85" spans="1:27" x14ac:dyDescent="0.25">
      <c r="A85">
        <v>22</v>
      </c>
      <c r="B85" s="6" t="s">
        <v>81</v>
      </c>
      <c r="C85">
        <v>3.5710000000000002</v>
      </c>
      <c r="D85" s="6">
        <v>1494540</v>
      </c>
      <c r="E85" s="9">
        <v>13.163</v>
      </c>
      <c r="F85" s="6">
        <v>886496</v>
      </c>
      <c r="G85" s="9">
        <v>13.164</v>
      </c>
      <c r="H85" s="6">
        <v>565205</v>
      </c>
      <c r="I85">
        <v>6.9930000000000003</v>
      </c>
      <c r="J85">
        <v>3960937</v>
      </c>
      <c r="K85" s="6">
        <v>3952954</v>
      </c>
      <c r="L85" s="9">
        <v>6.9939999999999998</v>
      </c>
      <c r="M85" s="9">
        <v>21408762</v>
      </c>
      <c r="N85">
        <v>5055982</v>
      </c>
      <c r="O85" s="6">
        <v>5045504</v>
      </c>
      <c r="P85" s="9">
        <f>(1-(D85/AVERAGE(D69,D85)))*100</f>
        <v>-4.3876565336402829</v>
      </c>
      <c r="Q85" s="9">
        <f>(1-(N85/AVERAGE(N69,N85)))*100</f>
        <v>-2.4714848162904257</v>
      </c>
      <c r="R85" s="26">
        <f t="shared" si="7"/>
        <v>0.78341596152834403</v>
      </c>
      <c r="S85" s="25">
        <f>N85/F85</f>
        <v>5.7033331227664874</v>
      </c>
      <c r="T85" s="25">
        <f t="shared" si="6"/>
        <v>3.3829686726350583</v>
      </c>
      <c r="U85" s="25">
        <f>H85/F85</f>
        <v>0.63757196873984767</v>
      </c>
      <c r="V85" s="25">
        <f>D85/F85</f>
        <v>1.6858959318485363</v>
      </c>
      <c r="W85">
        <v>0.75</v>
      </c>
      <c r="X85">
        <f t="shared" si="11"/>
        <v>0.89047178430551932</v>
      </c>
      <c r="Y85">
        <f>(N85+14335.6801)/978353.597</f>
        <v>5.1825001672682571</v>
      </c>
      <c r="Z85">
        <f t="shared" si="12"/>
        <v>5.1817146995863927</v>
      </c>
    </row>
    <row r="86" spans="1:27" x14ac:dyDescent="0.25">
      <c r="A86" t="s">
        <v>66</v>
      </c>
      <c r="B86" s="6"/>
      <c r="D86" s="6"/>
      <c r="E86" s="9"/>
      <c r="F86" s="6"/>
      <c r="G86" s="9"/>
      <c r="H86" s="6"/>
      <c r="J86" s="34">
        <f>AVERAGE(J69,J85)</f>
        <v>3847937</v>
      </c>
      <c r="K86" s="6"/>
      <c r="L86" s="9"/>
      <c r="M86" s="9"/>
      <c r="N86" s="34">
        <f>AVERAGE(N69,N85)</f>
        <v>4934038</v>
      </c>
      <c r="O86" s="6"/>
      <c r="P86" s="9"/>
      <c r="Q86" s="9"/>
      <c r="R86" s="26"/>
      <c r="S86" s="25"/>
      <c r="T86" s="25"/>
      <c r="U86" s="25"/>
      <c r="V86" s="25"/>
    </row>
    <row r="87" spans="1:27" x14ac:dyDescent="0.25">
      <c r="A87">
        <v>23</v>
      </c>
      <c r="B87" s="6" t="s">
        <v>79</v>
      </c>
      <c r="C87">
        <v>3.5720000000000001</v>
      </c>
      <c r="D87" s="6">
        <v>1339990</v>
      </c>
      <c r="E87" s="9">
        <v>13.162000000000001</v>
      </c>
      <c r="F87" s="6">
        <v>1390488</v>
      </c>
      <c r="G87" s="9">
        <v>13.163</v>
      </c>
      <c r="H87" s="6">
        <v>905507</v>
      </c>
      <c r="I87" s="9">
        <v>6.9930000000000003</v>
      </c>
      <c r="J87">
        <v>4458784</v>
      </c>
      <c r="K87" s="6">
        <v>4451205</v>
      </c>
      <c r="L87" s="9">
        <v>6.9939999999999998</v>
      </c>
      <c r="M87" s="9">
        <v>24212836</v>
      </c>
      <c r="N87">
        <v>5740431</v>
      </c>
      <c r="O87" s="6">
        <v>5726989</v>
      </c>
      <c r="P87" s="9">
        <f>(1-(D87/AVERAGE(D70,D87)))*100</f>
        <v>-11.829617126750215</v>
      </c>
      <c r="Q87" s="9">
        <f>(1-(N87/AVERAGE(N70,N87)))*100</f>
        <v>-10.661716051211712</v>
      </c>
      <c r="R87" s="26">
        <f t="shared" si="7"/>
        <v>0.77673331497234266</v>
      </c>
      <c r="S87" s="25">
        <f>N87/F87</f>
        <v>4.1283570947753594</v>
      </c>
      <c r="T87" s="25">
        <f t="shared" si="6"/>
        <v>4.2839357010126937</v>
      </c>
      <c r="U87" s="25">
        <f>H87/F87</f>
        <v>0.65121525680192849</v>
      </c>
      <c r="V87" s="25">
        <f>D87/F87</f>
        <v>0.96368325364907859</v>
      </c>
      <c r="W87">
        <v>1</v>
      </c>
      <c r="X87">
        <f t="shared" si="11"/>
        <v>0.99072197265006134</v>
      </c>
      <c r="Y87">
        <f>(N87+14335.6801)/978353.597</f>
        <v>5.8820928320254344</v>
      </c>
      <c r="Z87">
        <f t="shared" si="12"/>
        <v>5.8798472703626175</v>
      </c>
    </row>
    <row r="88" spans="1:27" x14ac:dyDescent="0.25">
      <c r="A88" t="s">
        <v>66</v>
      </c>
      <c r="B88" s="6"/>
      <c r="D88" s="6"/>
      <c r="E88" s="9"/>
      <c r="F88" s="6"/>
      <c r="G88" s="9"/>
      <c r="H88" s="6"/>
      <c r="I88" s="9"/>
      <c r="J88" s="34">
        <f>AVERAGE(J70,J87)</f>
        <v>4056268.5</v>
      </c>
      <c r="K88" s="6"/>
      <c r="L88" s="9"/>
      <c r="M88" s="9"/>
      <c r="N88" s="34">
        <f>AVERAGE(N70,N87)</f>
        <v>5187368.5</v>
      </c>
      <c r="O88" s="6"/>
      <c r="P88" s="9"/>
      <c r="Q88" s="9"/>
      <c r="R88" s="26"/>
      <c r="S88" s="25"/>
      <c r="T88" s="25"/>
      <c r="U88" s="25"/>
      <c r="V88" s="25"/>
    </row>
    <row r="89" spans="1:27" x14ac:dyDescent="0.25">
      <c r="A89">
        <v>24</v>
      </c>
      <c r="B89" s="6" t="s">
        <v>80</v>
      </c>
      <c r="C89">
        <v>3.5720000000000001</v>
      </c>
      <c r="D89" s="6">
        <v>1326315</v>
      </c>
      <c r="E89" s="9">
        <v>13.163</v>
      </c>
      <c r="F89" s="6">
        <v>2493405</v>
      </c>
      <c r="G89" s="9">
        <v>13.164</v>
      </c>
      <c r="H89" s="6">
        <v>1611750</v>
      </c>
      <c r="I89" s="9">
        <v>6.9930000000000003</v>
      </c>
      <c r="J89">
        <v>12437719</v>
      </c>
      <c r="K89" s="6">
        <v>12397213</v>
      </c>
      <c r="L89" s="9">
        <v>6.9939999999999998</v>
      </c>
      <c r="M89" s="9">
        <v>67153597</v>
      </c>
      <c r="N89">
        <v>15943987</v>
      </c>
      <c r="O89" s="6">
        <v>15902613</v>
      </c>
      <c r="P89" s="9">
        <f>(1-(D89/AVERAGE(D71,D89)))*100</f>
        <v>1.9562330418468332</v>
      </c>
      <c r="Q89" s="9">
        <f>(1-(N89/AVERAGE(N71,N89)))*100</f>
        <v>0.94394397438580802</v>
      </c>
      <c r="R89" s="26">
        <f t="shared" si="7"/>
        <v>0.78008838065409858</v>
      </c>
      <c r="S89" s="25">
        <f>N89/F89</f>
        <v>6.3944633944345179</v>
      </c>
      <c r="T89" s="25">
        <f t="shared" si="6"/>
        <v>12.021267195198726</v>
      </c>
      <c r="U89" s="25">
        <f>H89/F89</f>
        <v>0.64640521696234665</v>
      </c>
      <c r="V89" s="25">
        <f>D89/F89</f>
        <v>0.53192922930691167</v>
      </c>
      <c r="W89">
        <v>2.5</v>
      </c>
      <c r="X89">
        <f t="shared" si="11"/>
        <v>2.4852210672269872</v>
      </c>
      <c r="Y89">
        <f>(N89+14335.6801)/978353.597</f>
        <v>16.311405946719283</v>
      </c>
      <c r="Z89">
        <f t="shared" si="12"/>
        <v>16.304045223908542</v>
      </c>
    </row>
    <row r="90" spans="1:27" x14ac:dyDescent="0.25">
      <c r="A90" t="s">
        <v>66</v>
      </c>
      <c r="B90" s="6"/>
      <c r="D90" s="6"/>
      <c r="E90" s="9"/>
      <c r="F90" s="6"/>
      <c r="G90" s="9"/>
      <c r="H90" s="6"/>
      <c r="I90" s="9"/>
      <c r="J90" s="34">
        <f>AVERAGE(J71,J89)</f>
        <v>12553159</v>
      </c>
      <c r="K90" s="6"/>
      <c r="L90" s="9"/>
      <c r="M90" s="9"/>
      <c r="N90" s="34">
        <f>AVERAGE(N71,N89)</f>
        <v>16095923.5</v>
      </c>
      <c r="O90" s="6"/>
      <c r="P90" s="9"/>
      <c r="Q90" s="9"/>
      <c r="R90" s="26"/>
      <c r="S90" s="25"/>
      <c r="T90" s="25"/>
      <c r="U90" s="25"/>
      <c r="V90" s="25"/>
    </row>
    <row r="91" spans="1:27" x14ac:dyDescent="0.25">
      <c r="A91">
        <v>25</v>
      </c>
      <c r="B91" s="6" t="s">
        <v>65</v>
      </c>
      <c r="C91">
        <v>3.57</v>
      </c>
      <c r="D91" s="6">
        <v>1424118</v>
      </c>
      <c r="E91" s="9">
        <v>13.162000000000001</v>
      </c>
      <c r="F91" s="10">
        <v>1536506</v>
      </c>
      <c r="G91" s="9">
        <v>13.163</v>
      </c>
      <c r="H91" s="10">
        <v>992276</v>
      </c>
      <c r="I91" s="9">
        <v>0</v>
      </c>
      <c r="J91" s="9">
        <v>0</v>
      </c>
      <c r="K91" s="6">
        <v>0</v>
      </c>
      <c r="L91" s="9">
        <v>0</v>
      </c>
      <c r="M91" s="9">
        <v>0</v>
      </c>
      <c r="N91" s="9">
        <v>0</v>
      </c>
      <c r="O91" s="6">
        <v>0</v>
      </c>
      <c r="P91" s="9">
        <f>(1-(D91/AVERAGE(D56,D66,D72,D91)))*100</f>
        <v>6.4037469574701351</v>
      </c>
      <c r="Q91" s="13"/>
      <c r="R91" s="26"/>
      <c r="S91" s="25">
        <f>N91/F91</f>
        <v>0</v>
      </c>
      <c r="T91" s="25">
        <f t="shared" si="6"/>
        <v>0</v>
      </c>
      <c r="U91" s="25">
        <f>H91/F91</f>
        <v>0.64580027673175378</v>
      </c>
      <c r="V91" s="25">
        <f>D91/F91</f>
        <v>0.92685482516827133</v>
      </c>
      <c r="X91">
        <f t="shared" si="11"/>
        <v>0.14992990643497736</v>
      </c>
      <c r="Y91">
        <f>(N91+14335.6801)/978353.597</f>
        <v>1.465286185276835E-2</v>
      </c>
      <c r="Z91">
        <f t="shared" si="12"/>
        <v>1.2957238480540622E-2</v>
      </c>
    </row>
    <row r="92" spans="1:27" x14ac:dyDescent="0.25">
      <c r="B92" s="6"/>
      <c r="D92" s="6"/>
      <c r="F92" s="6"/>
      <c r="H92" s="6"/>
      <c r="K92" s="6"/>
      <c r="O92" s="6"/>
      <c r="P92" s="13"/>
      <c r="Q92" s="13"/>
    </row>
    <row r="93" spans="1:27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7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7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7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20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2:20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2:20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</sheetData>
  <phoneticPr fontId="2" type="noConversion"/>
  <pageMargins left="0.7" right="0.7" top="0.78740157499999996" bottom="0.78740157499999996" header="0.3" footer="0.3"/>
  <ignoredErrors>
    <ignoredError sqref="X30:Y30 X35:Y35 X43:Y43 Y81:Z81 Y76:Z76 P11" formula="1"/>
    <ignoredError sqref="P10 P17 P64 P57" formulaRange="1"/>
    <ignoredError sqref="P13 P63 P16 P58 P60:P61" formula="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9C19-530B-4BE5-BEF8-F0A6585A94D1}">
  <dimension ref="A1:AZ80"/>
  <sheetViews>
    <sheetView tabSelected="1" topLeftCell="AM1" zoomScale="90" zoomScaleNormal="90" workbookViewId="0">
      <selection activeCell="BE2" sqref="BE2"/>
    </sheetView>
  </sheetViews>
  <sheetFormatPr baseColWidth="10" defaultRowHeight="15" x14ac:dyDescent="0.25"/>
  <cols>
    <col min="1" max="1" width="8.85546875" customWidth="1"/>
    <col min="2" max="2" width="32.140625" bestFit="1" customWidth="1"/>
    <col min="3" max="3" width="12.85546875" customWidth="1"/>
    <col min="4" max="4" width="13.7109375" bestFit="1" customWidth="1"/>
    <col min="5" max="10" width="13.7109375" customWidth="1"/>
    <col min="12" max="12" width="16" bestFit="1" customWidth="1"/>
    <col min="13" max="13" width="32.140625" bestFit="1" customWidth="1"/>
    <col min="14" max="14" width="13.7109375" bestFit="1" customWidth="1"/>
    <col min="15" max="16" width="13.7109375" customWidth="1"/>
    <col min="17" max="17" width="13.85546875" bestFit="1" customWidth="1"/>
    <col min="18" max="18" width="15.7109375" bestFit="1" customWidth="1"/>
    <col min="19" max="19" width="12.5703125" bestFit="1" customWidth="1"/>
    <col min="20" max="20" width="16.85546875" customWidth="1"/>
    <col min="21" max="21" width="13.5703125" bestFit="1" customWidth="1"/>
    <col min="22" max="22" width="18.85546875" customWidth="1"/>
    <col min="23" max="23" width="10.42578125" bestFit="1" customWidth="1"/>
    <col min="24" max="24" width="16" bestFit="1" customWidth="1"/>
    <col min="26" max="26" width="12.5703125" bestFit="1" customWidth="1"/>
    <col min="27" max="27" width="29.42578125" bestFit="1" customWidth="1"/>
    <col min="28" max="28" width="15.85546875" bestFit="1" customWidth="1"/>
    <col min="29" max="30" width="12.28515625" customWidth="1"/>
    <col min="32" max="32" width="16" customWidth="1"/>
    <col min="33" max="33" width="16" bestFit="1" customWidth="1"/>
    <col min="37" max="37" width="15.42578125" customWidth="1"/>
    <col min="41" max="41" width="24.85546875" bestFit="1" customWidth="1"/>
    <col min="43" max="43" width="16.85546875" customWidth="1"/>
  </cols>
  <sheetData>
    <row r="1" spans="1:50" x14ac:dyDescent="0.25">
      <c r="M1" s="99" t="s">
        <v>266</v>
      </c>
      <c r="AA1" s="101" t="s">
        <v>266</v>
      </c>
      <c r="AO1" s="101" t="s">
        <v>266</v>
      </c>
    </row>
    <row r="2" spans="1:50" ht="15.75" thickBot="1" x14ac:dyDescent="0.3">
      <c r="M2" s="108" t="s">
        <v>271</v>
      </c>
      <c r="AA2" s="104" t="s">
        <v>118</v>
      </c>
      <c r="AO2" s="102" t="s">
        <v>118</v>
      </c>
    </row>
    <row r="3" spans="1:50" ht="15.75" thickBot="1" x14ac:dyDescent="0.3">
      <c r="A3" t="s">
        <v>0</v>
      </c>
      <c r="H3" t="s">
        <v>245</v>
      </c>
      <c r="I3" t="s">
        <v>244</v>
      </c>
      <c r="J3" t="s">
        <v>243</v>
      </c>
      <c r="K3" s="80" t="s">
        <v>119</v>
      </c>
      <c r="L3" s="80">
        <f>J6</f>
        <v>0.59867216611329166</v>
      </c>
      <c r="M3" s="104" t="s">
        <v>118</v>
      </c>
      <c r="R3" t="s">
        <v>101</v>
      </c>
      <c r="S3" t="s">
        <v>102</v>
      </c>
      <c r="V3" s="86" t="s">
        <v>228</v>
      </c>
      <c r="W3" s="87" t="s">
        <v>229</v>
      </c>
      <c r="X3" s="87" t="s">
        <v>230</v>
      </c>
      <c r="Y3" s="87" t="s">
        <v>231</v>
      </c>
      <c r="AC3" s="105" t="s">
        <v>268</v>
      </c>
      <c r="AG3" s="80" t="s">
        <v>246</v>
      </c>
      <c r="AO3" s="103" t="s">
        <v>267</v>
      </c>
      <c r="AS3" s="80" t="s">
        <v>246</v>
      </c>
    </row>
    <row r="4" spans="1:50" x14ac:dyDescent="0.25">
      <c r="A4" t="s">
        <v>70</v>
      </c>
      <c r="H4" t="s">
        <v>242</v>
      </c>
      <c r="I4">
        <v>1175</v>
      </c>
      <c r="J4">
        <f>I4/(298.15*8.314)</f>
        <v>0.47401603448997148</v>
      </c>
      <c r="P4" s="106" t="s">
        <v>66</v>
      </c>
      <c r="S4" t="s">
        <v>118</v>
      </c>
      <c r="V4" s="87"/>
      <c r="W4" s="87" t="s">
        <v>155</v>
      </c>
      <c r="X4" s="87" t="s">
        <v>156</v>
      </c>
      <c r="Y4" s="87" t="s">
        <v>157</v>
      </c>
      <c r="AB4" s="83"/>
      <c r="AC4" s="105" t="s">
        <v>269</v>
      </c>
      <c r="AH4" s="80" t="s">
        <v>119</v>
      </c>
      <c r="AI4" s="80">
        <f>L3</f>
        <v>0.59867216611329166</v>
      </c>
      <c r="AQ4" s="94" t="s">
        <v>263</v>
      </c>
      <c r="AT4" s="80" t="s">
        <v>119</v>
      </c>
      <c r="AU4" s="80">
        <f>L3</f>
        <v>0.59867216611329166</v>
      </c>
    </row>
    <row r="5" spans="1:50" x14ac:dyDescent="0.25">
      <c r="A5" t="s">
        <v>2</v>
      </c>
      <c r="I5">
        <v>1793</v>
      </c>
      <c r="J5">
        <f>I5/(298.15*8.314)</f>
        <v>0.72332829773661189</v>
      </c>
      <c r="O5" s="92" t="s">
        <v>261</v>
      </c>
      <c r="P5" s="89" t="s">
        <v>270</v>
      </c>
      <c r="V5" s="87" t="s">
        <v>232</v>
      </c>
      <c r="W5" s="88">
        <v>1.071586842105263</v>
      </c>
      <c r="X5" s="88">
        <v>0.80161578947368428</v>
      </c>
      <c r="Y5" s="88">
        <v>1.3257263157894739</v>
      </c>
      <c r="AE5" s="83" t="s">
        <v>262</v>
      </c>
      <c r="AF5" t="s">
        <v>128</v>
      </c>
      <c r="AJ5" t="s">
        <v>135</v>
      </c>
      <c r="AQ5" s="94" t="s">
        <v>48</v>
      </c>
      <c r="AR5" t="s">
        <v>128</v>
      </c>
      <c r="AV5" t="s">
        <v>135</v>
      </c>
    </row>
    <row r="6" spans="1:50" x14ac:dyDescent="0.25">
      <c r="A6" t="s">
        <v>1</v>
      </c>
      <c r="C6" t="s">
        <v>252</v>
      </c>
      <c r="H6" s="13"/>
      <c r="I6">
        <f>AVERAGE(I4:I5)</f>
        <v>1484</v>
      </c>
      <c r="J6">
        <f>I6/(298.15*8.314)</f>
        <v>0.59867216611329166</v>
      </c>
      <c r="L6" s="29">
        <v>44376</v>
      </c>
      <c r="M6" s="28" t="s">
        <v>89</v>
      </c>
      <c r="N6" t="s">
        <v>15</v>
      </c>
      <c r="O6" s="94" t="s">
        <v>260</v>
      </c>
      <c r="P6" s="107" t="s">
        <v>260</v>
      </c>
      <c r="Q6" t="s">
        <v>120</v>
      </c>
      <c r="R6" t="s">
        <v>124</v>
      </c>
      <c r="S6" t="s">
        <v>121</v>
      </c>
      <c r="T6" t="s">
        <v>123</v>
      </c>
      <c r="U6" t="s">
        <v>125</v>
      </c>
      <c r="V6" s="87" t="s">
        <v>233</v>
      </c>
      <c r="W6" s="88">
        <v>20</v>
      </c>
      <c r="X6" s="88">
        <v>20</v>
      </c>
      <c r="Y6" s="88">
        <v>20</v>
      </c>
      <c r="Z6" s="29">
        <v>44376</v>
      </c>
      <c r="AA6" s="28" t="s">
        <v>103</v>
      </c>
      <c r="AB6" t="s">
        <v>15</v>
      </c>
      <c r="AC6" s="89" t="s">
        <v>259</v>
      </c>
      <c r="AD6" t="s">
        <v>115</v>
      </c>
      <c r="AE6" s="12" t="s">
        <v>127</v>
      </c>
      <c r="AF6" t="s">
        <v>127</v>
      </c>
      <c r="AH6" s="6"/>
      <c r="AI6" t="s">
        <v>254</v>
      </c>
      <c r="AJ6" t="s">
        <v>136</v>
      </c>
      <c r="AL6" s="33" t="s">
        <v>256</v>
      </c>
      <c r="AP6" s="92" t="s">
        <v>261</v>
      </c>
      <c r="AR6" t="s">
        <v>127</v>
      </c>
      <c r="AT6" s="6"/>
      <c r="AU6" t="s">
        <v>254</v>
      </c>
      <c r="AV6" t="s">
        <v>136</v>
      </c>
      <c r="AX6" s="33" t="s">
        <v>256</v>
      </c>
    </row>
    <row r="7" spans="1:50" x14ac:dyDescent="0.25">
      <c r="A7" s="7"/>
      <c r="B7" s="8"/>
      <c r="C7" s="1" t="s">
        <v>22</v>
      </c>
      <c r="D7" s="6"/>
      <c r="E7" s="13" t="s">
        <v>24</v>
      </c>
      <c r="F7" s="6"/>
      <c r="G7" s="33" t="s">
        <v>17</v>
      </c>
      <c r="H7" s="13" t="s">
        <v>21</v>
      </c>
      <c r="I7" s="90" t="s">
        <v>44</v>
      </c>
      <c r="L7" t="s">
        <v>3</v>
      </c>
      <c r="M7" t="s">
        <v>146</v>
      </c>
      <c r="N7" s="5" t="s">
        <v>32</v>
      </c>
      <c r="O7" s="5" t="s">
        <v>32</v>
      </c>
      <c r="P7" s="5" t="s">
        <v>32</v>
      </c>
      <c r="Q7" t="s">
        <v>28</v>
      </c>
      <c r="R7" t="s">
        <v>122</v>
      </c>
      <c r="S7" t="s">
        <v>122</v>
      </c>
      <c r="T7" t="s">
        <v>122</v>
      </c>
      <c r="U7" t="s">
        <v>28</v>
      </c>
      <c r="V7" s="87" t="s">
        <v>234</v>
      </c>
      <c r="W7" s="88">
        <f>W6/W5</f>
        <v>18.66390964703109</v>
      </c>
      <c r="X7" s="88">
        <f>X6/X5</f>
        <v>24.949608356805658</v>
      </c>
      <c r="Y7" s="88">
        <f>Y6/Y5</f>
        <v>15.086069999364796</v>
      </c>
      <c r="Z7" t="s">
        <v>3</v>
      </c>
      <c r="AA7" t="s">
        <v>146</v>
      </c>
      <c r="AB7" s="5" t="s">
        <v>32</v>
      </c>
      <c r="AC7" s="93" t="s">
        <v>260</v>
      </c>
      <c r="AD7" t="s">
        <v>28</v>
      </c>
      <c r="AE7" s="12" t="s">
        <v>133</v>
      </c>
      <c r="AF7" t="s">
        <v>129</v>
      </c>
      <c r="AG7" s="83" t="s">
        <v>130</v>
      </c>
      <c r="AH7" s="12" t="s">
        <v>131</v>
      </c>
      <c r="AI7" t="s">
        <v>255</v>
      </c>
      <c r="AJ7" t="s">
        <v>137</v>
      </c>
      <c r="AK7" t="s">
        <v>138</v>
      </c>
      <c r="AL7" s="33" t="s">
        <v>257</v>
      </c>
      <c r="AP7" s="94" t="s">
        <v>260</v>
      </c>
      <c r="AQ7" t="s">
        <v>28</v>
      </c>
      <c r="AR7" t="s">
        <v>129</v>
      </c>
      <c r="AS7" s="83" t="s">
        <v>130</v>
      </c>
      <c r="AT7" s="12" t="s">
        <v>131</v>
      </c>
      <c r="AU7" t="s">
        <v>255</v>
      </c>
      <c r="AV7" t="s">
        <v>137</v>
      </c>
      <c r="AW7" t="s">
        <v>138</v>
      </c>
      <c r="AX7" s="33" t="s">
        <v>257</v>
      </c>
    </row>
    <row r="8" spans="1:50" x14ac:dyDescent="0.25">
      <c r="A8" s="3" t="s">
        <v>3</v>
      </c>
      <c r="B8" s="5" t="s">
        <v>4</v>
      </c>
      <c r="C8" s="3" t="s">
        <v>23</v>
      </c>
      <c r="D8" s="5" t="s">
        <v>32</v>
      </c>
      <c r="E8" s="4" t="s">
        <v>25</v>
      </c>
      <c r="F8" s="5" t="s">
        <v>31</v>
      </c>
      <c r="G8" s="5" t="s">
        <v>19</v>
      </c>
      <c r="H8" s="5" t="s">
        <v>18</v>
      </c>
      <c r="I8" s="91" t="s">
        <v>258</v>
      </c>
      <c r="K8" t="s">
        <v>48</v>
      </c>
      <c r="L8">
        <v>2</v>
      </c>
      <c r="M8" s="6" t="s">
        <v>6</v>
      </c>
      <c r="N8" s="12">
        <v>0</v>
      </c>
      <c r="O8" s="9">
        <f>IF(N8&lt;=0,0,N8*((16215.509*0+905372.105)/(16215.509*L8+905372.105)))</f>
        <v>0</v>
      </c>
      <c r="P8" s="9">
        <f>IF(AVERAGE($O$8:$O$9,$O$17,$O$19:$O$20)&gt;0,IF(O8-AVERAGE($O$8:$O$9,$O$17,$O$19:$O$20)&lt;=0,0,O8-AVERAGE($O$8:$O$9,$O$17,$O$19:$O$20)),O8)</f>
        <v>0</v>
      </c>
      <c r="Q8">
        <v>0</v>
      </c>
      <c r="R8">
        <f>Q8*10</f>
        <v>0</v>
      </c>
      <c r="S8">
        <f t="shared" ref="S8:S20" si="0">(Q8*10*10)/($L$3*(10+10))</f>
        <v>0</v>
      </c>
      <c r="T8">
        <f>R8-S8</f>
        <v>0</v>
      </c>
      <c r="U8">
        <f>T8/10</f>
        <v>0</v>
      </c>
      <c r="V8" s="87" t="s">
        <v>235</v>
      </c>
      <c r="W8" s="87">
        <v>2.65</v>
      </c>
      <c r="X8" s="87">
        <f>0.8*2.65+0.2*1.3</f>
        <v>2.38</v>
      </c>
      <c r="Y8" s="87">
        <v>2.65</v>
      </c>
      <c r="Z8">
        <v>10</v>
      </c>
      <c r="AA8" s="6" t="s">
        <v>36</v>
      </c>
      <c r="AB8" s="12">
        <v>0</v>
      </c>
      <c r="AC8" s="9">
        <f t="shared" ref="AC8:AC27" si="1">IF(AVERAGE($AB$8:$AB$11)&gt;0, AB8-AVERAGE($AB$8:$AB$11), AB8)</f>
        <v>0</v>
      </c>
      <c r="AD8">
        <v>0</v>
      </c>
      <c r="AE8" s="6">
        <f t="shared" ref="AE8:AE27" si="2">(AC8+18704.945)/8711226.495</f>
        <v>2.1472228980311918E-3</v>
      </c>
      <c r="AF8">
        <f t="shared" ref="AF8:AF27" si="3">AD8*8</f>
        <v>0</v>
      </c>
      <c r="AG8">
        <f t="shared" ref="AG8:AG27" si="4">AE8*$W$15</f>
        <v>0.22428350874529579</v>
      </c>
      <c r="AH8" s="6">
        <f t="shared" ref="AH8:AH27" si="5">(AE8/$AI$4)*8</f>
        <v>2.8693138175725445E-2</v>
      </c>
      <c r="AI8">
        <f>AF8-(AG8+AH8)</f>
        <v>-0.25297664692102123</v>
      </c>
      <c r="AJ8">
        <f t="shared" ref="AJ8:AJ27" si="6">AE8/$AI$4</f>
        <v>3.5866422719656806E-3</v>
      </c>
      <c r="AK8">
        <f t="shared" ref="AK8:AK27" si="7">IF(AI8&lt;0,0,AI8/20)</f>
        <v>0</v>
      </c>
      <c r="AL8" s="33">
        <f>AK8/AJ8</f>
        <v>0</v>
      </c>
      <c r="AP8" s="9">
        <f t="shared" ref="AP8:AP27" si="8">IF(AC8&lt;=0,0,AC8*((16215.509*0+905372.105)/(16215.509*Z8+905372.105)))</f>
        <v>0</v>
      </c>
      <c r="AQ8" s="6">
        <f>(AP8+2702.284)/6596385.446</f>
        <v>4.0966132469391175E-4</v>
      </c>
      <c r="AR8">
        <f t="shared" ref="AR8:AR27" si="9">AD8*8</f>
        <v>0</v>
      </c>
      <c r="AS8">
        <f t="shared" ref="AS8:AS27" si="10">AQ8*$W$15</f>
        <v>4.2790284783122558E-2</v>
      </c>
      <c r="AT8" s="6">
        <f t="shared" ref="AT8:AT27" si="11">(AQ8/$AI$4)*8</f>
        <v>5.4742658554316447E-3</v>
      </c>
      <c r="AU8">
        <f>AR8-(AS8+AT8)</f>
        <v>-4.8264550638554199E-2</v>
      </c>
      <c r="AV8">
        <f t="shared" ref="AV8:AV27" si="12">AQ8/$AI$4</f>
        <v>6.8428323192895558E-4</v>
      </c>
      <c r="AW8">
        <f t="shared" ref="AW8:AW27" si="13">IF(AU8&lt;0,0,AU8/20)</f>
        <v>0</v>
      </c>
      <c r="AX8" s="33">
        <f>AW8/AV8</f>
        <v>0</v>
      </c>
    </row>
    <row r="9" spans="1:50" x14ac:dyDescent="0.25">
      <c r="A9">
        <v>1</v>
      </c>
      <c r="B9" s="6" t="s">
        <v>5</v>
      </c>
      <c r="C9" s="13"/>
      <c r="D9" s="12"/>
      <c r="E9" s="13"/>
      <c r="F9" s="6"/>
      <c r="G9" s="6"/>
      <c r="H9" s="6"/>
      <c r="L9">
        <v>3</v>
      </c>
      <c r="M9" s="6" t="s">
        <v>7</v>
      </c>
      <c r="N9" s="12">
        <v>0</v>
      </c>
      <c r="O9" s="9">
        <f t="shared" ref="O9:O20" si="14">IF(N9&lt;=0,0,N9*((16215.509*0+905372.105)/(16215.509*L9+905372.105)))</f>
        <v>0</v>
      </c>
      <c r="P9" s="9">
        <f t="shared" ref="P9:P20" si="15">IF(AVERAGE($O$8:$O$9,$O$17,$O$19:$O$20)&gt;0,IF(O9-AVERAGE($O$8:$O$9,$O$17,$O$19:$O$20)&lt;=0,0,O9-AVERAGE($O$8:$O$9,$O$17,$O$19:$O$20)),O9)</f>
        <v>0</v>
      </c>
      <c r="Q9">
        <v>0</v>
      </c>
      <c r="R9">
        <f t="shared" ref="R9:R20" si="16">Q9*10</f>
        <v>0</v>
      </c>
      <c r="S9">
        <f t="shared" si="0"/>
        <v>0</v>
      </c>
      <c r="T9">
        <f t="shared" ref="T9:T20" si="17">R9-S9</f>
        <v>0</v>
      </c>
      <c r="U9">
        <f t="shared" ref="U9:U20" si="18">T9/10</f>
        <v>0</v>
      </c>
      <c r="V9" s="87" t="s">
        <v>236</v>
      </c>
      <c r="W9" s="87">
        <f>W6/W8</f>
        <v>7.5471698113207548</v>
      </c>
      <c r="X9" s="87">
        <f>X6/X8</f>
        <v>8.4033613445378155</v>
      </c>
      <c r="Y9" s="87">
        <f>Y6/Y8</f>
        <v>7.5471698113207548</v>
      </c>
      <c r="Z9">
        <v>11</v>
      </c>
      <c r="AA9" s="6" t="s">
        <v>37</v>
      </c>
      <c r="AB9" s="12">
        <v>0</v>
      </c>
      <c r="AC9" s="9">
        <f t="shared" si="1"/>
        <v>0</v>
      </c>
      <c r="AD9">
        <v>0</v>
      </c>
      <c r="AE9" s="6">
        <f t="shared" si="2"/>
        <v>2.1472228980311918E-3</v>
      </c>
      <c r="AF9">
        <f t="shared" si="3"/>
        <v>0</v>
      </c>
      <c r="AG9">
        <f t="shared" si="4"/>
        <v>0.22428350874529579</v>
      </c>
      <c r="AH9" s="6">
        <f t="shared" si="5"/>
        <v>2.8693138175725445E-2</v>
      </c>
      <c r="AI9">
        <f t="shared" ref="AI9:AI35" si="19">AF9-(AG9+AH9)</f>
        <v>-0.25297664692102123</v>
      </c>
      <c r="AJ9">
        <f t="shared" si="6"/>
        <v>3.5866422719656806E-3</v>
      </c>
      <c r="AK9">
        <f t="shared" si="7"/>
        <v>0</v>
      </c>
      <c r="AL9" s="33">
        <f t="shared" ref="AL9:AL35" si="20">AK9/AJ9</f>
        <v>0</v>
      </c>
      <c r="AP9" s="9">
        <f t="shared" si="8"/>
        <v>0</v>
      </c>
      <c r="AQ9" s="6">
        <f t="shared" ref="AQ9:AQ27" si="21">(AP9+2702.284)/6596385.446</f>
        <v>4.0966132469391175E-4</v>
      </c>
      <c r="AR9">
        <f t="shared" si="9"/>
        <v>0</v>
      </c>
      <c r="AS9">
        <f t="shared" si="10"/>
        <v>4.2790284783122558E-2</v>
      </c>
      <c r="AT9" s="6">
        <f t="shared" si="11"/>
        <v>5.4742658554316447E-3</v>
      </c>
      <c r="AU9">
        <f t="shared" ref="AU9:AU12" si="22">AR9-(AS9+AT9)</f>
        <v>-4.8264550638554199E-2</v>
      </c>
      <c r="AV9">
        <f t="shared" si="12"/>
        <v>6.8428323192895558E-4</v>
      </c>
      <c r="AW9">
        <f t="shared" si="13"/>
        <v>0</v>
      </c>
      <c r="AX9" s="33">
        <f t="shared" ref="AX9:AX27" si="23">AW9/AV9</f>
        <v>0</v>
      </c>
    </row>
    <row r="10" spans="1:50" x14ac:dyDescent="0.25">
      <c r="A10">
        <v>2</v>
      </c>
      <c r="B10" s="6" t="s">
        <v>6</v>
      </c>
      <c r="C10" s="13">
        <v>0</v>
      </c>
      <c r="D10" s="12">
        <v>0</v>
      </c>
      <c r="E10" s="13">
        <v>0</v>
      </c>
      <c r="F10" s="6">
        <v>0</v>
      </c>
      <c r="G10" s="6">
        <v>270266283</v>
      </c>
      <c r="H10" s="6">
        <v>172108034</v>
      </c>
      <c r="L10">
        <v>4</v>
      </c>
      <c r="M10" s="6" t="s">
        <v>8</v>
      </c>
      <c r="N10" s="12">
        <v>17839</v>
      </c>
      <c r="O10" s="9">
        <f t="shared" si="14"/>
        <v>16646.428216233016</v>
      </c>
      <c r="P10" s="9">
        <f t="shared" si="15"/>
        <v>16646.428216233016</v>
      </c>
      <c r="Q10">
        <v>0.05</v>
      </c>
      <c r="R10">
        <f t="shared" si="16"/>
        <v>0.5</v>
      </c>
      <c r="S10">
        <f t="shared" si="0"/>
        <v>0.41759081873315362</v>
      </c>
      <c r="T10">
        <f t="shared" si="17"/>
        <v>8.2409181266846376E-2</v>
      </c>
      <c r="U10">
        <f t="shared" si="18"/>
        <v>8.2409181266846383E-3</v>
      </c>
      <c r="V10" s="87" t="s">
        <v>237</v>
      </c>
      <c r="W10" s="88">
        <f>W7-W9</f>
        <v>11.116739835710336</v>
      </c>
      <c r="X10" s="88">
        <f>X7-X9</f>
        <v>16.546247012267841</v>
      </c>
      <c r="Y10" s="88">
        <f>Y7-Y9</f>
        <v>7.5389001880440407</v>
      </c>
      <c r="Z10">
        <v>12</v>
      </c>
      <c r="AA10" s="6" t="s">
        <v>38</v>
      </c>
      <c r="AB10" s="12">
        <v>0</v>
      </c>
      <c r="AC10" s="9">
        <f t="shared" si="1"/>
        <v>0</v>
      </c>
      <c r="AD10">
        <v>0</v>
      </c>
      <c r="AE10" s="6">
        <f>(AC10+18704.945)/8711226.495</f>
        <v>2.1472228980311918E-3</v>
      </c>
      <c r="AF10">
        <f t="shared" si="3"/>
        <v>0</v>
      </c>
      <c r="AG10">
        <f t="shared" si="4"/>
        <v>0.22428350874529579</v>
      </c>
      <c r="AH10" s="6">
        <f t="shared" si="5"/>
        <v>2.8693138175725445E-2</v>
      </c>
      <c r="AI10">
        <f t="shared" si="19"/>
        <v>-0.25297664692102123</v>
      </c>
      <c r="AJ10">
        <f t="shared" si="6"/>
        <v>3.5866422719656806E-3</v>
      </c>
      <c r="AK10">
        <f t="shared" si="7"/>
        <v>0</v>
      </c>
      <c r="AL10" s="33">
        <f t="shared" si="20"/>
        <v>0</v>
      </c>
      <c r="AP10" s="9">
        <f t="shared" si="8"/>
        <v>0</v>
      </c>
      <c r="AQ10" s="6">
        <f t="shared" si="21"/>
        <v>4.0966132469391175E-4</v>
      </c>
      <c r="AR10">
        <f t="shared" si="9"/>
        <v>0</v>
      </c>
      <c r="AS10">
        <f t="shared" si="10"/>
        <v>4.2790284783122558E-2</v>
      </c>
      <c r="AT10" s="6">
        <f t="shared" si="11"/>
        <v>5.4742658554316447E-3</v>
      </c>
      <c r="AU10">
        <f>AR10-(AS10+AT10)</f>
        <v>-4.8264550638554199E-2</v>
      </c>
      <c r="AV10">
        <f t="shared" si="12"/>
        <v>6.8428323192895558E-4</v>
      </c>
      <c r="AW10">
        <f t="shared" si="13"/>
        <v>0</v>
      </c>
      <c r="AX10" s="33">
        <f>AW10/AV10</f>
        <v>0</v>
      </c>
    </row>
    <row r="11" spans="1:50" x14ac:dyDescent="0.25">
      <c r="A11">
        <v>3</v>
      </c>
      <c r="B11" s="6" t="s">
        <v>7</v>
      </c>
      <c r="C11" s="13">
        <v>0</v>
      </c>
      <c r="D11" s="12">
        <v>0</v>
      </c>
      <c r="E11" s="13">
        <v>0</v>
      </c>
      <c r="F11" s="6">
        <v>0</v>
      </c>
      <c r="G11" s="6">
        <v>4362081</v>
      </c>
      <c r="H11" s="6">
        <v>2794350</v>
      </c>
      <c r="L11">
        <v>5</v>
      </c>
      <c r="M11" s="6" t="s">
        <v>9</v>
      </c>
      <c r="N11" s="12">
        <v>23708</v>
      </c>
      <c r="O11" s="9">
        <f t="shared" si="14"/>
        <v>21759.409479581649</v>
      </c>
      <c r="P11" s="9">
        <f t="shared" si="15"/>
        <v>21759.409479581649</v>
      </c>
      <c r="Q11">
        <v>0.05</v>
      </c>
      <c r="R11">
        <f t="shared" si="16"/>
        <v>0.5</v>
      </c>
      <c r="S11">
        <f t="shared" si="0"/>
        <v>0.41759081873315362</v>
      </c>
      <c r="T11">
        <f t="shared" si="17"/>
        <v>8.2409181266846376E-2</v>
      </c>
      <c r="U11">
        <f t="shared" si="18"/>
        <v>8.2409181266846383E-3</v>
      </c>
      <c r="V11" s="87" t="s">
        <v>238</v>
      </c>
      <c r="W11" s="88">
        <f>(W10/W7)*100</f>
        <v>59.562760675273097</v>
      </c>
      <c r="X11" s="88">
        <f>(X10/X7)*100</f>
        <v>66.318664307828385</v>
      </c>
      <c r="Y11" s="88">
        <f>(Y10/Y7)*100</f>
        <v>49.972591857000985</v>
      </c>
      <c r="Z11">
        <v>13</v>
      </c>
      <c r="AA11" s="5" t="s">
        <v>39</v>
      </c>
      <c r="AB11" s="5">
        <v>0</v>
      </c>
      <c r="AC11" s="95">
        <f t="shared" si="1"/>
        <v>0</v>
      </c>
      <c r="AD11" s="3">
        <v>0</v>
      </c>
      <c r="AE11" s="5">
        <f t="shared" si="2"/>
        <v>2.1472228980311918E-3</v>
      </c>
      <c r="AF11" s="4">
        <f t="shared" si="3"/>
        <v>0</v>
      </c>
      <c r="AG11" s="4">
        <f t="shared" si="4"/>
        <v>0.22428350874529579</v>
      </c>
      <c r="AH11" s="5">
        <f t="shared" si="5"/>
        <v>2.8693138175725445E-2</v>
      </c>
      <c r="AI11" s="4">
        <f t="shared" si="19"/>
        <v>-0.25297664692102123</v>
      </c>
      <c r="AJ11" s="4">
        <f t="shared" si="6"/>
        <v>3.5866422719656806E-3</v>
      </c>
      <c r="AK11" s="4">
        <f t="shared" si="7"/>
        <v>0</v>
      </c>
      <c r="AL11" s="32">
        <f t="shared" si="20"/>
        <v>0</v>
      </c>
      <c r="AM11" s="13"/>
      <c r="AN11" s="13"/>
      <c r="AO11" s="13"/>
      <c r="AP11" s="95">
        <f t="shared" si="8"/>
        <v>0</v>
      </c>
      <c r="AQ11" s="5">
        <f t="shared" si="21"/>
        <v>4.0966132469391175E-4</v>
      </c>
      <c r="AR11" s="4">
        <f t="shared" si="9"/>
        <v>0</v>
      </c>
      <c r="AS11" s="4">
        <f t="shared" si="10"/>
        <v>4.2790284783122558E-2</v>
      </c>
      <c r="AT11" s="5">
        <f t="shared" si="11"/>
        <v>5.4742658554316447E-3</v>
      </c>
      <c r="AU11" s="4">
        <f t="shared" si="22"/>
        <v>-4.8264550638554199E-2</v>
      </c>
      <c r="AV11" s="4">
        <f t="shared" si="12"/>
        <v>6.8428323192895558E-4</v>
      </c>
      <c r="AW11" s="4">
        <f t="shared" si="13"/>
        <v>0</v>
      </c>
      <c r="AX11" s="32">
        <f t="shared" si="23"/>
        <v>0</v>
      </c>
    </row>
    <row r="12" spans="1:50" x14ac:dyDescent="0.25">
      <c r="A12">
        <v>4</v>
      </c>
      <c r="B12" s="6" t="s">
        <v>8</v>
      </c>
      <c r="C12">
        <v>0</v>
      </c>
      <c r="D12" s="12">
        <v>17839</v>
      </c>
      <c r="E12" s="13">
        <v>0</v>
      </c>
      <c r="F12" s="6">
        <v>0</v>
      </c>
      <c r="G12" s="6">
        <v>2351904</v>
      </c>
      <c r="H12" s="6">
        <v>1496580</v>
      </c>
      <c r="I12">
        <f t="shared" ref="I12:I73" si="24">F12/D12</f>
        <v>0</v>
      </c>
      <c r="L12">
        <v>6</v>
      </c>
      <c r="M12" s="6" t="s">
        <v>10</v>
      </c>
      <c r="N12" s="12">
        <v>117246</v>
      </c>
      <c r="O12" s="9">
        <f t="shared" si="14"/>
        <v>105869.09983857333</v>
      </c>
      <c r="P12" s="9">
        <f t="shared" si="15"/>
        <v>105869.09983857333</v>
      </c>
      <c r="Q12">
        <v>0.1</v>
      </c>
      <c r="R12">
        <f t="shared" si="16"/>
        <v>1</v>
      </c>
      <c r="S12">
        <f t="shared" si="0"/>
        <v>0.83518163746630725</v>
      </c>
      <c r="T12">
        <f t="shared" si="17"/>
        <v>0.16481836253369275</v>
      </c>
      <c r="U12">
        <f t="shared" si="18"/>
        <v>1.6481836253369277E-2</v>
      </c>
      <c r="V12" s="87"/>
      <c r="W12" s="87"/>
      <c r="X12" s="87"/>
      <c r="Y12" s="87"/>
      <c r="Z12">
        <v>16</v>
      </c>
      <c r="AA12" s="6" t="s">
        <v>40</v>
      </c>
      <c r="AB12" s="6">
        <v>87798</v>
      </c>
      <c r="AC12" s="9">
        <f t="shared" si="1"/>
        <v>87798</v>
      </c>
      <c r="AD12">
        <v>0.5</v>
      </c>
      <c r="AE12" s="6">
        <f t="shared" si="2"/>
        <v>1.2225941440178341E-2</v>
      </c>
      <c r="AF12">
        <f t="shared" si="3"/>
        <v>4</v>
      </c>
      <c r="AG12">
        <f t="shared" si="4"/>
        <v>1.2770341851476847</v>
      </c>
      <c r="AH12" s="6">
        <f t="shared" si="5"/>
        <v>0.16337410866520527</v>
      </c>
      <c r="AI12">
        <f t="shared" si="19"/>
        <v>2.5595917061871098</v>
      </c>
      <c r="AJ12">
        <f t="shared" si="6"/>
        <v>2.0421763583150659E-2</v>
      </c>
      <c r="AK12">
        <f t="shared" si="7"/>
        <v>0.12797958530935549</v>
      </c>
      <c r="AL12" s="33">
        <f t="shared" si="20"/>
        <v>6.2668233714617738</v>
      </c>
      <c r="AM12" s="13"/>
      <c r="AN12" s="13"/>
      <c r="AO12" s="13"/>
      <c r="AP12" s="9">
        <f t="shared" si="8"/>
        <v>68242.168817920334</v>
      </c>
      <c r="AQ12" s="6">
        <f t="shared" si="21"/>
        <v>1.0755049625085285E-2</v>
      </c>
      <c r="AR12">
        <f t="shared" si="9"/>
        <v>4</v>
      </c>
      <c r="AS12">
        <f t="shared" si="10"/>
        <v>1.1233953721598515</v>
      </c>
      <c r="AT12" s="6">
        <f t="shared" si="11"/>
        <v>0.14371871931056193</v>
      </c>
      <c r="AU12">
        <f t="shared" si="22"/>
        <v>2.7328859085295862</v>
      </c>
      <c r="AV12">
        <f t="shared" si="12"/>
        <v>1.7964839913820242E-2</v>
      </c>
      <c r="AW12">
        <f t="shared" si="13"/>
        <v>0.13664429542647932</v>
      </c>
      <c r="AX12" s="33">
        <f t="shared" si="23"/>
        <v>7.6062072404753076</v>
      </c>
    </row>
    <row r="13" spans="1:50" x14ac:dyDescent="0.25">
      <c r="A13">
        <v>5</v>
      </c>
      <c r="B13" s="6" t="s">
        <v>9</v>
      </c>
      <c r="C13">
        <v>0</v>
      </c>
      <c r="D13" s="12">
        <v>23708</v>
      </c>
      <c r="E13" s="13">
        <v>0</v>
      </c>
      <c r="F13" s="6">
        <v>18993</v>
      </c>
      <c r="G13" s="6">
        <v>319952</v>
      </c>
      <c r="H13" s="6">
        <v>201190</v>
      </c>
      <c r="I13">
        <f t="shared" si="24"/>
        <v>0.80112198414037461</v>
      </c>
      <c r="L13">
        <v>7</v>
      </c>
      <c r="M13" s="6" t="s">
        <v>11</v>
      </c>
      <c r="N13" s="12">
        <v>126832</v>
      </c>
      <c r="O13" s="9">
        <f t="shared" si="14"/>
        <v>112702.26085137577</v>
      </c>
      <c r="P13" s="9">
        <f t="shared" si="15"/>
        <v>112702.26085137577</v>
      </c>
      <c r="Q13">
        <v>0.1</v>
      </c>
      <c r="R13">
        <f t="shared" si="16"/>
        <v>1</v>
      </c>
      <c r="S13">
        <f t="shared" si="0"/>
        <v>0.83518163746630725</v>
      </c>
      <c r="T13">
        <f t="shared" si="17"/>
        <v>0.16481836253369275</v>
      </c>
      <c r="U13">
        <f t="shared" si="18"/>
        <v>1.6481836253369277E-2</v>
      </c>
      <c r="V13" s="87" t="s">
        <v>239</v>
      </c>
      <c r="W13" s="87">
        <v>120</v>
      </c>
      <c r="X13" s="87">
        <v>120</v>
      </c>
      <c r="Y13" s="87">
        <v>120</v>
      </c>
      <c r="Z13">
        <v>17</v>
      </c>
      <c r="AA13" s="6" t="s">
        <v>41</v>
      </c>
      <c r="AB13" s="6">
        <v>172342</v>
      </c>
      <c r="AC13" s="9">
        <f t="shared" si="1"/>
        <v>172342</v>
      </c>
      <c r="AD13">
        <v>0.5</v>
      </c>
      <c r="AE13" s="6">
        <f t="shared" si="2"/>
        <v>2.1931119011732232E-2</v>
      </c>
      <c r="AF13">
        <f t="shared" si="3"/>
        <v>4</v>
      </c>
      <c r="AG13">
        <f t="shared" si="4"/>
        <v>2.2907674499801818</v>
      </c>
      <c r="AH13" s="6">
        <f t="shared" si="5"/>
        <v>0.29306348620299177</v>
      </c>
      <c r="AI13">
        <f>AF13-(AG13+AH13)</f>
        <v>1.4161690638168265</v>
      </c>
      <c r="AJ13">
        <f t="shared" si="6"/>
        <v>3.6632935775373972E-2</v>
      </c>
      <c r="AK13">
        <f t="shared" si="7"/>
        <v>7.0808453190841322E-2</v>
      </c>
      <c r="AL13" s="33">
        <f t="shared" si="20"/>
        <v>1.932917788108083</v>
      </c>
      <c r="AM13" s="13"/>
      <c r="AN13" s="13"/>
      <c r="AO13" s="13"/>
      <c r="AP13" s="9">
        <f t="shared" si="8"/>
        <v>132115.93151433609</v>
      </c>
      <c r="AQ13" s="6">
        <f t="shared" si="21"/>
        <v>2.0438195526625704E-2</v>
      </c>
      <c r="AR13">
        <f t="shared" si="9"/>
        <v>4</v>
      </c>
      <c r="AS13">
        <f t="shared" si="10"/>
        <v>2.1348273667056583</v>
      </c>
      <c r="AT13" s="6">
        <f t="shared" si="11"/>
        <v>0.27311368970854094</v>
      </c>
      <c r="AU13">
        <f>AR13-(AS13+AT13)</f>
        <v>1.5920589435858008</v>
      </c>
      <c r="AV13">
        <f t="shared" si="12"/>
        <v>3.4139211213567618E-2</v>
      </c>
      <c r="AW13">
        <f t="shared" si="13"/>
        <v>7.9602947179290034E-2</v>
      </c>
      <c r="AX13" s="33">
        <f t="shared" si="23"/>
        <v>2.3317160634236975</v>
      </c>
    </row>
    <row r="14" spans="1:50" x14ac:dyDescent="0.25">
      <c r="A14">
        <v>6</v>
      </c>
      <c r="B14" s="6" t="s">
        <v>10</v>
      </c>
      <c r="C14" s="13">
        <v>115407</v>
      </c>
      <c r="D14" s="12">
        <v>117246</v>
      </c>
      <c r="E14" s="13">
        <v>89283</v>
      </c>
      <c r="F14" s="6">
        <v>89312</v>
      </c>
      <c r="G14" s="6">
        <v>767882</v>
      </c>
      <c r="H14" s="6">
        <v>497635</v>
      </c>
      <c r="I14">
        <f t="shared" si="24"/>
        <v>0.76174880166487557</v>
      </c>
      <c r="L14">
        <v>8</v>
      </c>
      <c r="M14" s="6" t="s">
        <v>12</v>
      </c>
      <c r="N14" s="12">
        <v>642364</v>
      </c>
      <c r="O14" s="9">
        <f t="shared" si="14"/>
        <v>561859.33228137111</v>
      </c>
      <c r="P14" s="9">
        <f t="shared" si="15"/>
        <v>561859.33228137111</v>
      </c>
      <c r="Q14">
        <v>0.5</v>
      </c>
      <c r="R14">
        <f t="shared" si="16"/>
        <v>5</v>
      </c>
      <c r="S14">
        <f t="shared" si="0"/>
        <v>4.1759081873315358</v>
      </c>
      <c r="T14">
        <f t="shared" si="17"/>
        <v>0.82409181266846421</v>
      </c>
      <c r="U14">
        <f t="shared" si="18"/>
        <v>8.2409181266846418E-2</v>
      </c>
      <c r="V14" s="87" t="s">
        <v>240</v>
      </c>
      <c r="W14" s="87">
        <v>8</v>
      </c>
      <c r="X14" s="87">
        <v>6</v>
      </c>
      <c r="Y14" s="87">
        <v>6</v>
      </c>
      <c r="Z14">
        <v>18</v>
      </c>
      <c r="AA14" s="6" t="s">
        <v>42</v>
      </c>
      <c r="AB14" s="6">
        <v>90344</v>
      </c>
      <c r="AC14" s="9">
        <f t="shared" si="1"/>
        <v>90344</v>
      </c>
      <c r="AD14">
        <v>0.5</v>
      </c>
      <c r="AE14" s="6">
        <f t="shared" si="2"/>
        <v>1.2518207977096114E-2</v>
      </c>
      <c r="AF14">
        <f t="shared" si="3"/>
        <v>4</v>
      </c>
      <c r="AG14">
        <f t="shared" si="4"/>
        <v>1.3075622520981902</v>
      </c>
      <c r="AH14" s="6">
        <f t="shared" si="5"/>
        <v>0.16727963898327874</v>
      </c>
      <c r="AI14">
        <f t="shared" si="19"/>
        <v>2.5251581089185313</v>
      </c>
      <c r="AJ14">
        <f t="shared" si="6"/>
        <v>2.0909954872909843E-2</v>
      </c>
      <c r="AK14">
        <f t="shared" si="7"/>
        <v>0.12625790544592658</v>
      </c>
      <c r="AL14" s="33">
        <f t="shared" si="20"/>
        <v>6.0381720674826322</v>
      </c>
      <c r="AM14" s="13"/>
      <c r="AN14" s="13"/>
      <c r="AO14" s="13"/>
      <c r="AP14" s="9">
        <f t="shared" si="8"/>
        <v>68318.939982479045</v>
      </c>
      <c r="AQ14" s="6">
        <f t="shared" si="21"/>
        <v>1.0766687993580756E-2</v>
      </c>
      <c r="AR14">
        <f t="shared" si="9"/>
        <v>4</v>
      </c>
      <c r="AS14">
        <f t="shared" si="10"/>
        <v>1.1246110326879823</v>
      </c>
      <c r="AT14" s="6">
        <f t="shared" si="11"/>
        <v>0.14387424173708169</v>
      </c>
      <c r="AU14">
        <f t="shared" ref="AU14:AU27" si="25">AR14-(AS14+AT14)</f>
        <v>2.7315147255749359</v>
      </c>
      <c r="AV14">
        <f t="shared" si="12"/>
        <v>1.7984280217135211E-2</v>
      </c>
      <c r="AW14">
        <f t="shared" si="13"/>
        <v>0.13657573627874681</v>
      </c>
      <c r="AX14" s="33">
        <f t="shared" si="23"/>
        <v>7.5941730572357882</v>
      </c>
    </row>
    <row r="15" spans="1:50" x14ac:dyDescent="0.25">
      <c r="A15">
        <v>7</v>
      </c>
      <c r="B15" s="6" t="s">
        <v>11</v>
      </c>
      <c r="C15" s="13">
        <v>125513</v>
      </c>
      <c r="D15" s="12">
        <v>126832</v>
      </c>
      <c r="E15" s="13">
        <v>100975</v>
      </c>
      <c r="F15" s="6">
        <v>110836</v>
      </c>
      <c r="G15" s="6">
        <v>1191558</v>
      </c>
      <c r="H15" s="6">
        <v>757758</v>
      </c>
      <c r="I15">
        <f t="shared" si="24"/>
        <v>0.87388040872965811</v>
      </c>
      <c r="L15">
        <v>9</v>
      </c>
      <c r="M15" s="6" t="s">
        <v>26</v>
      </c>
      <c r="N15" s="12">
        <v>701924</v>
      </c>
      <c r="O15" s="9">
        <f t="shared" si="14"/>
        <v>604485.25198836229</v>
      </c>
      <c r="P15" s="9">
        <f t="shared" si="15"/>
        <v>604485.25198836229</v>
      </c>
      <c r="Q15">
        <v>0.5</v>
      </c>
      <c r="R15">
        <f t="shared" si="16"/>
        <v>5</v>
      </c>
      <c r="S15">
        <f t="shared" si="0"/>
        <v>4.1759081873315358</v>
      </c>
      <c r="T15">
        <f t="shared" si="17"/>
        <v>0.82409181266846421</v>
      </c>
      <c r="U15">
        <f t="shared" si="18"/>
        <v>8.2409181266846418E-2</v>
      </c>
      <c r="V15" s="87" t="s">
        <v>241</v>
      </c>
      <c r="W15" s="87">
        <f>W13-W9-W14</f>
        <v>104.45283018867924</v>
      </c>
      <c r="X15" s="87">
        <f>X13-X9-X14</f>
        <v>105.59663865546219</v>
      </c>
      <c r="Y15" s="87">
        <f>Y13-Y9-Y14</f>
        <v>106.45283018867924</v>
      </c>
      <c r="Z15">
        <v>19</v>
      </c>
      <c r="AA15" s="5" t="s">
        <v>43</v>
      </c>
      <c r="AB15" s="11">
        <v>107010</v>
      </c>
      <c r="AC15" s="95">
        <f t="shared" si="1"/>
        <v>107010</v>
      </c>
      <c r="AD15" s="3">
        <v>0.5</v>
      </c>
      <c r="AE15" s="5">
        <f t="shared" si="2"/>
        <v>1.4431371411609707E-2</v>
      </c>
      <c r="AF15" s="4">
        <f t="shared" si="3"/>
        <v>4</v>
      </c>
      <c r="AG15" s="4">
        <f t="shared" si="4"/>
        <v>1.507397587446629</v>
      </c>
      <c r="AH15" s="5">
        <f t="shared" si="5"/>
        <v>0.19284506250292235</v>
      </c>
      <c r="AI15" s="4">
        <f t="shared" si="19"/>
        <v>2.2997573500504487</v>
      </c>
      <c r="AJ15" s="4">
        <f t="shared" si="6"/>
        <v>2.4105632812865294E-2</v>
      </c>
      <c r="AK15" s="4">
        <f t="shared" si="7"/>
        <v>0.11498786750252243</v>
      </c>
      <c r="AL15" s="32">
        <f t="shared" si="20"/>
        <v>4.770165894220078</v>
      </c>
      <c r="AM15" s="13"/>
      <c r="AN15" s="13"/>
      <c r="AO15" s="13"/>
      <c r="AP15" s="95">
        <f t="shared" si="8"/>
        <v>79840.561663675893</v>
      </c>
      <c r="AQ15" s="5">
        <f t="shared" si="21"/>
        <v>1.2513344821856835E-2</v>
      </c>
      <c r="AR15" s="4">
        <f t="shared" si="9"/>
        <v>4</v>
      </c>
      <c r="AS15" s="4">
        <f t="shared" si="10"/>
        <v>1.3070542817698008</v>
      </c>
      <c r="AT15" s="5">
        <f t="shared" si="11"/>
        <v>0.16721465309598285</v>
      </c>
      <c r="AU15" s="4">
        <f t="shared" si="25"/>
        <v>2.5257310651342166</v>
      </c>
      <c r="AV15" s="4">
        <f t="shared" si="12"/>
        <v>2.0901831636997856E-2</v>
      </c>
      <c r="AW15" s="4">
        <f t="shared" si="13"/>
        <v>0.12628655325671084</v>
      </c>
      <c r="AX15" s="32">
        <f t="shared" si="23"/>
        <v>6.0418893162058529</v>
      </c>
    </row>
    <row r="16" spans="1:50" x14ac:dyDescent="0.25">
      <c r="A16">
        <v>8</v>
      </c>
      <c r="B16" s="6" t="s">
        <v>12</v>
      </c>
      <c r="C16" s="13">
        <v>646667</v>
      </c>
      <c r="D16" s="12">
        <v>642364</v>
      </c>
      <c r="E16" s="13">
        <v>507217</v>
      </c>
      <c r="F16" s="6">
        <v>507725</v>
      </c>
      <c r="G16" s="6">
        <v>2527967</v>
      </c>
      <c r="H16" s="6">
        <v>1607663</v>
      </c>
      <c r="I16">
        <f t="shared" si="24"/>
        <v>0.79040076965707917</v>
      </c>
      <c r="L16">
        <v>14</v>
      </c>
      <c r="M16" s="6" t="s">
        <v>33</v>
      </c>
      <c r="N16" s="6">
        <v>1489336</v>
      </c>
      <c r="O16" s="9">
        <f t="shared" si="14"/>
        <v>1190759.5307856475</v>
      </c>
      <c r="P16" s="9">
        <f t="shared" si="15"/>
        <v>1190759.5307856475</v>
      </c>
      <c r="Q16">
        <v>1</v>
      </c>
      <c r="R16">
        <f t="shared" si="16"/>
        <v>10</v>
      </c>
      <c r="S16">
        <f t="shared" si="0"/>
        <v>8.3518163746630716</v>
      </c>
      <c r="T16">
        <f t="shared" si="17"/>
        <v>1.6481836253369284</v>
      </c>
      <c r="U16">
        <f t="shared" si="18"/>
        <v>0.16481836253369284</v>
      </c>
      <c r="Z16">
        <v>20</v>
      </c>
      <c r="AA16" s="6" t="s">
        <v>49</v>
      </c>
      <c r="AB16" s="12">
        <v>354292</v>
      </c>
      <c r="AC16" s="9">
        <f t="shared" si="1"/>
        <v>354292</v>
      </c>
      <c r="AD16">
        <v>1.5</v>
      </c>
      <c r="AE16" s="6">
        <f t="shared" si="2"/>
        <v>4.2817959699944647E-2</v>
      </c>
      <c r="AF16">
        <f t="shared" si="3"/>
        <v>12</v>
      </c>
      <c r="AG16">
        <f t="shared" si="4"/>
        <v>4.472457073564029</v>
      </c>
      <c r="AH16" s="6">
        <f t="shared" si="5"/>
        <v>0.57217237912265795</v>
      </c>
      <c r="AI16">
        <f t="shared" si="19"/>
        <v>6.9553705473133132</v>
      </c>
      <c r="AJ16">
        <f t="shared" si="6"/>
        <v>7.1521547390332244E-2</v>
      </c>
      <c r="AK16">
        <f t="shared" si="7"/>
        <v>0.34776852736566566</v>
      </c>
      <c r="AL16" s="33">
        <f t="shared" si="20"/>
        <v>4.8624301354625672</v>
      </c>
      <c r="AM16" s="13"/>
      <c r="AN16" s="13"/>
      <c r="AO16" s="13"/>
      <c r="AP16" s="9">
        <f t="shared" si="8"/>
        <v>260852.82169016529</v>
      </c>
      <c r="AQ16" s="6">
        <f t="shared" si="21"/>
        <v>3.9954473225936663E-2</v>
      </c>
      <c r="AR16">
        <f t="shared" si="9"/>
        <v>12</v>
      </c>
      <c r="AS16">
        <f t="shared" si="10"/>
        <v>4.1733578071468935</v>
      </c>
      <c r="AT16" s="6">
        <f t="shared" si="11"/>
        <v>0.53390787796706418</v>
      </c>
      <c r="AU16">
        <f t="shared" si="25"/>
        <v>7.292734314886042</v>
      </c>
      <c r="AV16">
        <f t="shared" si="12"/>
        <v>6.6738484745883023E-2</v>
      </c>
      <c r="AW16">
        <f t="shared" si="13"/>
        <v>0.36463671574430212</v>
      </c>
      <c r="AX16" s="33">
        <f t="shared" si="23"/>
        <v>5.4636648873991094</v>
      </c>
    </row>
    <row r="17" spans="1:50" x14ac:dyDescent="0.25">
      <c r="A17">
        <v>9</v>
      </c>
      <c r="B17" s="6" t="s">
        <v>26</v>
      </c>
      <c r="C17" s="13">
        <v>704598</v>
      </c>
      <c r="D17" s="12">
        <v>701924</v>
      </c>
      <c r="E17" s="13">
        <v>551560</v>
      </c>
      <c r="F17" s="6">
        <v>551004</v>
      </c>
      <c r="G17" s="6">
        <v>2869619</v>
      </c>
      <c r="H17" s="6">
        <v>1845166</v>
      </c>
      <c r="I17">
        <f t="shared" si="24"/>
        <v>0.78499096768311094</v>
      </c>
      <c r="L17">
        <v>15</v>
      </c>
      <c r="M17" s="6" t="s">
        <v>35</v>
      </c>
      <c r="N17" s="12">
        <v>0</v>
      </c>
      <c r="O17" s="9">
        <f t="shared" si="14"/>
        <v>0</v>
      </c>
      <c r="P17" s="9">
        <f t="shared" si="15"/>
        <v>0</v>
      </c>
      <c r="Q17">
        <v>0</v>
      </c>
      <c r="R17">
        <f t="shared" si="16"/>
        <v>0</v>
      </c>
      <c r="S17">
        <f t="shared" si="0"/>
        <v>0</v>
      </c>
      <c r="T17">
        <f t="shared" si="17"/>
        <v>0</v>
      </c>
      <c r="U17">
        <f t="shared" si="18"/>
        <v>0</v>
      </c>
      <c r="Z17">
        <v>21</v>
      </c>
      <c r="AA17" s="6" t="s">
        <v>50</v>
      </c>
      <c r="AB17" s="12">
        <v>329106</v>
      </c>
      <c r="AC17" s="9">
        <f t="shared" si="1"/>
        <v>329106</v>
      </c>
      <c r="AD17">
        <v>1.5</v>
      </c>
      <c r="AE17" s="6">
        <f t="shared" si="2"/>
        <v>3.9926747995776918E-2</v>
      </c>
      <c r="AF17">
        <f t="shared" si="3"/>
        <v>12</v>
      </c>
      <c r="AG17">
        <f t="shared" si="4"/>
        <v>4.170461828389076</v>
      </c>
      <c r="AH17" s="6">
        <f t="shared" si="5"/>
        <v>0.53353738831708108</v>
      </c>
      <c r="AI17">
        <f t="shared" si="19"/>
        <v>7.2960007832938434</v>
      </c>
      <c r="AJ17">
        <f t="shared" si="6"/>
        <v>6.6692173539635136E-2</v>
      </c>
      <c r="AK17">
        <f t="shared" si="7"/>
        <v>0.36480003916469217</v>
      </c>
      <c r="AL17" s="33">
        <f t="shared" si="20"/>
        <v>5.469907783825513</v>
      </c>
      <c r="AM17" s="13"/>
      <c r="AN17" s="13"/>
      <c r="AO17" s="13"/>
      <c r="AP17" s="9">
        <f t="shared" si="8"/>
        <v>239155.56590842636</v>
      </c>
      <c r="AQ17" s="6">
        <f t="shared" si="21"/>
        <v>3.6665208831161797E-2</v>
      </c>
      <c r="AR17">
        <f t="shared" si="9"/>
        <v>12</v>
      </c>
      <c r="AS17">
        <f t="shared" si="10"/>
        <v>3.8297848318738059</v>
      </c>
      <c r="AT17" s="6">
        <f t="shared" si="11"/>
        <v>0.4899537463944611</v>
      </c>
      <c r="AU17">
        <f t="shared" si="25"/>
        <v>7.6802614217317329</v>
      </c>
      <c r="AV17">
        <f t="shared" si="12"/>
        <v>6.1244218299307637E-2</v>
      </c>
      <c r="AW17">
        <f t="shared" si="13"/>
        <v>0.38401307108658667</v>
      </c>
      <c r="AX17" s="33">
        <f t="shared" si="23"/>
        <v>6.2701930361796769</v>
      </c>
    </row>
    <row r="18" spans="1:50" x14ac:dyDescent="0.25">
      <c r="A18">
        <v>10</v>
      </c>
      <c r="B18" s="6" t="s">
        <v>36</v>
      </c>
      <c r="C18" s="13">
        <v>0</v>
      </c>
      <c r="D18" s="12">
        <v>0</v>
      </c>
      <c r="E18" s="13">
        <v>0</v>
      </c>
      <c r="F18" s="6">
        <v>0</v>
      </c>
      <c r="G18" s="6"/>
      <c r="H18" s="6"/>
      <c r="L18">
        <v>26</v>
      </c>
      <c r="M18" s="6" t="s">
        <v>34</v>
      </c>
      <c r="N18" s="6">
        <v>1375628</v>
      </c>
      <c r="O18" s="9">
        <f t="shared" si="14"/>
        <v>938566.96613179485</v>
      </c>
      <c r="P18" s="9">
        <f t="shared" si="15"/>
        <v>938566.96613179485</v>
      </c>
      <c r="Q18">
        <v>1</v>
      </c>
      <c r="R18">
        <f t="shared" si="16"/>
        <v>10</v>
      </c>
      <c r="S18">
        <f t="shared" si="0"/>
        <v>8.3518163746630716</v>
      </c>
      <c r="T18">
        <f t="shared" si="17"/>
        <v>1.6481836253369284</v>
      </c>
      <c r="U18">
        <f t="shared" si="18"/>
        <v>0.16481836253369284</v>
      </c>
      <c r="Z18">
        <v>22</v>
      </c>
      <c r="AA18" s="6" t="s">
        <v>51</v>
      </c>
      <c r="AB18" s="12">
        <v>295761</v>
      </c>
      <c r="AC18" s="9">
        <f t="shared" si="1"/>
        <v>295761</v>
      </c>
      <c r="AD18">
        <v>1.5</v>
      </c>
      <c r="AE18" s="6">
        <f t="shared" si="2"/>
        <v>3.6098928799577726E-2</v>
      </c>
      <c r="AF18">
        <f t="shared" si="3"/>
        <v>12</v>
      </c>
      <c r="AG18">
        <f t="shared" si="4"/>
        <v>3.7706352798955147</v>
      </c>
      <c r="AH18" s="6">
        <f t="shared" si="5"/>
        <v>0.48238659944977536</v>
      </c>
      <c r="AI18">
        <f t="shared" si="19"/>
        <v>7.7469781206547097</v>
      </c>
      <c r="AJ18">
        <f t="shared" si="6"/>
        <v>6.0298324931221919E-2</v>
      </c>
      <c r="AK18">
        <f t="shared" si="7"/>
        <v>0.38734890603273547</v>
      </c>
      <c r="AL18" s="33">
        <f t="shared" si="20"/>
        <v>6.4238750657594101</v>
      </c>
      <c r="AM18" s="13"/>
      <c r="AN18" s="13"/>
      <c r="AO18" s="13"/>
      <c r="AP18" s="9">
        <f t="shared" si="8"/>
        <v>212163.01144312162</v>
      </c>
      <c r="AQ18" s="6">
        <f t="shared" si="21"/>
        <v>3.257318681603337E-2</v>
      </c>
      <c r="AR18">
        <f t="shared" si="9"/>
        <v>12</v>
      </c>
      <c r="AS18">
        <f t="shared" si="10"/>
        <v>3.4023615511992591</v>
      </c>
      <c r="AT18" s="6">
        <f t="shared" si="11"/>
        <v>0.43527244004017085</v>
      </c>
      <c r="AU18">
        <f t="shared" si="25"/>
        <v>8.1623660087605696</v>
      </c>
      <c r="AV18">
        <f t="shared" si="12"/>
        <v>5.4409055005021356E-2</v>
      </c>
      <c r="AW18">
        <f t="shared" si="13"/>
        <v>0.40811830043802849</v>
      </c>
      <c r="AX18" s="33">
        <f t="shared" si="23"/>
        <v>7.500926094018058</v>
      </c>
    </row>
    <row r="19" spans="1:50" x14ac:dyDescent="0.25">
      <c r="A19">
        <v>11</v>
      </c>
      <c r="B19" s="6" t="s">
        <v>37</v>
      </c>
      <c r="C19" s="13">
        <v>0</v>
      </c>
      <c r="D19" s="12">
        <v>0</v>
      </c>
      <c r="E19" s="13">
        <v>0</v>
      </c>
      <c r="F19" s="6">
        <v>0</v>
      </c>
      <c r="G19" s="6"/>
      <c r="H19" s="6"/>
      <c r="L19">
        <v>27</v>
      </c>
      <c r="M19" s="6" t="s">
        <v>65</v>
      </c>
      <c r="N19" s="6">
        <v>0</v>
      </c>
      <c r="O19" s="9">
        <f t="shared" si="14"/>
        <v>0</v>
      </c>
      <c r="P19" s="9">
        <f t="shared" si="15"/>
        <v>0</v>
      </c>
      <c r="Q19">
        <v>0</v>
      </c>
      <c r="R19">
        <f t="shared" si="16"/>
        <v>0</v>
      </c>
      <c r="S19">
        <f t="shared" si="0"/>
        <v>0</v>
      </c>
      <c r="T19">
        <f t="shared" si="17"/>
        <v>0</v>
      </c>
      <c r="U19">
        <f t="shared" si="18"/>
        <v>0</v>
      </c>
      <c r="Z19">
        <v>23</v>
      </c>
      <c r="AA19" s="5" t="s">
        <v>52</v>
      </c>
      <c r="AB19" s="11">
        <v>362094</v>
      </c>
      <c r="AC19" s="95">
        <f t="shared" si="1"/>
        <v>362094</v>
      </c>
      <c r="AD19" s="4">
        <v>1.5</v>
      </c>
      <c r="AE19" s="5">
        <f t="shared" si="2"/>
        <v>4.3713585591944826E-2</v>
      </c>
      <c r="AF19" s="4">
        <f t="shared" si="3"/>
        <v>12</v>
      </c>
      <c r="AG19" s="4">
        <f t="shared" si="4"/>
        <v>4.5660077327737083</v>
      </c>
      <c r="AH19" s="5">
        <f t="shared" si="5"/>
        <v>0.58414054390726489</v>
      </c>
      <c r="AI19" s="4">
        <f t="shared" si="19"/>
        <v>6.849851723319027</v>
      </c>
      <c r="AJ19" s="4">
        <f t="shared" si="6"/>
        <v>7.3017567988408111E-2</v>
      </c>
      <c r="AK19" s="4">
        <f t="shared" si="7"/>
        <v>0.34249258616595135</v>
      </c>
      <c r="AL19" s="32">
        <f t="shared" si="20"/>
        <v>4.6905504469872739</v>
      </c>
      <c r="AM19" s="13"/>
      <c r="AN19" s="13"/>
      <c r="AO19" s="13"/>
      <c r="AP19" s="95">
        <f t="shared" si="8"/>
        <v>256451.86427032514</v>
      </c>
      <c r="AQ19" s="5">
        <f t="shared" si="21"/>
        <v>3.9287296109640518E-2</v>
      </c>
      <c r="AR19" s="4">
        <f t="shared" si="9"/>
        <v>12</v>
      </c>
      <c r="AS19" s="4">
        <f t="shared" si="10"/>
        <v>4.1036692691126397</v>
      </c>
      <c r="AT19" s="5">
        <f t="shared" si="11"/>
        <v>0.52499245274357198</v>
      </c>
      <c r="AU19" s="4">
        <f t="shared" si="25"/>
        <v>7.3713382781437886</v>
      </c>
      <c r="AV19" s="4">
        <f t="shared" si="12"/>
        <v>6.5624056592946498E-2</v>
      </c>
      <c r="AW19" s="4">
        <f t="shared" si="13"/>
        <v>0.36856691390718943</v>
      </c>
      <c r="AX19" s="32">
        <f t="shared" si="23"/>
        <v>5.6163384746746106</v>
      </c>
    </row>
    <row r="20" spans="1:50" x14ac:dyDescent="0.25">
      <c r="A20">
        <v>12</v>
      </c>
      <c r="B20" s="6" t="s">
        <v>38</v>
      </c>
      <c r="C20" s="13">
        <v>0</v>
      </c>
      <c r="D20" s="12">
        <v>0</v>
      </c>
      <c r="E20" s="13">
        <v>0</v>
      </c>
      <c r="F20" s="6">
        <v>0</v>
      </c>
      <c r="G20" s="6"/>
      <c r="H20" s="6"/>
      <c r="L20">
        <v>34</v>
      </c>
      <c r="M20" s="6" t="s">
        <v>69</v>
      </c>
      <c r="N20" s="6">
        <v>0</v>
      </c>
      <c r="O20" s="9">
        <f t="shared" si="14"/>
        <v>0</v>
      </c>
      <c r="P20" s="9">
        <f t="shared" si="15"/>
        <v>0</v>
      </c>
      <c r="Q20">
        <v>0</v>
      </c>
      <c r="R20">
        <f t="shared" si="16"/>
        <v>0</v>
      </c>
      <c r="S20">
        <f t="shared" si="0"/>
        <v>0</v>
      </c>
      <c r="T20">
        <f t="shared" si="17"/>
        <v>0</v>
      </c>
      <c r="U20">
        <f t="shared" si="18"/>
        <v>0</v>
      </c>
      <c r="Z20">
        <v>24</v>
      </c>
      <c r="AA20" s="6" t="s">
        <v>53</v>
      </c>
      <c r="AB20" s="6">
        <v>430852</v>
      </c>
      <c r="AC20" s="9">
        <f t="shared" si="1"/>
        <v>430852</v>
      </c>
      <c r="AD20" s="13">
        <v>2.5</v>
      </c>
      <c r="AE20" s="6">
        <f t="shared" si="2"/>
        <v>5.1606618799090245E-2</v>
      </c>
      <c r="AF20">
        <f t="shared" si="3"/>
        <v>20</v>
      </c>
      <c r="AG20">
        <f t="shared" si="4"/>
        <v>5.3904573900332755</v>
      </c>
      <c r="AH20" s="6">
        <f t="shared" si="5"/>
        <v>0.68961440628357928</v>
      </c>
      <c r="AI20">
        <f t="shared" si="19"/>
        <v>13.919928203683146</v>
      </c>
      <c r="AJ20">
        <f t="shared" si="6"/>
        <v>8.6201800785447411E-2</v>
      </c>
      <c r="AK20">
        <f t="shared" si="7"/>
        <v>0.69599641018415725</v>
      </c>
      <c r="AL20" s="33">
        <f t="shared" si="20"/>
        <v>8.0740356215580977</v>
      </c>
      <c r="AM20" s="13"/>
      <c r="AN20" s="13"/>
      <c r="AO20" s="13"/>
      <c r="AP20" s="9">
        <f t="shared" si="8"/>
        <v>301327.17424624966</v>
      </c>
      <c r="AQ20" s="6">
        <f t="shared" si="21"/>
        <v>4.6090311237135313E-2</v>
      </c>
      <c r="AR20">
        <f t="shared" si="9"/>
        <v>20</v>
      </c>
      <c r="AS20">
        <f t="shared" si="10"/>
        <v>4.8142634529958697</v>
      </c>
      <c r="AT20" s="6">
        <f t="shared" si="11"/>
        <v>0.61590050576579858</v>
      </c>
      <c r="AU20">
        <f t="shared" si="25"/>
        <v>14.569836041238332</v>
      </c>
      <c r="AV20">
        <f t="shared" si="12"/>
        <v>7.6987563220724822E-2</v>
      </c>
      <c r="AW20">
        <f t="shared" si="13"/>
        <v>0.72849180206191666</v>
      </c>
      <c r="AX20" s="33">
        <f t="shared" si="23"/>
        <v>9.4624608389450735</v>
      </c>
    </row>
    <row r="21" spans="1:50" x14ac:dyDescent="0.25">
      <c r="A21">
        <v>13</v>
      </c>
      <c r="B21" s="6" t="s">
        <v>39</v>
      </c>
      <c r="C21" s="9">
        <v>0</v>
      </c>
      <c r="D21" s="6">
        <v>0</v>
      </c>
      <c r="E21" s="9">
        <v>0</v>
      </c>
      <c r="F21" s="6">
        <v>0</v>
      </c>
      <c r="G21" s="6"/>
      <c r="H21" s="6"/>
      <c r="L21" s="29">
        <v>44377</v>
      </c>
      <c r="Z21">
        <v>25</v>
      </c>
      <c r="AA21" s="6" t="s">
        <v>54</v>
      </c>
      <c r="AB21" s="6">
        <v>498029</v>
      </c>
      <c r="AC21" s="9">
        <f t="shared" si="1"/>
        <v>498029</v>
      </c>
      <c r="AD21" s="13">
        <v>2.5</v>
      </c>
      <c r="AE21" s="6">
        <f t="shared" si="2"/>
        <v>5.931816206323999E-2</v>
      </c>
      <c r="AF21">
        <f t="shared" si="3"/>
        <v>20</v>
      </c>
      <c r="AG21">
        <f t="shared" si="4"/>
        <v>6.1959499090961616</v>
      </c>
      <c r="AH21" s="6">
        <f t="shared" si="5"/>
        <v>0.79266303557549689</v>
      </c>
      <c r="AI21">
        <f t="shared" si="19"/>
        <v>13.011387055328342</v>
      </c>
      <c r="AJ21">
        <f t="shared" si="6"/>
        <v>9.9082879446937111E-2</v>
      </c>
      <c r="AK21">
        <f t="shared" si="7"/>
        <v>0.65056935276641714</v>
      </c>
      <c r="AL21" s="33">
        <f t="shared" si="20"/>
        <v>6.5659108455242601</v>
      </c>
      <c r="AM21" s="13"/>
      <c r="AN21" s="13"/>
      <c r="AO21" s="13"/>
      <c r="AP21" s="9">
        <f t="shared" si="8"/>
        <v>344000.13927879144</v>
      </c>
      <c r="AQ21" s="6">
        <f t="shared" si="21"/>
        <v>5.2559454888893617E-2</v>
      </c>
      <c r="AR21">
        <f t="shared" si="9"/>
        <v>20</v>
      </c>
      <c r="AS21">
        <f t="shared" si="10"/>
        <v>5.4899838163191523</v>
      </c>
      <c r="AT21" s="6">
        <f t="shared" si="11"/>
        <v>0.70234706557508286</v>
      </c>
      <c r="AU21">
        <f t="shared" si="25"/>
        <v>13.807669118105764</v>
      </c>
      <c r="AV21">
        <f t="shared" si="12"/>
        <v>8.7793383196885358E-2</v>
      </c>
      <c r="AW21">
        <f t="shared" si="13"/>
        <v>0.69038345590528816</v>
      </c>
      <c r="AX21" s="33">
        <f t="shared" si="23"/>
        <v>7.8637299391576567</v>
      </c>
    </row>
    <row r="22" spans="1:50" x14ac:dyDescent="0.25">
      <c r="A22">
        <v>14</v>
      </c>
      <c r="B22" s="6" t="s">
        <v>33</v>
      </c>
      <c r="C22">
        <v>1493418</v>
      </c>
      <c r="D22" s="6">
        <v>1489336</v>
      </c>
      <c r="E22" s="13">
        <v>1166700</v>
      </c>
      <c r="F22" s="6">
        <v>1163230</v>
      </c>
      <c r="G22" s="6">
        <v>1071588</v>
      </c>
      <c r="H22" s="6">
        <v>680907</v>
      </c>
      <c r="I22">
        <f t="shared" si="24"/>
        <v>0.78103933565024952</v>
      </c>
      <c r="L22">
        <v>2</v>
      </c>
      <c r="M22" s="6" t="s">
        <v>6</v>
      </c>
      <c r="N22" s="6">
        <v>0</v>
      </c>
      <c r="O22" s="13">
        <f>IF(N22&lt;=0,0,N22*((34354.247*0+605863.158)/(34354.247*L22+605863.158)))</f>
        <v>0</v>
      </c>
      <c r="P22" s="9">
        <f>IF(AVERAGE($O$22,$O$29:$O$31)&gt;0,IF(O22-AVERAGE($O$22,$O$29:$O$31)&lt;=0,0,O22-AVERAGE($O$22,$O$29:$O$31)),O22)</f>
        <v>0</v>
      </c>
      <c r="Q22">
        <v>0</v>
      </c>
      <c r="R22">
        <f>Q22*10</f>
        <v>0</v>
      </c>
      <c r="S22">
        <f t="shared" ref="S22:S31" si="26">(Q22*10*10)/($L$3*(10+10))</f>
        <v>0</v>
      </c>
      <c r="T22">
        <f t="shared" ref="T22:T43" si="27">R22-S22</f>
        <v>0</v>
      </c>
      <c r="U22">
        <f t="shared" ref="U22:U43" si="28">T22/10</f>
        <v>0</v>
      </c>
      <c r="Z22">
        <v>28</v>
      </c>
      <c r="AA22" s="6" t="s">
        <v>55</v>
      </c>
      <c r="AB22" s="6">
        <v>515309</v>
      </c>
      <c r="AC22" s="9">
        <f t="shared" si="1"/>
        <v>515309</v>
      </c>
      <c r="AD22" s="13">
        <v>2.5</v>
      </c>
      <c r="AE22" s="6">
        <f t="shared" si="2"/>
        <v>6.1301809258031463E-2</v>
      </c>
      <c r="AF22">
        <f t="shared" si="3"/>
        <v>20</v>
      </c>
      <c r="AG22">
        <f t="shared" si="4"/>
        <v>6.4031474726879658</v>
      </c>
      <c r="AH22" s="6">
        <f t="shared" si="5"/>
        <v>0.81917032697231917</v>
      </c>
      <c r="AI22">
        <f t="shared" si="19"/>
        <v>12.777682200339715</v>
      </c>
      <c r="AJ22">
        <f t="shared" si="6"/>
        <v>0.1023962908715399</v>
      </c>
      <c r="AK22">
        <f t="shared" si="7"/>
        <v>0.63888411001698575</v>
      </c>
      <c r="AL22" s="33">
        <f t="shared" si="20"/>
        <v>6.2393286375821031</v>
      </c>
      <c r="AM22" s="13"/>
      <c r="AN22" s="13"/>
      <c r="AO22" s="13"/>
      <c r="AP22" s="9">
        <f t="shared" si="8"/>
        <v>343198.62611577078</v>
      </c>
      <c r="AQ22" s="6">
        <f t="shared" si="21"/>
        <v>5.24379469555592E-2</v>
      </c>
      <c r="AR22">
        <f t="shared" si="9"/>
        <v>20</v>
      </c>
      <c r="AS22">
        <f t="shared" si="10"/>
        <v>5.4772919687919952</v>
      </c>
      <c r="AT22" s="6">
        <f t="shared" si="11"/>
        <v>0.70072336645944466</v>
      </c>
      <c r="AU22">
        <f t="shared" si="25"/>
        <v>13.821984664748559</v>
      </c>
      <c r="AV22">
        <f t="shared" si="12"/>
        <v>8.7590420807430583E-2</v>
      </c>
      <c r="AW22">
        <f t="shared" si="13"/>
        <v>0.69109923323742795</v>
      </c>
      <c r="AX22" s="33">
        <f t="shared" si="23"/>
        <v>7.8901234503351052</v>
      </c>
    </row>
    <row r="23" spans="1:50" x14ac:dyDescent="0.25">
      <c r="A23">
        <v>15</v>
      </c>
      <c r="B23" s="6" t="s">
        <v>35</v>
      </c>
      <c r="C23" s="13">
        <v>0</v>
      </c>
      <c r="D23" s="12">
        <v>0</v>
      </c>
      <c r="E23" s="13">
        <v>0</v>
      </c>
      <c r="F23" s="6">
        <v>0</v>
      </c>
      <c r="G23" s="10">
        <v>1209711</v>
      </c>
      <c r="H23" s="10">
        <v>774627</v>
      </c>
      <c r="L23">
        <v>3</v>
      </c>
      <c r="M23" s="6" t="s">
        <v>12</v>
      </c>
      <c r="N23" s="6">
        <v>489365</v>
      </c>
      <c r="O23" s="13">
        <f t="shared" ref="O23:O30" si="29">IF(N23&lt;=0,0,N23*((34354.247*0+605863.158)/(34354.247*L23+605863.158)))</f>
        <v>418221.74183915654</v>
      </c>
      <c r="P23" s="9">
        <f t="shared" ref="P23:P31" si="30">IF(AVERAGE($O$22,$O$29:$O$31)&gt;0,IF(O23-AVERAGE($O$22,$O$29:$O$31)&lt;=0,0,O23-AVERAGE($O$22,$O$29:$O$31)),O23)</f>
        <v>418221.74183915654</v>
      </c>
      <c r="Q23">
        <v>0.5</v>
      </c>
      <c r="R23">
        <f t="shared" ref="R23:R31" si="31">Q23*10</f>
        <v>5</v>
      </c>
      <c r="S23">
        <f t="shared" si="26"/>
        <v>4.1759081873315358</v>
      </c>
      <c r="T23">
        <f t="shared" si="27"/>
        <v>0.82409181266846421</v>
      </c>
      <c r="U23">
        <f t="shared" si="28"/>
        <v>8.2409181266846418E-2</v>
      </c>
      <c r="Z23">
        <v>29</v>
      </c>
      <c r="AA23" s="5" t="s">
        <v>56</v>
      </c>
      <c r="AB23" s="5">
        <v>511143</v>
      </c>
      <c r="AC23" s="95">
        <f t="shared" si="1"/>
        <v>511143</v>
      </c>
      <c r="AD23" s="4">
        <v>2.5</v>
      </c>
      <c r="AE23" s="5">
        <f t="shared" si="2"/>
        <v>6.082357579660199E-2</v>
      </c>
      <c r="AF23" s="4">
        <f t="shared" si="3"/>
        <v>20</v>
      </c>
      <c r="AG23" s="4">
        <f t="shared" si="4"/>
        <v>6.3531946341507286</v>
      </c>
      <c r="AH23" s="5">
        <f t="shared" si="5"/>
        <v>0.81277973808579362</v>
      </c>
      <c r="AI23" s="4">
        <f t="shared" si="19"/>
        <v>12.834025627763477</v>
      </c>
      <c r="AJ23" s="4">
        <f t="shared" si="6"/>
        <v>0.1015974672607242</v>
      </c>
      <c r="AK23" s="4">
        <f t="shared" si="7"/>
        <v>0.64170128138817384</v>
      </c>
      <c r="AL23" s="32">
        <f t="shared" si="20"/>
        <v>6.3161149454780183</v>
      </c>
      <c r="AM23" s="13"/>
      <c r="AN23" s="13"/>
      <c r="AO23" s="13"/>
      <c r="AP23" s="95">
        <f t="shared" si="8"/>
        <v>336411.2081262999</v>
      </c>
      <c r="AQ23" s="5">
        <f t="shared" si="21"/>
        <v>5.1408986770464696E-2</v>
      </c>
      <c r="AR23" s="4">
        <f t="shared" si="9"/>
        <v>20</v>
      </c>
      <c r="AS23" s="4">
        <f t="shared" si="10"/>
        <v>5.3698141653074067</v>
      </c>
      <c r="AT23" s="5">
        <f t="shared" si="11"/>
        <v>0.68697346802304682</v>
      </c>
      <c r="AU23" s="4">
        <f t="shared" si="25"/>
        <v>13.943212366669545</v>
      </c>
      <c r="AV23" s="4">
        <f t="shared" si="12"/>
        <v>8.5871683502880852E-2</v>
      </c>
      <c r="AW23" s="4">
        <f t="shared" si="13"/>
        <v>0.69716061833347731</v>
      </c>
      <c r="AX23" s="32">
        <f t="shared" si="23"/>
        <v>8.118632241675904</v>
      </c>
    </row>
    <row r="24" spans="1:50" x14ac:dyDescent="0.25">
      <c r="A24">
        <v>16</v>
      </c>
      <c r="B24" s="6" t="s">
        <v>40</v>
      </c>
      <c r="C24" s="9">
        <v>87625</v>
      </c>
      <c r="D24" s="6">
        <v>87798</v>
      </c>
      <c r="E24" s="9">
        <v>69536</v>
      </c>
      <c r="F24" s="6">
        <v>70852</v>
      </c>
      <c r="G24" s="6"/>
      <c r="H24" s="6"/>
      <c r="I24">
        <f t="shared" si="24"/>
        <v>0.80698876967584687</v>
      </c>
      <c r="L24">
        <v>4</v>
      </c>
      <c r="M24" s="6" t="s">
        <v>26</v>
      </c>
      <c r="N24" s="6">
        <v>530405</v>
      </c>
      <c r="O24" s="13">
        <f t="shared" si="29"/>
        <v>432344.18415232364</v>
      </c>
      <c r="P24" s="9">
        <f t="shared" si="30"/>
        <v>432344.18415232364</v>
      </c>
      <c r="Q24">
        <v>0.5</v>
      </c>
      <c r="R24">
        <f t="shared" si="31"/>
        <v>5</v>
      </c>
      <c r="S24">
        <f t="shared" si="26"/>
        <v>4.1759081873315358</v>
      </c>
      <c r="T24">
        <f t="shared" si="27"/>
        <v>0.82409181266846421</v>
      </c>
      <c r="U24">
        <f t="shared" si="28"/>
        <v>8.2409181266846418E-2</v>
      </c>
      <c r="Z24">
        <v>30</v>
      </c>
      <c r="AA24" s="6" t="s">
        <v>57</v>
      </c>
      <c r="AB24" s="6">
        <v>978297</v>
      </c>
      <c r="AC24" s="9">
        <f t="shared" si="1"/>
        <v>978297</v>
      </c>
      <c r="AD24">
        <v>5</v>
      </c>
      <c r="AE24" s="6">
        <f t="shared" si="2"/>
        <v>0.11445023792829302</v>
      </c>
      <c r="AF24">
        <f t="shared" si="3"/>
        <v>40</v>
      </c>
      <c r="AG24">
        <f t="shared" si="4"/>
        <v>11.954651267377928</v>
      </c>
      <c r="AH24" s="6">
        <f t="shared" si="5"/>
        <v>1.5293877939417635</v>
      </c>
      <c r="AI24">
        <f t="shared" si="19"/>
        <v>26.515960938680308</v>
      </c>
      <c r="AJ24">
        <f t="shared" si="6"/>
        <v>0.19117347424272044</v>
      </c>
      <c r="AK24">
        <f t="shared" si="7"/>
        <v>1.3257980469340154</v>
      </c>
      <c r="AL24" s="33">
        <f t="shared" si="20"/>
        <v>6.9350523245224727</v>
      </c>
      <c r="AM24" s="13"/>
      <c r="AN24" s="13"/>
      <c r="AO24" s="13"/>
      <c r="AP24" s="9">
        <f t="shared" si="8"/>
        <v>636369.4711138109</v>
      </c>
      <c r="AQ24" s="6">
        <f t="shared" si="21"/>
        <v>9.6882112233350359E-2</v>
      </c>
      <c r="AR24">
        <f t="shared" si="9"/>
        <v>40</v>
      </c>
      <c r="AS24">
        <f t="shared" si="10"/>
        <v>10.11961081743071</v>
      </c>
      <c r="AT24" s="6">
        <f t="shared" si="11"/>
        <v>1.2946265781799058</v>
      </c>
      <c r="AU24">
        <f t="shared" si="25"/>
        <v>28.585762604389384</v>
      </c>
      <c r="AV24">
        <f t="shared" si="12"/>
        <v>0.16182832227248822</v>
      </c>
      <c r="AW24">
        <f t="shared" si="13"/>
        <v>1.4292881302194691</v>
      </c>
      <c r="AX24" s="33">
        <f t="shared" si="23"/>
        <v>8.8321259848002303</v>
      </c>
    </row>
    <row r="25" spans="1:50" x14ac:dyDescent="0.25">
      <c r="A25">
        <v>17</v>
      </c>
      <c r="B25" s="6" t="s">
        <v>41</v>
      </c>
      <c r="C25" s="9">
        <v>114408</v>
      </c>
      <c r="D25" s="6">
        <v>172342</v>
      </c>
      <c r="E25" s="9">
        <v>93741</v>
      </c>
      <c r="F25" s="6">
        <v>97095</v>
      </c>
      <c r="G25" s="6"/>
      <c r="H25" s="6"/>
      <c r="I25">
        <f t="shared" si="24"/>
        <v>0.5633855937612422</v>
      </c>
      <c r="L25">
        <v>5</v>
      </c>
      <c r="M25" s="6" t="s">
        <v>33</v>
      </c>
      <c r="N25" s="6">
        <v>998863</v>
      </c>
      <c r="O25" s="13">
        <f t="shared" si="29"/>
        <v>778224.69921202934</v>
      </c>
      <c r="P25" s="9">
        <f t="shared" si="30"/>
        <v>778224.69921202934</v>
      </c>
      <c r="Q25">
        <v>1</v>
      </c>
      <c r="R25">
        <f t="shared" si="31"/>
        <v>10</v>
      </c>
      <c r="S25">
        <f t="shared" si="26"/>
        <v>8.3518163746630716</v>
      </c>
      <c r="T25">
        <f t="shared" si="27"/>
        <v>1.6481836253369284</v>
      </c>
      <c r="U25">
        <f t="shared" si="28"/>
        <v>0.16481836253369284</v>
      </c>
      <c r="Z25">
        <v>31</v>
      </c>
      <c r="AA25" s="6" t="s">
        <v>58</v>
      </c>
      <c r="AB25" s="6">
        <v>880157</v>
      </c>
      <c r="AC25" s="9">
        <f t="shared" si="1"/>
        <v>880157</v>
      </c>
      <c r="AD25">
        <v>5</v>
      </c>
      <c r="AE25" s="6">
        <f t="shared" si="2"/>
        <v>0.103184315723615</v>
      </c>
      <c r="AF25">
        <f t="shared" si="3"/>
        <v>40</v>
      </c>
      <c r="AG25">
        <f t="shared" si="4"/>
        <v>10.777893808413824</v>
      </c>
      <c r="AH25" s="6">
        <f t="shared" si="5"/>
        <v>1.3788423322702272</v>
      </c>
      <c r="AI25">
        <f t="shared" si="19"/>
        <v>27.843263859315947</v>
      </c>
      <c r="AJ25">
        <f t="shared" si="6"/>
        <v>0.1723552915337784</v>
      </c>
      <c r="AK25">
        <f t="shared" si="7"/>
        <v>1.3921631929657974</v>
      </c>
      <c r="AL25" s="33">
        <f t="shared" si="20"/>
        <v>8.0772872162904239</v>
      </c>
      <c r="AM25" s="13"/>
      <c r="AN25" s="13"/>
      <c r="AO25" s="13"/>
      <c r="AP25" s="9">
        <f t="shared" si="8"/>
        <v>565937.26334818895</v>
      </c>
      <c r="AQ25" s="6">
        <f t="shared" si="21"/>
        <v>8.6204718023718235E-2</v>
      </c>
      <c r="AR25">
        <f t="shared" si="9"/>
        <v>40</v>
      </c>
      <c r="AS25">
        <f t="shared" si="10"/>
        <v>9.0043267731944177</v>
      </c>
      <c r="AT25" s="6">
        <f t="shared" si="11"/>
        <v>1.1519455609019245</v>
      </c>
      <c r="AU25">
        <f t="shared" si="25"/>
        <v>29.843727665903657</v>
      </c>
      <c r="AV25">
        <f t="shared" si="12"/>
        <v>0.14399319511274056</v>
      </c>
      <c r="AW25">
        <f t="shared" si="13"/>
        <v>1.4921863832951829</v>
      </c>
      <c r="AX25" s="33">
        <f t="shared" si="23"/>
        <v>10.362895150196955</v>
      </c>
    </row>
    <row r="26" spans="1:50" x14ac:dyDescent="0.25">
      <c r="A26">
        <v>18</v>
      </c>
      <c r="B26" s="6" t="s">
        <v>42</v>
      </c>
      <c r="C26" s="9">
        <v>88510</v>
      </c>
      <c r="D26" s="6">
        <v>90344</v>
      </c>
      <c r="E26" s="9">
        <v>68015</v>
      </c>
      <c r="F26" s="6">
        <v>69440</v>
      </c>
      <c r="G26" s="6"/>
      <c r="H26" s="6"/>
      <c r="I26">
        <f t="shared" si="24"/>
        <v>0.76861772779597981</v>
      </c>
      <c r="L26">
        <v>6</v>
      </c>
      <c r="M26" s="6" t="s">
        <v>34</v>
      </c>
      <c r="N26" s="6">
        <v>834812</v>
      </c>
      <c r="O26" s="13">
        <f t="shared" si="29"/>
        <v>622892.74718953692</v>
      </c>
      <c r="P26" s="9">
        <f t="shared" si="30"/>
        <v>622892.74718953692</v>
      </c>
      <c r="Q26">
        <v>1</v>
      </c>
      <c r="R26">
        <f t="shared" si="31"/>
        <v>10</v>
      </c>
      <c r="S26">
        <f t="shared" si="26"/>
        <v>8.3518163746630716</v>
      </c>
      <c r="T26">
        <f t="shared" si="27"/>
        <v>1.6481836253369284</v>
      </c>
      <c r="U26">
        <f t="shared" si="28"/>
        <v>0.16481836253369284</v>
      </c>
      <c r="Z26">
        <v>32</v>
      </c>
      <c r="AA26" s="6" t="s">
        <v>59</v>
      </c>
      <c r="AB26" s="6">
        <v>1105045</v>
      </c>
      <c r="AC26" s="9">
        <f t="shared" si="1"/>
        <v>1105045</v>
      </c>
      <c r="AD26">
        <v>5</v>
      </c>
      <c r="AE26" s="6">
        <f t="shared" si="2"/>
        <v>0.12900019826657028</v>
      </c>
      <c r="AF26">
        <f t="shared" si="3"/>
        <v>40</v>
      </c>
      <c r="AG26">
        <f t="shared" si="4"/>
        <v>13.47443580384402</v>
      </c>
      <c r="AH26" s="6">
        <f t="shared" si="5"/>
        <v>1.7238175491480392</v>
      </c>
      <c r="AI26">
        <f t="shared" si="19"/>
        <v>24.801746647007938</v>
      </c>
      <c r="AJ26">
        <f t="shared" si="6"/>
        <v>0.2154771936435049</v>
      </c>
      <c r="AK26">
        <f t="shared" si="7"/>
        <v>1.2400873323503969</v>
      </c>
      <c r="AL26" s="33">
        <f t="shared" si="20"/>
        <v>5.7550746386740714</v>
      </c>
      <c r="AM26" s="13"/>
      <c r="AN26" s="13"/>
      <c r="AO26" s="13"/>
      <c r="AP26" s="9">
        <f t="shared" si="8"/>
        <v>702449.70869737258</v>
      </c>
      <c r="AQ26" s="6">
        <f t="shared" si="21"/>
        <v>0.10689975570256761</v>
      </c>
      <c r="AR26">
        <f t="shared" si="9"/>
        <v>40</v>
      </c>
      <c r="AS26">
        <f t="shared" si="10"/>
        <v>11.165982029611591</v>
      </c>
      <c r="AT26" s="6">
        <f t="shared" si="11"/>
        <v>1.4284914081986981</v>
      </c>
      <c r="AU26">
        <f t="shared" si="25"/>
        <v>27.40552656218971</v>
      </c>
      <c r="AV26">
        <f t="shared" si="12"/>
        <v>0.17856142602483727</v>
      </c>
      <c r="AW26">
        <f t="shared" si="13"/>
        <v>1.3702763281094854</v>
      </c>
      <c r="AX26" s="33">
        <f t="shared" si="23"/>
        <v>7.673977289579244</v>
      </c>
    </row>
    <row r="27" spans="1:50" x14ac:dyDescent="0.25">
      <c r="A27">
        <v>19</v>
      </c>
      <c r="B27" s="6" t="s">
        <v>43</v>
      </c>
      <c r="C27" s="9">
        <v>105169</v>
      </c>
      <c r="D27" s="12">
        <v>107010</v>
      </c>
      <c r="E27" s="9">
        <v>84248</v>
      </c>
      <c r="F27" s="12">
        <v>84492</v>
      </c>
      <c r="G27" s="6"/>
      <c r="H27" s="6"/>
      <c r="I27">
        <f t="shared" si="24"/>
        <v>0.78957106812447431</v>
      </c>
      <c r="L27">
        <v>7</v>
      </c>
      <c r="M27" s="6" t="s">
        <v>72</v>
      </c>
      <c r="N27" s="6">
        <v>4686871</v>
      </c>
      <c r="O27" s="13">
        <f t="shared" si="29"/>
        <v>3355144.2433267804</v>
      </c>
      <c r="P27" s="9">
        <f t="shared" si="30"/>
        <v>3355144.2433267804</v>
      </c>
      <c r="Q27">
        <v>5</v>
      </c>
      <c r="R27">
        <f t="shared" si="31"/>
        <v>50</v>
      </c>
      <c r="S27">
        <f t="shared" si="26"/>
        <v>41.75908187331536</v>
      </c>
      <c r="T27">
        <f t="shared" si="27"/>
        <v>8.2409181266846403</v>
      </c>
      <c r="U27">
        <f t="shared" si="28"/>
        <v>0.82409181266846399</v>
      </c>
      <c r="Z27">
        <v>33</v>
      </c>
      <c r="AA27" s="5" t="s">
        <v>60</v>
      </c>
      <c r="AB27" s="5">
        <v>1136877</v>
      </c>
      <c r="AC27" s="95">
        <f t="shared" si="1"/>
        <v>1136877</v>
      </c>
      <c r="AD27" s="3">
        <v>5</v>
      </c>
      <c r="AE27" s="5">
        <f t="shared" si="2"/>
        <v>0.13265433353882738</v>
      </c>
      <c r="AF27" s="4">
        <f t="shared" si="3"/>
        <v>40</v>
      </c>
      <c r="AG27" s="4">
        <f t="shared" si="4"/>
        <v>13.856120574923555</v>
      </c>
      <c r="AH27" s="5">
        <f t="shared" si="5"/>
        <v>1.7726474160313526</v>
      </c>
      <c r="AI27" s="4">
        <f t="shared" si="19"/>
        <v>24.371232009045094</v>
      </c>
      <c r="AJ27" s="4">
        <f t="shared" si="6"/>
        <v>0.22158092700391907</v>
      </c>
      <c r="AK27" s="4">
        <f t="shared" si="7"/>
        <v>1.2185616004522548</v>
      </c>
      <c r="AL27" s="32">
        <f t="shared" si="20"/>
        <v>5.4993975200343046</v>
      </c>
      <c r="AM27" s="13"/>
      <c r="AN27" s="13"/>
      <c r="AO27" s="13"/>
      <c r="AP27" s="95">
        <f t="shared" si="8"/>
        <v>714549.27138511324</v>
      </c>
      <c r="AQ27" s="5">
        <f t="shared" si="21"/>
        <v>0.10873402733311306</v>
      </c>
      <c r="AR27" s="4">
        <f t="shared" si="9"/>
        <v>40</v>
      </c>
      <c r="AS27" s="4">
        <f t="shared" si="10"/>
        <v>11.357576892756866</v>
      </c>
      <c r="AT27" s="5">
        <f t="shared" si="11"/>
        <v>1.4530026079420091</v>
      </c>
      <c r="AU27" s="4">
        <f t="shared" si="25"/>
        <v>27.189420499301125</v>
      </c>
      <c r="AV27" s="4">
        <f t="shared" si="12"/>
        <v>0.18162532599275114</v>
      </c>
      <c r="AW27" s="4">
        <f t="shared" si="13"/>
        <v>1.3594710249650563</v>
      </c>
      <c r="AX27" s="32">
        <f t="shared" si="23"/>
        <v>7.4850300613875529</v>
      </c>
    </row>
    <row r="28" spans="1:50" x14ac:dyDescent="0.25">
      <c r="A28">
        <v>20</v>
      </c>
      <c r="B28" s="6" t="s">
        <v>49</v>
      </c>
      <c r="C28" s="9">
        <v>353269</v>
      </c>
      <c r="D28" s="12">
        <v>354292</v>
      </c>
      <c r="E28" s="9">
        <v>272560</v>
      </c>
      <c r="F28" s="12">
        <v>273484</v>
      </c>
      <c r="G28" s="6"/>
      <c r="H28" s="6"/>
      <c r="I28">
        <f t="shared" si="24"/>
        <v>0.77191694986056703</v>
      </c>
      <c r="L28">
        <v>8</v>
      </c>
      <c r="M28" s="6" t="s">
        <v>73</v>
      </c>
      <c r="N28" s="6">
        <v>5061150</v>
      </c>
      <c r="O28" s="13">
        <f t="shared" si="29"/>
        <v>3481746.6796839833</v>
      </c>
      <c r="P28" s="9">
        <f t="shared" si="30"/>
        <v>3481746.6796839833</v>
      </c>
      <c r="Q28">
        <v>5</v>
      </c>
      <c r="R28">
        <f t="shared" si="31"/>
        <v>50</v>
      </c>
      <c r="S28">
        <f t="shared" si="26"/>
        <v>41.75908187331536</v>
      </c>
      <c r="T28">
        <f t="shared" si="27"/>
        <v>8.2409181266846403</v>
      </c>
      <c r="U28">
        <f t="shared" si="28"/>
        <v>0.82409181266846399</v>
      </c>
      <c r="AA28" s="6"/>
      <c r="AC28" s="9"/>
      <c r="AE28" s="6"/>
      <c r="AH28" s="6"/>
      <c r="AL28" s="33"/>
      <c r="AM28" s="13"/>
      <c r="AN28" s="13"/>
      <c r="AO28" s="13"/>
      <c r="AP28" s="9"/>
      <c r="AQ28" s="13"/>
      <c r="AT28" s="6"/>
      <c r="AX28" s="33"/>
    </row>
    <row r="29" spans="1:50" x14ac:dyDescent="0.25">
      <c r="A29">
        <v>21</v>
      </c>
      <c r="B29" s="6" t="s">
        <v>50</v>
      </c>
      <c r="C29" s="9">
        <v>328899</v>
      </c>
      <c r="D29" s="12">
        <v>329106</v>
      </c>
      <c r="E29" s="9">
        <v>251758</v>
      </c>
      <c r="F29" s="12">
        <v>252842</v>
      </c>
      <c r="G29" s="6"/>
      <c r="H29" s="6"/>
      <c r="I29">
        <f t="shared" si="24"/>
        <v>0.76826918986587911</v>
      </c>
      <c r="L29">
        <v>9</v>
      </c>
      <c r="M29" s="6" t="s">
        <v>7</v>
      </c>
      <c r="N29" s="6">
        <v>0</v>
      </c>
      <c r="O29" s="13">
        <f t="shared" si="29"/>
        <v>0</v>
      </c>
      <c r="P29" s="9">
        <f t="shared" si="30"/>
        <v>0</v>
      </c>
      <c r="Q29">
        <v>0</v>
      </c>
      <c r="R29">
        <f t="shared" si="31"/>
        <v>0</v>
      </c>
      <c r="S29">
        <f t="shared" si="26"/>
        <v>0</v>
      </c>
      <c r="T29">
        <f t="shared" si="27"/>
        <v>0</v>
      </c>
      <c r="U29">
        <f t="shared" si="28"/>
        <v>0</v>
      </c>
      <c r="Z29" s="29">
        <v>44377</v>
      </c>
      <c r="AA29" s="6"/>
      <c r="AC29" s="9"/>
      <c r="AE29" s="6"/>
      <c r="AH29" s="6"/>
      <c r="AL29" s="33"/>
      <c r="AM29" s="13"/>
      <c r="AN29" s="13"/>
      <c r="AO29" s="13"/>
      <c r="AP29" s="9"/>
      <c r="AQ29" s="13"/>
      <c r="AT29" s="6"/>
      <c r="AX29" s="33"/>
    </row>
    <row r="30" spans="1:50" x14ac:dyDescent="0.25">
      <c r="A30">
        <v>22</v>
      </c>
      <c r="B30" s="6" t="s">
        <v>51</v>
      </c>
      <c r="C30" s="9">
        <v>294841</v>
      </c>
      <c r="D30" s="12">
        <v>295761</v>
      </c>
      <c r="E30" s="9">
        <v>230652</v>
      </c>
      <c r="F30" s="12">
        <v>230815</v>
      </c>
      <c r="G30" s="6"/>
      <c r="H30" s="6"/>
      <c r="I30">
        <f t="shared" si="24"/>
        <v>0.78041053418131534</v>
      </c>
      <c r="L30">
        <v>14</v>
      </c>
      <c r="M30" s="6" t="s">
        <v>35</v>
      </c>
      <c r="N30" s="6">
        <v>0</v>
      </c>
      <c r="O30" s="13">
        <f t="shared" si="29"/>
        <v>0</v>
      </c>
      <c r="P30" s="9">
        <f t="shared" si="30"/>
        <v>0</v>
      </c>
      <c r="Q30">
        <v>0</v>
      </c>
      <c r="R30">
        <f t="shared" si="31"/>
        <v>0</v>
      </c>
      <c r="S30">
        <f t="shared" si="26"/>
        <v>0</v>
      </c>
      <c r="T30">
        <f t="shared" si="27"/>
        <v>0</v>
      </c>
      <c r="U30">
        <f t="shared" si="28"/>
        <v>0</v>
      </c>
      <c r="Z30">
        <v>15</v>
      </c>
      <c r="AA30" s="6" t="s">
        <v>57</v>
      </c>
      <c r="AB30" s="6">
        <v>754769</v>
      </c>
      <c r="AC30" s="9">
        <f t="shared" ref="AC30:AC35" si="32">IF(AVERAGE($AB$8:$AB$11)&gt;0, AB30-AVERAGE($AB$8:$AB$11), AB30)</f>
        <v>754769</v>
      </c>
      <c r="AD30">
        <v>5</v>
      </c>
      <c r="AE30" s="6">
        <f>(AC30+7052.472)/5914198.527</f>
        <v>0.12881229274297576</v>
      </c>
      <c r="AF30">
        <f t="shared" ref="AF30:AF35" si="33">AD30*8</f>
        <v>40</v>
      </c>
      <c r="AG30">
        <f t="shared" ref="AG30:AG35" si="34">AE30*$W$15</f>
        <v>13.454808540096487</v>
      </c>
      <c r="AH30" s="6">
        <f t="shared" ref="AH30:AH35" si="35">(AE30/$AI$4)*8</f>
        <v>1.721306585261885</v>
      </c>
      <c r="AI30">
        <f t="shared" si="19"/>
        <v>24.823884874641628</v>
      </c>
      <c r="AJ30">
        <f t="shared" ref="AJ30:AJ35" si="36">AE30/$AI$4</f>
        <v>0.21516332315773562</v>
      </c>
      <c r="AK30">
        <f t="shared" ref="AK30:AK35" si="37">IF(AI30&lt;0,0,AI30/20)</f>
        <v>1.2411942437320813</v>
      </c>
      <c r="AL30" s="33">
        <f t="shared" si="20"/>
        <v>5.768614397269582</v>
      </c>
      <c r="AM30" s="13"/>
      <c r="AN30" s="13"/>
      <c r="AO30" s="13"/>
      <c r="AP30" s="9">
        <f t="shared" ref="AP30:AP35" si="38">IF(AC30&lt;=0,0,AC30*((34354.247*0+605863.158)/(34354.247*Z30+605863.158)))</f>
        <v>407863.15254215337</v>
      </c>
      <c r="AQ30" s="6">
        <f>(AP30-25306.279)/4123659.045</f>
        <v>9.2771218320294807E-2</v>
      </c>
      <c r="AR30">
        <f t="shared" ref="AR30:AR35" si="39">AD30*8</f>
        <v>40</v>
      </c>
      <c r="AS30">
        <f t="shared" ref="AS30:AS35" si="40">AQ30*$W$15</f>
        <v>9.6902163136066424</v>
      </c>
      <c r="AT30" s="6">
        <f t="shared" ref="AT30:AT35" si="41">(AQ30/$AI$4)*8</f>
        <v>1.2396930884238095</v>
      </c>
      <c r="AU30">
        <f t="shared" ref="AU30:AU35" si="42">AR30-(AS30+AT30)</f>
        <v>29.070090597969546</v>
      </c>
      <c r="AV30">
        <f t="shared" ref="AV30:AV35" si="43">AQ30/$AI$4</f>
        <v>0.15496163605297619</v>
      </c>
      <c r="AW30">
        <f t="shared" ref="AW30:AW35" si="44">IF(AU30&lt;0,0,AU30/20)</f>
        <v>1.4535045298984772</v>
      </c>
      <c r="AX30" s="33">
        <f t="shared" ref="AX30:AX35" si="45">AW30/AV30</f>
        <v>9.3797701606710753</v>
      </c>
    </row>
    <row r="31" spans="1:50" x14ac:dyDescent="0.25">
      <c r="A31">
        <v>23</v>
      </c>
      <c r="B31" s="6" t="s">
        <v>52</v>
      </c>
      <c r="C31" s="9">
        <v>359561</v>
      </c>
      <c r="D31" s="12">
        <v>362094</v>
      </c>
      <c r="E31" s="9">
        <v>285428</v>
      </c>
      <c r="F31" s="12">
        <v>286958</v>
      </c>
      <c r="G31" s="6"/>
      <c r="H31" s="6"/>
      <c r="I31">
        <f t="shared" si="24"/>
        <v>0.79249587123785536</v>
      </c>
      <c r="L31">
        <v>25</v>
      </c>
      <c r="M31" s="6" t="s">
        <v>65</v>
      </c>
      <c r="N31" s="6">
        <v>0</v>
      </c>
      <c r="O31" s="13">
        <f>IF(N31&lt;=0,0,N31*((34354.247*0+605863.158)/(34354.247*L31+605863.158)))</f>
        <v>0</v>
      </c>
      <c r="P31" s="9">
        <f t="shared" si="30"/>
        <v>0</v>
      </c>
      <c r="Q31">
        <v>0</v>
      </c>
      <c r="R31">
        <f t="shared" si="31"/>
        <v>0</v>
      </c>
      <c r="S31">
        <f t="shared" si="26"/>
        <v>0</v>
      </c>
      <c r="T31">
        <f t="shared" si="27"/>
        <v>0</v>
      </c>
      <c r="U31">
        <f t="shared" si="28"/>
        <v>0</v>
      </c>
      <c r="Z31">
        <v>16</v>
      </c>
      <c r="AA31" s="5" t="s">
        <v>59</v>
      </c>
      <c r="AB31" s="5">
        <v>843627</v>
      </c>
      <c r="AC31" s="95">
        <f t="shared" si="32"/>
        <v>843627</v>
      </c>
      <c r="AD31" s="3">
        <v>5</v>
      </c>
      <c r="AE31" s="5">
        <f t="shared" ref="AE31:AE35" si="46">(AC31+7052.472)/5914198.527</f>
        <v>0.14383681374854193</v>
      </c>
      <c r="AF31" s="4">
        <f t="shared" si="33"/>
        <v>40</v>
      </c>
      <c r="AG31" s="4">
        <f t="shared" si="34"/>
        <v>15.024162281357134</v>
      </c>
      <c r="AH31" s="5">
        <f t="shared" si="35"/>
        <v>1.922077850151096</v>
      </c>
      <c r="AI31" s="4">
        <f t="shared" si="19"/>
        <v>23.05375986849177</v>
      </c>
      <c r="AJ31" s="4">
        <f t="shared" si="36"/>
        <v>0.240259731268887</v>
      </c>
      <c r="AK31" s="4">
        <f t="shared" si="37"/>
        <v>1.1526879934245886</v>
      </c>
      <c r="AL31" s="32">
        <f t="shared" si="20"/>
        <v>4.7976745305460957</v>
      </c>
      <c r="AM31" s="13"/>
      <c r="AN31" s="13"/>
      <c r="AO31" s="13"/>
      <c r="AP31" s="95">
        <f t="shared" si="38"/>
        <v>442326.92133582279</v>
      </c>
      <c r="AQ31" s="5">
        <f t="shared" ref="AQ31:AQ35" si="47">(AP31-25306.279)/4123659.045</f>
        <v>0.10112878824001387</v>
      </c>
      <c r="AR31" s="4">
        <f t="shared" si="39"/>
        <v>40</v>
      </c>
      <c r="AS31" s="4">
        <f t="shared" si="40"/>
        <v>10.563188145221071</v>
      </c>
      <c r="AT31" s="5">
        <f t="shared" si="41"/>
        <v>1.3513745113164515</v>
      </c>
      <c r="AU31" s="4">
        <f t="shared" si="42"/>
        <v>28.085437343462477</v>
      </c>
      <c r="AV31" s="4">
        <f t="shared" si="43"/>
        <v>0.16892181391455643</v>
      </c>
      <c r="AW31" s="4">
        <f t="shared" si="44"/>
        <v>1.4042718671731238</v>
      </c>
      <c r="AX31" s="32">
        <f t="shared" si="45"/>
        <v>8.3131469798413882</v>
      </c>
    </row>
    <row r="32" spans="1:50" x14ac:dyDescent="0.25">
      <c r="A32">
        <v>24</v>
      </c>
      <c r="B32" s="6" t="s">
        <v>53</v>
      </c>
      <c r="C32">
        <v>430169</v>
      </c>
      <c r="D32" s="6">
        <v>430852</v>
      </c>
      <c r="E32">
        <v>342309</v>
      </c>
      <c r="F32" s="6">
        <v>341042</v>
      </c>
      <c r="G32" s="6"/>
      <c r="H32" s="6"/>
      <c r="I32">
        <f t="shared" si="24"/>
        <v>0.79155255168828276</v>
      </c>
      <c r="M32" s="13"/>
      <c r="Z32">
        <v>17</v>
      </c>
      <c r="AA32" s="6" t="s">
        <v>61</v>
      </c>
      <c r="AB32" s="6">
        <v>1444733</v>
      </c>
      <c r="AC32" s="9">
        <f t="shared" si="32"/>
        <v>1444733</v>
      </c>
      <c r="AD32">
        <v>10</v>
      </c>
      <c r="AE32" s="6">
        <f t="shared" si="46"/>
        <v>0.24547459226676044</v>
      </c>
      <c r="AF32">
        <f t="shared" si="33"/>
        <v>80</v>
      </c>
      <c r="AG32">
        <f t="shared" si="34"/>
        <v>25.640515901675204</v>
      </c>
      <c r="AH32" s="6">
        <f t="shared" si="35"/>
        <v>3.2802539508116335</v>
      </c>
      <c r="AI32">
        <f t="shared" si="19"/>
        <v>51.079230147513158</v>
      </c>
      <c r="AJ32">
        <f t="shared" si="36"/>
        <v>0.41003174385145419</v>
      </c>
      <c r="AK32">
        <f t="shared" si="37"/>
        <v>2.5539615073756581</v>
      </c>
      <c r="AL32" s="33">
        <f t="shared" si="20"/>
        <v>6.2286921577976759</v>
      </c>
      <c r="AM32" s="13"/>
      <c r="AN32" s="13"/>
      <c r="AO32" s="13"/>
      <c r="AP32" s="9">
        <f t="shared" si="38"/>
        <v>735625.90941844322</v>
      </c>
      <c r="AQ32" s="6">
        <f t="shared" si="47"/>
        <v>0.17225469483945738</v>
      </c>
      <c r="AR32">
        <f t="shared" si="39"/>
        <v>80</v>
      </c>
      <c r="AS32">
        <f t="shared" si="40"/>
        <v>17.992490389268603</v>
      </c>
      <c r="AT32" s="6">
        <f t="shared" si="41"/>
        <v>2.301823329556433</v>
      </c>
      <c r="AU32">
        <f t="shared" si="42"/>
        <v>59.705686281174962</v>
      </c>
      <c r="AV32">
        <f t="shared" si="43"/>
        <v>0.28772791619455412</v>
      </c>
      <c r="AW32">
        <f t="shared" si="44"/>
        <v>2.9852843140587479</v>
      </c>
      <c r="AX32" s="33">
        <f t="shared" si="45"/>
        <v>10.375372517000319</v>
      </c>
    </row>
    <row r="33" spans="1:52" ht="15.75" thickBot="1" x14ac:dyDescent="0.3">
      <c r="A33">
        <v>25</v>
      </c>
      <c r="B33" s="6" t="s">
        <v>54</v>
      </c>
      <c r="C33">
        <v>498382</v>
      </c>
      <c r="D33" s="6">
        <v>498029</v>
      </c>
      <c r="E33">
        <v>385777</v>
      </c>
      <c r="F33" s="6">
        <v>385707</v>
      </c>
      <c r="G33" s="6"/>
      <c r="H33" s="6"/>
      <c r="I33">
        <f t="shared" si="24"/>
        <v>0.77446694871182198</v>
      </c>
      <c r="Z33">
        <v>18</v>
      </c>
      <c r="AA33" s="6" t="s">
        <v>62</v>
      </c>
      <c r="AB33" s="6">
        <v>1344737</v>
      </c>
      <c r="AC33" s="9">
        <f t="shared" si="32"/>
        <v>1344737</v>
      </c>
      <c r="AD33">
        <v>10</v>
      </c>
      <c r="AE33" s="6">
        <f t="shared" si="46"/>
        <v>0.22856680678348831</v>
      </c>
      <c r="AF33">
        <f t="shared" si="33"/>
        <v>80</v>
      </c>
      <c r="AG33">
        <f t="shared" si="34"/>
        <v>23.874449855724365</v>
      </c>
      <c r="AH33" s="6">
        <f t="shared" si="35"/>
        <v>3.0543167993580611</v>
      </c>
      <c r="AI33">
        <f t="shared" si="19"/>
        <v>53.071233344917573</v>
      </c>
      <c r="AJ33">
        <f t="shared" si="36"/>
        <v>0.38178959991975764</v>
      </c>
      <c r="AK33">
        <f t="shared" si="37"/>
        <v>2.6535616672458788</v>
      </c>
      <c r="AL33" s="33">
        <f t="shared" si="20"/>
        <v>6.9503246495022113</v>
      </c>
      <c r="AP33" s="9">
        <f t="shared" si="38"/>
        <v>665496.03757096396</v>
      </c>
      <c r="AQ33" s="6">
        <f t="shared" si="47"/>
        <v>0.15524798524436784</v>
      </c>
      <c r="AR33">
        <f t="shared" si="39"/>
        <v>80</v>
      </c>
      <c r="AS33">
        <f t="shared" si="40"/>
        <v>16.216091439864535</v>
      </c>
      <c r="AT33" s="6">
        <f t="shared" si="41"/>
        <v>2.0745642644757796</v>
      </c>
      <c r="AU33">
        <f t="shared" si="42"/>
        <v>61.70934429565969</v>
      </c>
      <c r="AV33">
        <f t="shared" si="43"/>
        <v>0.25932053305947245</v>
      </c>
      <c r="AW33">
        <f t="shared" si="44"/>
        <v>3.0854672147829847</v>
      </c>
      <c r="AX33" s="33">
        <f t="shared" si="45"/>
        <v>11.898275768526842</v>
      </c>
    </row>
    <row r="34" spans="1:52" x14ac:dyDescent="0.25">
      <c r="A34">
        <v>26</v>
      </c>
      <c r="B34" s="6" t="s">
        <v>34</v>
      </c>
      <c r="C34">
        <v>1377861</v>
      </c>
      <c r="D34" s="6">
        <v>1375628</v>
      </c>
      <c r="E34">
        <v>1087329</v>
      </c>
      <c r="F34" s="6">
        <v>1085761</v>
      </c>
      <c r="G34" s="6">
        <v>1683568</v>
      </c>
      <c r="H34" s="6">
        <v>1089786</v>
      </c>
      <c r="I34">
        <f t="shared" si="24"/>
        <v>0.7892838761641956</v>
      </c>
      <c r="M34" s="28" t="s">
        <v>96</v>
      </c>
      <c r="Z34">
        <v>19</v>
      </c>
      <c r="AA34" s="6" t="s">
        <v>63</v>
      </c>
      <c r="AB34" s="6">
        <v>1703300</v>
      </c>
      <c r="AC34" s="9">
        <f t="shared" si="32"/>
        <v>1703300</v>
      </c>
      <c r="AD34">
        <v>10</v>
      </c>
      <c r="AE34" s="6">
        <f t="shared" si="46"/>
        <v>0.28919429474539182</v>
      </c>
      <c r="AF34">
        <f t="shared" si="33"/>
        <v>80</v>
      </c>
      <c r="AG34">
        <f t="shared" si="34"/>
        <v>30.207162560575266</v>
      </c>
      <c r="AH34" s="6">
        <f t="shared" si="35"/>
        <v>3.8644762341019234</v>
      </c>
      <c r="AI34">
        <f t="shared" si="19"/>
        <v>45.928361205322808</v>
      </c>
      <c r="AJ34">
        <f t="shared" si="36"/>
        <v>0.48305952926274043</v>
      </c>
      <c r="AK34">
        <f t="shared" si="37"/>
        <v>2.2964180602661406</v>
      </c>
      <c r="AL34" s="82">
        <f t="shared" si="20"/>
        <v>4.7539028238838412</v>
      </c>
      <c r="AM34" s="97" t="s">
        <v>66</v>
      </c>
      <c r="AN34" s="98" t="s">
        <v>264</v>
      </c>
      <c r="AP34" s="9">
        <f t="shared" si="38"/>
        <v>819936.24567724019</v>
      </c>
      <c r="AQ34" s="6">
        <f t="shared" si="47"/>
        <v>0.19270021066381357</v>
      </c>
      <c r="AR34">
        <f t="shared" si="39"/>
        <v>80</v>
      </c>
      <c r="AS34">
        <f t="shared" si="40"/>
        <v>20.128082381790037</v>
      </c>
      <c r="AT34" s="6">
        <f t="shared" si="41"/>
        <v>2.5750348397168987</v>
      </c>
      <c r="AU34">
        <f t="shared" si="42"/>
        <v>57.296882778493064</v>
      </c>
      <c r="AV34">
        <f t="shared" si="43"/>
        <v>0.32187935496461234</v>
      </c>
      <c r="AW34">
        <f t="shared" si="44"/>
        <v>2.8648441389246533</v>
      </c>
      <c r="AX34" s="82">
        <f t="shared" si="45"/>
        <v>8.9003662233622176</v>
      </c>
      <c r="AY34" s="97" t="s">
        <v>66</v>
      </c>
      <c r="AZ34" s="98" t="s">
        <v>264</v>
      </c>
    </row>
    <row r="35" spans="1:52" ht="15.75" thickBot="1" x14ac:dyDescent="0.3">
      <c r="A35">
        <v>27</v>
      </c>
      <c r="B35" s="6" t="s">
        <v>65</v>
      </c>
      <c r="C35">
        <v>0</v>
      </c>
      <c r="D35" s="6">
        <v>0</v>
      </c>
      <c r="E35">
        <v>0</v>
      </c>
      <c r="F35" s="6">
        <v>0</v>
      </c>
      <c r="G35" s="10">
        <v>1177331</v>
      </c>
      <c r="H35" s="10">
        <v>757337</v>
      </c>
      <c r="L35" s="29">
        <v>44377</v>
      </c>
      <c r="M35" t="s">
        <v>146</v>
      </c>
      <c r="Z35">
        <v>20</v>
      </c>
      <c r="AA35" s="6" t="s">
        <v>64</v>
      </c>
      <c r="AB35" s="6">
        <v>1675108</v>
      </c>
      <c r="AC35" s="9">
        <f t="shared" si="32"/>
        <v>1675108</v>
      </c>
      <c r="AD35">
        <v>10</v>
      </c>
      <c r="AE35" s="6">
        <f t="shared" si="46"/>
        <v>0.28442746118860546</v>
      </c>
      <c r="AF35">
        <f t="shared" si="33"/>
        <v>80</v>
      </c>
      <c r="AG35">
        <f t="shared" si="34"/>
        <v>29.709253304530563</v>
      </c>
      <c r="AH35" s="6">
        <f t="shared" si="35"/>
        <v>3.8007774844141449</v>
      </c>
      <c r="AI35">
        <f t="shared" si="19"/>
        <v>46.489969211055289</v>
      </c>
      <c r="AJ35">
        <f t="shared" si="36"/>
        <v>0.47509718555176811</v>
      </c>
      <c r="AK35">
        <f t="shared" si="37"/>
        <v>2.3244984605527645</v>
      </c>
      <c r="AL35" s="82">
        <f t="shared" si="20"/>
        <v>4.8926799215893899</v>
      </c>
      <c r="AM35" s="30">
        <f>AVERAGE(AL12:AL27,AL30:AL35)</f>
        <v>5.7867696719799948</v>
      </c>
      <c r="AN35" s="96">
        <f>STDEV(AL12:AL27,AL30:AL35)</f>
        <v>1.3112697522656325</v>
      </c>
      <c r="AP35" s="9">
        <f t="shared" si="38"/>
        <v>784939.64641035721</v>
      </c>
      <c r="AQ35" s="6">
        <f t="shared" si="47"/>
        <v>0.18421342771571389</v>
      </c>
      <c r="AR35">
        <f t="shared" si="39"/>
        <v>80</v>
      </c>
      <c r="AS35">
        <f t="shared" si="40"/>
        <v>19.241613883664002</v>
      </c>
      <c r="AT35" s="6">
        <f t="shared" si="41"/>
        <v>2.4616267552462583</v>
      </c>
      <c r="AU35">
        <f t="shared" si="42"/>
        <v>58.296759361089741</v>
      </c>
      <c r="AV35">
        <f t="shared" si="43"/>
        <v>0.30770334440578229</v>
      </c>
      <c r="AW35">
        <f t="shared" si="44"/>
        <v>2.9148379680544871</v>
      </c>
      <c r="AX35" s="82">
        <f t="shared" si="45"/>
        <v>9.472883610294982</v>
      </c>
      <c r="AY35" s="30">
        <f>AVERAGE(AX12:AX27,AX30:AX35)</f>
        <v>7.9297226538812113</v>
      </c>
      <c r="AZ35" s="96">
        <f>STDEV(AX12:AX27,AX30:AX35)</f>
        <v>2.0258145683751985</v>
      </c>
    </row>
    <row r="36" spans="1:52" x14ac:dyDescent="0.25">
      <c r="A36">
        <v>28</v>
      </c>
      <c r="B36" s="6" t="s">
        <v>55</v>
      </c>
      <c r="C36">
        <v>513282</v>
      </c>
      <c r="D36" s="6">
        <v>515309</v>
      </c>
      <c r="E36">
        <v>401943</v>
      </c>
      <c r="F36" s="6">
        <v>403504</v>
      </c>
      <c r="G36" s="6"/>
      <c r="H36" s="6"/>
      <c r="I36">
        <f t="shared" si="24"/>
        <v>0.78303309276569977</v>
      </c>
      <c r="L36">
        <v>10</v>
      </c>
      <c r="M36" s="6" t="s">
        <v>74</v>
      </c>
      <c r="N36" s="6">
        <v>2638019</v>
      </c>
      <c r="O36" s="13">
        <f>IF(N36&lt;=0,0,N36*((34354.247*0+605863.158)/(34354.247*L36+605863.158)))</f>
        <v>1683451.7039580918</v>
      </c>
      <c r="P36" s="9">
        <f t="shared" ref="P36:P43" si="48">IF(AVERAGE($O$22,$O$29:$O$31)&gt;0,IF(O36-AVERAGE($O$22,$O$29:$O$31)&lt;=0,0,O36-AVERAGE($O$22,$O$29:$O$31)),O36)</f>
        <v>1683451.7039580918</v>
      </c>
      <c r="Q36">
        <v>0.5</v>
      </c>
      <c r="R36">
        <f t="shared" ref="R36:R43" si="49">Q36*10</f>
        <v>5</v>
      </c>
      <c r="S36">
        <f t="shared" ref="S36:S43" si="50">(Q36*10*10)/($L$3*(10+10))</f>
        <v>4.1759081873315358</v>
      </c>
      <c r="T36">
        <f t="shared" si="27"/>
        <v>0.82409181266846421</v>
      </c>
      <c r="U36">
        <f t="shared" si="28"/>
        <v>8.2409181266846418E-2</v>
      </c>
      <c r="AA36" s="6"/>
      <c r="AN36" s="99" t="s">
        <v>265</v>
      </c>
      <c r="AZ36" s="99" t="s">
        <v>265</v>
      </c>
    </row>
    <row r="37" spans="1:52" ht="15.75" thickBot="1" x14ac:dyDescent="0.3">
      <c r="A37">
        <v>29</v>
      </c>
      <c r="B37" s="6" t="s">
        <v>56</v>
      </c>
      <c r="C37">
        <v>511933</v>
      </c>
      <c r="D37" s="6">
        <v>511143</v>
      </c>
      <c r="E37">
        <v>394982</v>
      </c>
      <c r="F37" s="6">
        <v>395193</v>
      </c>
      <c r="G37" s="6"/>
      <c r="H37" s="6"/>
      <c r="I37">
        <f t="shared" si="24"/>
        <v>0.77315545747471848</v>
      </c>
      <c r="L37">
        <v>11</v>
      </c>
      <c r="M37" s="6" t="s">
        <v>77</v>
      </c>
      <c r="N37" s="6">
        <v>4805424</v>
      </c>
      <c r="O37" s="13">
        <f t="shared" ref="O37:O43" si="51">IF(N37&lt;=0,0,N37*((34354.247*0+605863.158)/(34354.247*L37+605863.158)))</f>
        <v>2959491.8782075676</v>
      </c>
      <c r="P37" s="9">
        <f t="shared" si="48"/>
        <v>2959491.8782075676</v>
      </c>
      <c r="Q37">
        <v>0.75</v>
      </c>
      <c r="R37">
        <f t="shared" si="49"/>
        <v>7.5</v>
      </c>
      <c r="S37">
        <f t="shared" si="50"/>
        <v>6.2638622809973041</v>
      </c>
      <c r="T37">
        <f t="shared" si="27"/>
        <v>1.2361377190026959</v>
      </c>
      <c r="U37">
        <f t="shared" si="28"/>
        <v>0.12361377190026959</v>
      </c>
      <c r="AA37" s="6"/>
      <c r="AN37" s="100">
        <f>(AN35/AM35)*100</f>
        <v>22.65978821681648</v>
      </c>
      <c r="AZ37" s="100">
        <f>(AZ35/AY35)*100</f>
        <v>25.547104946774667</v>
      </c>
    </row>
    <row r="38" spans="1:52" x14ac:dyDescent="0.25">
      <c r="A38">
        <v>30</v>
      </c>
      <c r="B38" s="6" t="s">
        <v>57</v>
      </c>
      <c r="C38">
        <v>980089</v>
      </c>
      <c r="D38" s="6">
        <v>978297</v>
      </c>
      <c r="E38">
        <v>763677</v>
      </c>
      <c r="F38" s="6">
        <v>765697</v>
      </c>
      <c r="G38" s="6"/>
      <c r="H38" s="6"/>
      <c r="I38">
        <f t="shared" si="24"/>
        <v>0.78268358177526864</v>
      </c>
      <c r="L38">
        <v>12</v>
      </c>
      <c r="M38" s="6" t="s">
        <v>75</v>
      </c>
      <c r="N38" s="6">
        <v>4612072</v>
      </c>
      <c r="O38" s="13">
        <f t="shared" si="51"/>
        <v>2744569.0482656676</v>
      </c>
      <c r="P38" s="9">
        <f t="shared" si="48"/>
        <v>2744569.0482656676</v>
      </c>
      <c r="Q38">
        <v>1</v>
      </c>
      <c r="R38">
        <f t="shared" si="49"/>
        <v>10</v>
      </c>
      <c r="S38">
        <f t="shared" si="50"/>
        <v>8.3518163746630716</v>
      </c>
      <c r="T38">
        <f t="shared" si="27"/>
        <v>1.6481836253369284</v>
      </c>
      <c r="U38">
        <f t="shared" si="28"/>
        <v>0.16481836253369284</v>
      </c>
    </row>
    <row r="39" spans="1:52" x14ac:dyDescent="0.25">
      <c r="A39">
        <v>31</v>
      </c>
      <c r="B39" s="6" t="s">
        <v>58</v>
      </c>
      <c r="C39">
        <v>879497</v>
      </c>
      <c r="D39" s="6">
        <v>880157</v>
      </c>
      <c r="E39">
        <v>686258</v>
      </c>
      <c r="F39" s="6">
        <v>686891</v>
      </c>
      <c r="G39" s="6"/>
      <c r="H39" s="6"/>
      <c r="I39">
        <f t="shared" si="24"/>
        <v>0.78041872075095697</v>
      </c>
      <c r="L39">
        <v>13</v>
      </c>
      <c r="M39" s="6" t="s">
        <v>76</v>
      </c>
      <c r="N39" s="6">
        <v>16198341</v>
      </c>
      <c r="O39" s="13">
        <f t="shared" si="51"/>
        <v>9324724.9244607743</v>
      </c>
      <c r="P39" s="9">
        <f t="shared" si="48"/>
        <v>9324724.9244607743</v>
      </c>
      <c r="Q39">
        <v>2.5</v>
      </c>
      <c r="R39">
        <f t="shared" si="49"/>
        <v>25</v>
      </c>
      <c r="S39">
        <f t="shared" si="50"/>
        <v>20.87954093665768</v>
      </c>
      <c r="T39">
        <f t="shared" si="27"/>
        <v>4.1204590633423201</v>
      </c>
      <c r="U39">
        <f t="shared" si="28"/>
        <v>0.41204590633423199</v>
      </c>
    </row>
    <row r="40" spans="1:52" x14ac:dyDescent="0.25">
      <c r="A40">
        <v>32</v>
      </c>
      <c r="B40" s="6" t="s">
        <v>59</v>
      </c>
      <c r="C40">
        <v>1108585</v>
      </c>
      <c r="D40" s="6">
        <v>1105045</v>
      </c>
      <c r="E40">
        <v>855473</v>
      </c>
      <c r="F40" s="6">
        <v>853825</v>
      </c>
      <c r="G40" s="6"/>
      <c r="H40" s="6"/>
      <c r="I40">
        <f t="shared" si="24"/>
        <v>0.77266084186616835</v>
      </c>
      <c r="L40">
        <v>21</v>
      </c>
      <c r="M40" s="6" t="s">
        <v>78</v>
      </c>
      <c r="N40" s="6">
        <v>2874258</v>
      </c>
      <c r="O40" s="13">
        <f t="shared" si="51"/>
        <v>1311989.7176002986</v>
      </c>
      <c r="P40" s="9">
        <f t="shared" si="48"/>
        <v>1311989.7176002986</v>
      </c>
      <c r="Q40">
        <v>0.5</v>
      </c>
      <c r="R40">
        <f t="shared" si="49"/>
        <v>5</v>
      </c>
      <c r="S40">
        <f t="shared" si="50"/>
        <v>4.1759081873315358</v>
      </c>
      <c r="T40">
        <f t="shared" si="27"/>
        <v>0.82409181266846421</v>
      </c>
      <c r="U40">
        <f t="shared" si="28"/>
        <v>8.2409181266846418E-2</v>
      </c>
    </row>
    <row r="41" spans="1:52" x14ac:dyDescent="0.25">
      <c r="A41">
        <v>33</v>
      </c>
      <c r="B41" s="6" t="s">
        <v>60</v>
      </c>
      <c r="C41">
        <v>1136877</v>
      </c>
      <c r="D41" s="6">
        <v>1136877</v>
      </c>
      <c r="E41">
        <v>879136</v>
      </c>
      <c r="F41" s="6">
        <v>879136</v>
      </c>
      <c r="G41" s="6"/>
      <c r="H41" s="6"/>
      <c r="I41">
        <f t="shared" si="24"/>
        <v>0.77329033835674399</v>
      </c>
      <c r="L41">
        <v>22</v>
      </c>
      <c r="M41" s="6" t="s">
        <v>81</v>
      </c>
      <c r="N41" s="6">
        <v>5045504</v>
      </c>
      <c r="O41" s="13">
        <f t="shared" si="51"/>
        <v>2244974.9849568768</v>
      </c>
      <c r="P41" s="9">
        <f t="shared" si="48"/>
        <v>2244974.9849568768</v>
      </c>
      <c r="Q41">
        <v>0.75</v>
      </c>
      <c r="R41">
        <f t="shared" si="49"/>
        <v>7.5</v>
      </c>
      <c r="S41">
        <f t="shared" si="50"/>
        <v>6.2638622809973041</v>
      </c>
      <c r="T41">
        <f t="shared" si="27"/>
        <v>1.2361377190026959</v>
      </c>
      <c r="U41">
        <f t="shared" si="28"/>
        <v>0.12361377190026959</v>
      </c>
    </row>
    <row r="42" spans="1:52" x14ac:dyDescent="0.25">
      <c r="A42">
        <v>34</v>
      </c>
      <c r="B42" s="6" t="s">
        <v>69</v>
      </c>
      <c r="C42">
        <v>0</v>
      </c>
      <c r="D42" s="6">
        <v>0</v>
      </c>
      <c r="E42">
        <v>0</v>
      </c>
      <c r="F42" s="6">
        <v>0</v>
      </c>
      <c r="G42" s="10">
        <v>1561453</v>
      </c>
      <c r="H42" s="10">
        <v>1003673</v>
      </c>
      <c r="L42">
        <v>23</v>
      </c>
      <c r="M42" s="6" t="s">
        <v>79</v>
      </c>
      <c r="N42" s="6">
        <v>5726989</v>
      </c>
      <c r="O42" s="13">
        <f t="shared" si="51"/>
        <v>2485490.4735960015</v>
      </c>
      <c r="P42" s="9">
        <f t="shared" si="48"/>
        <v>2485490.4735960015</v>
      </c>
      <c r="Q42">
        <v>1</v>
      </c>
      <c r="R42">
        <f t="shared" si="49"/>
        <v>10</v>
      </c>
      <c r="S42">
        <f t="shared" si="50"/>
        <v>8.3518163746630716</v>
      </c>
      <c r="T42">
        <f t="shared" si="27"/>
        <v>1.6481836253369284</v>
      </c>
      <c r="U42">
        <f t="shared" si="28"/>
        <v>0.16481836253369284</v>
      </c>
    </row>
    <row r="43" spans="1:52" x14ac:dyDescent="0.25">
      <c r="A43" s="13"/>
      <c r="B43" s="13"/>
      <c r="L43">
        <v>24</v>
      </c>
      <c r="M43" s="6" t="s">
        <v>80</v>
      </c>
      <c r="N43" s="6">
        <v>15902613</v>
      </c>
      <c r="O43" s="13">
        <f t="shared" si="51"/>
        <v>6735907.7951038955</v>
      </c>
      <c r="P43" s="9">
        <f t="shared" si="48"/>
        <v>6735907.7951038955</v>
      </c>
      <c r="Q43">
        <v>2.5</v>
      </c>
      <c r="R43">
        <f t="shared" si="49"/>
        <v>25</v>
      </c>
      <c r="S43">
        <f t="shared" si="50"/>
        <v>20.87954093665768</v>
      </c>
      <c r="T43">
        <f t="shared" si="27"/>
        <v>4.1204590633423201</v>
      </c>
      <c r="U43">
        <f t="shared" si="28"/>
        <v>0.41204590633423199</v>
      </c>
    </row>
    <row r="44" spans="1:52" x14ac:dyDescent="0.25">
      <c r="A44" t="s">
        <v>253</v>
      </c>
    </row>
    <row r="45" spans="1:52" x14ac:dyDescent="0.25">
      <c r="A45" t="s">
        <v>70</v>
      </c>
    </row>
    <row r="46" spans="1:52" x14ac:dyDescent="0.25">
      <c r="A46" t="s">
        <v>2</v>
      </c>
    </row>
    <row r="47" spans="1:52" x14ac:dyDescent="0.25">
      <c r="A47" t="s">
        <v>1</v>
      </c>
      <c r="C47" t="s">
        <v>252</v>
      </c>
    </row>
    <row r="48" spans="1:52" x14ac:dyDescent="0.25">
      <c r="A48" s="7"/>
      <c r="B48" s="8"/>
      <c r="D48" s="6"/>
      <c r="E48" s="13" t="s">
        <v>24</v>
      </c>
      <c r="F48" s="6"/>
      <c r="G48" s="33" t="s">
        <v>17</v>
      </c>
      <c r="H48" s="13" t="s">
        <v>21</v>
      </c>
      <c r="I48" s="90" t="s">
        <v>44</v>
      </c>
    </row>
    <row r="49" spans="1:9" x14ac:dyDescent="0.25">
      <c r="A49" s="3" t="s">
        <v>3</v>
      </c>
      <c r="B49" s="5" t="s">
        <v>4</v>
      </c>
      <c r="C49" s="3" t="s">
        <v>23</v>
      </c>
      <c r="D49" s="5" t="s">
        <v>32</v>
      </c>
      <c r="E49" s="4" t="s">
        <v>25</v>
      </c>
      <c r="F49" s="5" t="s">
        <v>31</v>
      </c>
      <c r="G49" s="32" t="s">
        <v>19</v>
      </c>
      <c r="H49" s="5" t="s">
        <v>18</v>
      </c>
      <c r="I49" s="91" t="s">
        <v>258</v>
      </c>
    </row>
    <row r="50" spans="1:9" x14ac:dyDescent="0.25">
      <c r="A50">
        <v>1</v>
      </c>
      <c r="B50" s="6" t="s">
        <v>5</v>
      </c>
      <c r="D50" s="6"/>
      <c r="F50" s="6"/>
      <c r="G50" s="33"/>
      <c r="H50" s="6"/>
    </row>
    <row r="51" spans="1:9" x14ac:dyDescent="0.25">
      <c r="A51">
        <v>2</v>
      </c>
      <c r="B51" s="6" t="s">
        <v>6</v>
      </c>
      <c r="C51">
        <v>0</v>
      </c>
      <c r="D51" s="6">
        <v>0</v>
      </c>
      <c r="E51">
        <v>0</v>
      </c>
      <c r="F51" s="6">
        <v>0</v>
      </c>
      <c r="G51" s="10">
        <v>760975</v>
      </c>
      <c r="H51" s="10">
        <v>491263</v>
      </c>
    </row>
    <row r="52" spans="1:9" x14ac:dyDescent="0.25">
      <c r="A52">
        <v>3</v>
      </c>
      <c r="B52" s="6" t="s">
        <v>12</v>
      </c>
      <c r="C52">
        <v>489365</v>
      </c>
      <c r="D52" s="6">
        <v>489365</v>
      </c>
      <c r="E52" s="13">
        <v>380553</v>
      </c>
      <c r="F52" s="6">
        <v>381714</v>
      </c>
      <c r="G52" s="6">
        <v>1216684</v>
      </c>
      <c r="H52" s="6">
        <v>786404</v>
      </c>
      <c r="I52">
        <f t="shared" si="24"/>
        <v>0.78001900421975412</v>
      </c>
    </row>
    <row r="53" spans="1:9" x14ac:dyDescent="0.25">
      <c r="A53">
        <v>4</v>
      </c>
      <c r="B53" s="6" t="s">
        <v>26</v>
      </c>
      <c r="C53">
        <v>528265</v>
      </c>
      <c r="D53" s="6">
        <v>530405</v>
      </c>
      <c r="E53" s="13">
        <v>412825</v>
      </c>
      <c r="F53" s="6">
        <v>4125825</v>
      </c>
      <c r="G53" s="6">
        <v>2470434</v>
      </c>
      <c r="H53" s="6">
        <v>1593865</v>
      </c>
      <c r="I53">
        <f t="shared" si="24"/>
        <v>7.7786314231577753</v>
      </c>
    </row>
    <row r="54" spans="1:9" x14ac:dyDescent="0.25">
      <c r="A54">
        <v>5</v>
      </c>
      <c r="B54" s="6" t="s">
        <v>33</v>
      </c>
      <c r="C54">
        <v>998863</v>
      </c>
      <c r="D54" s="6">
        <v>998863</v>
      </c>
      <c r="E54" s="13">
        <v>771676</v>
      </c>
      <c r="F54" s="6">
        <v>771676</v>
      </c>
      <c r="G54" s="6">
        <v>1189937</v>
      </c>
      <c r="H54" s="6">
        <v>766554</v>
      </c>
      <c r="I54">
        <f t="shared" si="24"/>
        <v>0.77255439434637185</v>
      </c>
    </row>
    <row r="55" spans="1:9" x14ac:dyDescent="0.25">
      <c r="A55">
        <v>6</v>
      </c>
      <c r="B55" s="6" t="s">
        <v>34</v>
      </c>
      <c r="C55">
        <v>834812</v>
      </c>
      <c r="D55" s="6">
        <v>834812</v>
      </c>
      <c r="E55" s="13">
        <v>642610</v>
      </c>
      <c r="F55" s="6">
        <v>642610</v>
      </c>
      <c r="G55" s="6">
        <v>614429</v>
      </c>
      <c r="H55" s="6">
        <v>398863</v>
      </c>
      <c r="I55">
        <f t="shared" si="24"/>
        <v>0.76976612698427904</v>
      </c>
    </row>
    <row r="56" spans="1:9" x14ac:dyDescent="0.25">
      <c r="A56">
        <v>7</v>
      </c>
      <c r="B56" s="6" t="s">
        <v>72</v>
      </c>
      <c r="C56">
        <v>4697540</v>
      </c>
      <c r="D56" s="6">
        <v>4686871</v>
      </c>
      <c r="E56">
        <v>3665552</v>
      </c>
      <c r="F56" s="6">
        <v>3657518</v>
      </c>
      <c r="G56" s="6">
        <v>899564</v>
      </c>
      <c r="H56" s="6">
        <v>577016</v>
      </c>
      <c r="I56">
        <f t="shared" si="24"/>
        <v>0.7803752226165388</v>
      </c>
    </row>
    <row r="57" spans="1:9" x14ac:dyDescent="0.25">
      <c r="A57">
        <v>8</v>
      </c>
      <c r="B57" s="6" t="s">
        <v>73</v>
      </c>
      <c r="C57">
        <v>5069402</v>
      </c>
      <c r="D57" s="6">
        <v>5061150</v>
      </c>
      <c r="E57">
        <v>3965190</v>
      </c>
      <c r="F57" s="6">
        <v>3950723</v>
      </c>
      <c r="G57" s="6">
        <v>873395</v>
      </c>
      <c r="H57" s="6">
        <v>555161</v>
      </c>
      <c r="I57">
        <f t="shared" si="24"/>
        <v>0.78059788783181683</v>
      </c>
    </row>
    <row r="58" spans="1:9" x14ac:dyDescent="0.25">
      <c r="A58">
        <v>9</v>
      </c>
      <c r="B58" s="6" t="s">
        <v>7</v>
      </c>
      <c r="C58" s="9">
        <v>0</v>
      </c>
      <c r="D58" s="6">
        <v>0</v>
      </c>
      <c r="E58">
        <v>0</v>
      </c>
      <c r="F58" s="6">
        <v>0</v>
      </c>
      <c r="G58" s="10">
        <v>865614</v>
      </c>
      <c r="H58" s="10">
        <v>559399</v>
      </c>
    </row>
    <row r="59" spans="1:9" x14ac:dyDescent="0.25">
      <c r="A59">
        <v>10</v>
      </c>
      <c r="B59" s="6" t="s">
        <v>74</v>
      </c>
      <c r="C59" s="9">
        <v>2641400</v>
      </c>
      <c r="D59" s="6">
        <v>2638019</v>
      </c>
      <c r="E59">
        <v>2057819</v>
      </c>
      <c r="F59" s="6">
        <v>2054317</v>
      </c>
      <c r="G59" s="6">
        <v>799160</v>
      </c>
      <c r="H59" s="6">
        <v>517987</v>
      </c>
      <c r="I59">
        <f t="shared" si="24"/>
        <v>0.77873472480675843</v>
      </c>
    </row>
    <row r="60" spans="1:9" x14ac:dyDescent="0.25">
      <c r="A60">
        <v>11</v>
      </c>
      <c r="B60" s="6" t="s">
        <v>77</v>
      </c>
      <c r="C60">
        <v>4812094</v>
      </c>
      <c r="D60" s="6">
        <v>4805424</v>
      </c>
      <c r="E60">
        <v>3734937</v>
      </c>
      <c r="F60" s="6">
        <v>3727509</v>
      </c>
      <c r="G60" s="6">
        <v>723749</v>
      </c>
      <c r="H60" s="6">
        <v>468595</v>
      </c>
      <c r="I60">
        <f t="shared" si="24"/>
        <v>0.77568784773206279</v>
      </c>
    </row>
    <row r="61" spans="1:9" x14ac:dyDescent="0.25">
      <c r="A61">
        <v>12</v>
      </c>
      <c r="B61" s="6" t="s">
        <v>75</v>
      </c>
      <c r="C61">
        <v>4634306</v>
      </c>
      <c r="D61" s="6">
        <v>4612072</v>
      </c>
      <c r="E61">
        <v>3653753</v>
      </c>
      <c r="F61" s="6">
        <v>3638146</v>
      </c>
      <c r="G61" s="6">
        <v>567473</v>
      </c>
      <c r="H61" s="6">
        <v>360947</v>
      </c>
      <c r="I61">
        <f t="shared" si="24"/>
        <v>0.7888311370681117</v>
      </c>
    </row>
    <row r="62" spans="1:9" x14ac:dyDescent="0.25">
      <c r="A62">
        <v>13</v>
      </c>
      <c r="B62" s="6" t="s">
        <v>76</v>
      </c>
      <c r="C62">
        <v>16247860</v>
      </c>
      <c r="D62" s="6">
        <v>16198341</v>
      </c>
      <c r="E62">
        <v>12668599</v>
      </c>
      <c r="F62" s="6">
        <v>12628802</v>
      </c>
      <c r="G62" s="6">
        <v>942488</v>
      </c>
      <c r="H62" s="6">
        <v>609963</v>
      </c>
      <c r="I62">
        <f t="shared" si="24"/>
        <v>0.77963551946461673</v>
      </c>
    </row>
    <row r="63" spans="1:9" x14ac:dyDescent="0.25">
      <c r="A63">
        <v>14</v>
      </c>
      <c r="B63" s="6" t="s">
        <v>35</v>
      </c>
      <c r="C63" s="9">
        <v>0</v>
      </c>
      <c r="D63" s="6">
        <v>0</v>
      </c>
      <c r="E63" s="9">
        <v>0</v>
      </c>
      <c r="F63" s="6">
        <v>0</v>
      </c>
      <c r="G63" s="10">
        <v>978070</v>
      </c>
      <c r="H63" s="10">
        <v>629868</v>
      </c>
    </row>
    <row r="64" spans="1:9" x14ac:dyDescent="0.25">
      <c r="A64">
        <v>15</v>
      </c>
      <c r="B64" s="6" t="s">
        <v>57</v>
      </c>
      <c r="C64">
        <v>753379</v>
      </c>
      <c r="D64" s="6">
        <v>754769</v>
      </c>
      <c r="E64">
        <v>596191</v>
      </c>
      <c r="F64" s="6">
        <v>596191</v>
      </c>
      <c r="G64" s="6"/>
      <c r="H64" s="6"/>
      <c r="I64">
        <f t="shared" si="24"/>
        <v>0.78989863123684201</v>
      </c>
    </row>
    <row r="65" spans="1:9" x14ac:dyDescent="0.25">
      <c r="A65">
        <v>16</v>
      </c>
      <c r="B65" s="6" t="s">
        <v>59</v>
      </c>
      <c r="C65">
        <v>843627</v>
      </c>
      <c r="D65" s="6">
        <v>843627</v>
      </c>
      <c r="E65">
        <v>652544</v>
      </c>
      <c r="F65" s="6">
        <v>652544</v>
      </c>
      <c r="G65" s="6"/>
      <c r="H65" s="6"/>
      <c r="I65">
        <f t="shared" si="24"/>
        <v>0.77349824033607273</v>
      </c>
    </row>
    <row r="66" spans="1:9" x14ac:dyDescent="0.25">
      <c r="A66">
        <v>17</v>
      </c>
      <c r="B66" s="6" t="s">
        <v>61</v>
      </c>
      <c r="C66">
        <v>1444733</v>
      </c>
      <c r="D66" s="6">
        <v>1444733</v>
      </c>
      <c r="E66">
        <v>1125912</v>
      </c>
      <c r="F66" s="6">
        <v>1125912</v>
      </c>
      <c r="G66" s="6"/>
      <c r="H66" s="6"/>
      <c r="I66">
        <f t="shared" si="24"/>
        <v>0.77932185393425635</v>
      </c>
    </row>
    <row r="67" spans="1:9" x14ac:dyDescent="0.25">
      <c r="A67">
        <v>18</v>
      </c>
      <c r="B67" s="6" t="s">
        <v>62</v>
      </c>
      <c r="C67">
        <v>1345965</v>
      </c>
      <c r="D67" s="6">
        <v>1344737</v>
      </c>
      <c r="E67">
        <v>1048799</v>
      </c>
      <c r="F67" s="6">
        <v>1048799</v>
      </c>
      <c r="G67" s="6"/>
      <c r="H67" s="6"/>
      <c r="I67">
        <f t="shared" si="24"/>
        <v>0.77992871468547387</v>
      </c>
    </row>
    <row r="68" spans="1:9" x14ac:dyDescent="0.25">
      <c r="A68">
        <v>19</v>
      </c>
      <c r="B68" s="6" t="s">
        <v>63</v>
      </c>
      <c r="C68">
        <v>1704700</v>
      </c>
      <c r="D68" s="6">
        <v>1703300</v>
      </c>
      <c r="E68">
        <v>1324168</v>
      </c>
      <c r="F68" s="6">
        <v>1321507</v>
      </c>
      <c r="G68" s="6"/>
      <c r="H68" s="6"/>
      <c r="I68">
        <f t="shared" si="24"/>
        <v>0.7758509951271062</v>
      </c>
    </row>
    <row r="69" spans="1:9" x14ac:dyDescent="0.25">
      <c r="A69">
        <v>20</v>
      </c>
      <c r="B69" s="6" t="s">
        <v>64</v>
      </c>
      <c r="C69">
        <v>1679541</v>
      </c>
      <c r="D69" s="6">
        <v>1675108</v>
      </c>
      <c r="E69">
        <v>1309651</v>
      </c>
      <c r="F69" s="6">
        <v>1309651</v>
      </c>
      <c r="G69" s="6"/>
      <c r="H69" s="6"/>
      <c r="I69">
        <f t="shared" si="24"/>
        <v>0.78183078344799262</v>
      </c>
    </row>
    <row r="70" spans="1:9" x14ac:dyDescent="0.25">
      <c r="A70">
        <v>21</v>
      </c>
      <c r="B70" s="6" t="s">
        <v>78</v>
      </c>
      <c r="C70">
        <v>2877610</v>
      </c>
      <c r="D70" s="6">
        <v>2874258</v>
      </c>
      <c r="E70">
        <v>2250518</v>
      </c>
      <c r="F70" s="6">
        <v>2246042</v>
      </c>
      <c r="G70" s="6">
        <v>1431261</v>
      </c>
      <c r="H70" s="6">
        <v>921314</v>
      </c>
      <c r="I70">
        <f t="shared" si="24"/>
        <v>0.78143367783963724</v>
      </c>
    </row>
    <row r="71" spans="1:9" x14ac:dyDescent="0.25">
      <c r="A71">
        <v>22</v>
      </c>
      <c r="B71" s="6" t="s">
        <v>81</v>
      </c>
      <c r="C71">
        <v>5055982</v>
      </c>
      <c r="D71" s="6">
        <v>5045504</v>
      </c>
      <c r="E71">
        <v>3960937</v>
      </c>
      <c r="F71" s="6">
        <v>3952954</v>
      </c>
      <c r="G71" s="6">
        <v>886496</v>
      </c>
      <c r="H71" s="6">
        <v>565205</v>
      </c>
      <c r="I71">
        <f t="shared" si="24"/>
        <v>0.78346068103404531</v>
      </c>
    </row>
    <row r="72" spans="1:9" x14ac:dyDescent="0.25">
      <c r="A72">
        <v>23</v>
      </c>
      <c r="B72" s="6" t="s">
        <v>79</v>
      </c>
      <c r="C72">
        <v>5740431</v>
      </c>
      <c r="D72" s="6">
        <v>5726989</v>
      </c>
      <c r="E72">
        <v>4458784</v>
      </c>
      <c r="F72" s="6">
        <v>4451205</v>
      </c>
      <c r="G72" s="6">
        <v>1390488</v>
      </c>
      <c r="H72" s="6">
        <v>905507</v>
      </c>
      <c r="I72">
        <f t="shared" si="24"/>
        <v>0.77723302768697478</v>
      </c>
    </row>
    <row r="73" spans="1:9" x14ac:dyDescent="0.25">
      <c r="A73">
        <v>24</v>
      </c>
      <c r="B73" s="6" t="s">
        <v>80</v>
      </c>
      <c r="C73">
        <v>15943987</v>
      </c>
      <c r="D73" s="6">
        <v>15902613</v>
      </c>
      <c r="E73">
        <v>12437719</v>
      </c>
      <c r="F73" s="6">
        <v>12397213</v>
      </c>
      <c r="G73" s="6">
        <v>2493405</v>
      </c>
      <c r="H73" s="6">
        <v>1611750</v>
      </c>
      <c r="I73">
        <f t="shared" si="24"/>
        <v>0.77957081644381332</v>
      </c>
    </row>
    <row r="74" spans="1:9" x14ac:dyDescent="0.25">
      <c r="A74">
        <v>25</v>
      </c>
      <c r="B74" s="6" t="s">
        <v>65</v>
      </c>
      <c r="C74" s="9">
        <v>0</v>
      </c>
      <c r="D74" s="6">
        <v>0</v>
      </c>
      <c r="E74" s="9">
        <v>0</v>
      </c>
      <c r="F74" s="6">
        <v>0</v>
      </c>
      <c r="G74" s="10">
        <v>1536506</v>
      </c>
      <c r="H74" s="10">
        <v>992276</v>
      </c>
    </row>
    <row r="75" spans="1:9" x14ac:dyDescent="0.25">
      <c r="B75" s="13"/>
      <c r="C75" s="13"/>
    </row>
    <row r="76" spans="1:9" x14ac:dyDescent="0.25">
      <c r="B76" s="13"/>
      <c r="C76" s="13"/>
    </row>
    <row r="77" spans="1:9" x14ac:dyDescent="0.25">
      <c r="B77" s="13"/>
      <c r="C77" s="13"/>
    </row>
    <row r="78" spans="1:9" x14ac:dyDescent="0.25">
      <c r="B78" s="13"/>
      <c r="C78" s="13"/>
    </row>
    <row r="79" spans="1:9" x14ac:dyDescent="0.25">
      <c r="B79" s="13"/>
      <c r="C79" s="13"/>
    </row>
    <row r="80" spans="1:9" x14ac:dyDescent="0.25">
      <c r="B80" s="13"/>
      <c r="C80" s="1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B62A-7416-4A5C-AF68-A6B9A3D1F763}">
  <dimension ref="A1:AD76"/>
  <sheetViews>
    <sheetView zoomScale="55" zoomScaleNormal="55" workbookViewId="0">
      <selection activeCell="I32" sqref="I32"/>
    </sheetView>
  </sheetViews>
  <sheetFormatPr baseColWidth="10" defaultRowHeight="15" x14ac:dyDescent="0.25"/>
  <cols>
    <col min="1" max="1" width="8.85546875" customWidth="1"/>
    <col min="2" max="2" width="28" customWidth="1"/>
    <col min="4" max="4" width="12.85546875" customWidth="1"/>
    <col min="5" max="5" width="13.7109375" bestFit="1" customWidth="1"/>
    <col min="7" max="7" width="12" bestFit="1" customWidth="1"/>
    <col min="8" max="8" width="30.28515625" bestFit="1" customWidth="1"/>
    <col min="10" max="10" width="13.85546875" bestFit="1" customWidth="1"/>
    <col min="11" max="11" width="15.7109375" bestFit="1" customWidth="1"/>
    <col min="12" max="12" width="12.5703125" bestFit="1" customWidth="1"/>
    <col min="13" max="13" width="16.85546875" customWidth="1"/>
    <col min="14" max="14" width="13.5703125" bestFit="1" customWidth="1"/>
    <col min="16" max="16" width="16" bestFit="1" customWidth="1"/>
    <col min="17" max="17" width="18.85546875" customWidth="1"/>
    <col min="18" max="18" width="10.42578125" bestFit="1" customWidth="1"/>
    <col min="19" max="19" width="16" bestFit="1" customWidth="1"/>
    <col min="21" max="21" width="16" bestFit="1" customWidth="1"/>
    <col min="24" max="24" width="15.7109375" customWidth="1"/>
    <col min="25" max="25" width="12.28515625" bestFit="1" customWidth="1"/>
    <col min="27" max="27" width="12.85546875" customWidth="1"/>
    <col min="28" max="28" width="12.5703125" bestFit="1" customWidth="1"/>
    <col min="29" max="29" width="12.28515625" bestFit="1" customWidth="1"/>
    <col min="30" max="30" width="5" bestFit="1" customWidth="1"/>
  </cols>
  <sheetData>
    <row r="1" spans="1:20" x14ac:dyDescent="0.25">
      <c r="A1" t="s">
        <v>0</v>
      </c>
      <c r="D1" t="s">
        <v>245</v>
      </c>
      <c r="E1" t="s">
        <v>244</v>
      </c>
      <c r="F1" t="s">
        <v>243</v>
      </c>
      <c r="G1" s="80" t="s">
        <v>119</v>
      </c>
      <c r="H1">
        <f>F4</f>
        <v>0.59867216611329166</v>
      </c>
      <c r="K1" t="s">
        <v>101</v>
      </c>
      <c r="L1" t="s">
        <v>102</v>
      </c>
      <c r="Q1" s="28" t="s">
        <v>228</v>
      </c>
      <c r="R1" t="s">
        <v>229</v>
      </c>
      <c r="S1" t="s">
        <v>230</v>
      </c>
      <c r="T1" t="s">
        <v>231</v>
      </c>
    </row>
    <row r="2" spans="1:20" x14ac:dyDescent="0.25">
      <c r="A2" t="s">
        <v>70</v>
      </c>
      <c r="D2" t="s">
        <v>242</v>
      </c>
      <c r="E2">
        <v>1175</v>
      </c>
      <c r="F2">
        <f>E2/(298.15*8.314)</f>
        <v>0.47401603448997148</v>
      </c>
      <c r="L2" t="s">
        <v>118</v>
      </c>
      <c r="R2" t="s">
        <v>155</v>
      </c>
      <c r="S2" t="s">
        <v>156</v>
      </c>
      <c r="T2" t="s">
        <v>157</v>
      </c>
    </row>
    <row r="3" spans="1:20" x14ac:dyDescent="0.25">
      <c r="A3" t="s">
        <v>2</v>
      </c>
      <c r="E3">
        <v>1793</v>
      </c>
      <c r="F3">
        <f>E3/(298.15*8.314)</f>
        <v>0.72332829773661189</v>
      </c>
      <c r="Q3" t="s">
        <v>232</v>
      </c>
      <c r="R3" s="79">
        <v>1.071586842105263</v>
      </c>
      <c r="S3" s="79">
        <v>0.80161578947368428</v>
      </c>
      <c r="T3" s="79">
        <v>1.3257263157894739</v>
      </c>
    </row>
    <row r="4" spans="1:20" x14ac:dyDescent="0.25">
      <c r="A4" t="s">
        <v>1</v>
      </c>
      <c r="C4" t="s">
        <v>88</v>
      </c>
      <c r="D4" t="s">
        <v>66</v>
      </c>
      <c r="E4">
        <f>AVERAGE(E2:E3)</f>
        <v>1484</v>
      </c>
      <c r="F4">
        <f>E4/(298.15*8.314)</f>
        <v>0.59867216611329166</v>
      </c>
      <c r="H4" s="28" t="s">
        <v>89</v>
      </c>
      <c r="I4" t="s">
        <v>15</v>
      </c>
      <c r="J4" t="s">
        <v>120</v>
      </c>
      <c r="K4" t="s">
        <v>124</v>
      </c>
      <c r="L4" t="s">
        <v>121</v>
      </c>
      <c r="M4" t="s">
        <v>123</v>
      </c>
      <c r="N4" t="s">
        <v>125</v>
      </c>
      <c r="Q4" t="s">
        <v>233</v>
      </c>
      <c r="R4" s="79">
        <v>20</v>
      </c>
      <c r="S4" s="79">
        <v>20</v>
      </c>
      <c r="T4" s="79">
        <v>20</v>
      </c>
    </row>
    <row r="5" spans="1:20" x14ac:dyDescent="0.25">
      <c r="A5" s="7"/>
      <c r="B5" s="8"/>
      <c r="D5" t="s">
        <v>47</v>
      </c>
      <c r="H5" t="s">
        <v>146</v>
      </c>
      <c r="I5" t="s">
        <v>23</v>
      </c>
      <c r="J5" t="s">
        <v>28</v>
      </c>
      <c r="K5" t="s">
        <v>122</v>
      </c>
      <c r="L5" t="s">
        <v>122</v>
      </c>
      <c r="M5" t="s">
        <v>122</v>
      </c>
      <c r="N5" t="s">
        <v>28</v>
      </c>
      <c r="Q5" t="s">
        <v>234</v>
      </c>
      <c r="R5" s="79">
        <f>R4/R3</f>
        <v>18.66390964703109</v>
      </c>
      <c r="S5" s="79">
        <f>S4/S3</f>
        <v>24.949608356805658</v>
      </c>
      <c r="T5" s="79">
        <f>T4/T3</f>
        <v>15.086069999364796</v>
      </c>
    </row>
    <row r="6" spans="1:20" x14ac:dyDescent="0.25">
      <c r="A6" s="3" t="s">
        <v>3</v>
      </c>
      <c r="B6" s="5" t="s">
        <v>4</v>
      </c>
      <c r="D6" t="s">
        <v>23</v>
      </c>
      <c r="E6" t="s">
        <v>32</v>
      </c>
      <c r="F6" t="s">
        <v>48</v>
      </c>
      <c r="G6" s="29">
        <v>44376</v>
      </c>
      <c r="H6" s="6" t="s">
        <v>90</v>
      </c>
      <c r="I6">
        <f>AVERAGE(Raw_data!N8:N9,Raw_data!N25,Raw_data!N40,Raw_data!N49)</f>
        <v>0</v>
      </c>
      <c r="J6">
        <v>0</v>
      </c>
      <c r="K6">
        <f>J6*10</f>
        <v>0</v>
      </c>
      <c r="L6">
        <f>(J6*10*10)/($H$1*(10+10))</f>
        <v>0</v>
      </c>
      <c r="M6">
        <f>K6-L6</f>
        <v>0</v>
      </c>
      <c r="N6">
        <f>M6/10</f>
        <v>0</v>
      </c>
      <c r="Q6" t="s">
        <v>235</v>
      </c>
      <c r="R6">
        <v>2.65</v>
      </c>
      <c r="S6">
        <f>0.8*2.65+0.2*1.3</f>
        <v>2.38</v>
      </c>
      <c r="T6">
        <v>2.65</v>
      </c>
    </row>
    <row r="7" spans="1:20" x14ac:dyDescent="0.25">
      <c r="A7">
        <v>1</v>
      </c>
      <c r="B7" s="6" t="s">
        <v>5</v>
      </c>
      <c r="C7">
        <v>0</v>
      </c>
      <c r="H7" s="6" t="s">
        <v>92</v>
      </c>
      <c r="I7">
        <f>AVERAGE(Raw_data!N10,Raw_data!N11)</f>
        <v>0</v>
      </c>
      <c r="J7">
        <v>0.05</v>
      </c>
      <c r="K7">
        <f>J7*10</f>
        <v>0.5</v>
      </c>
      <c r="L7">
        <f>(J7*10*10)/($H$1*(10+10))</f>
        <v>0.41759081873315362</v>
      </c>
      <c r="M7">
        <f>K7-L7</f>
        <v>8.2409181266846376E-2</v>
      </c>
      <c r="N7">
        <f>M7/10</f>
        <v>8.2409181266846383E-3</v>
      </c>
      <c r="Q7" t="s">
        <v>236</v>
      </c>
      <c r="R7">
        <f>R4/R6</f>
        <v>7.5471698113207548</v>
      </c>
      <c r="S7">
        <f>S4/S6</f>
        <v>8.4033613445378155</v>
      </c>
      <c r="T7">
        <f>T4/T6</f>
        <v>7.5471698113207548</v>
      </c>
    </row>
    <row r="8" spans="1:20" x14ac:dyDescent="0.25">
      <c r="A8">
        <v>2</v>
      </c>
      <c r="B8" s="6" t="s">
        <v>6</v>
      </c>
      <c r="C8">
        <v>0</v>
      </c>
      <c r="H8" s="6" t="s">
        <v>93</v>
      </c>
      <c r="I8">
        <f>AVERAGE(Raw_data!N13:N14)</f>
        <v>120460</v>
      </c>
      <c r="J8">
        <v>0.1</v>
      </c>
      <c r="K8">
        <f t="shared" ref="K8:K22" si="0">J8*10</f>
        <v>1</v>
      </c>
      <c r="L8">
        <f>(J8*10*10)/($H$1*(10+10))</f>
        <v>0.83518163746630725</v>
      </c>
      <c r="M8">
        <f>K8-L8</f>
        <v>0.16481836253369275</v>
      </c>
      <c r="N8">
        <f>M8/10</f>
        <v>1.6481836253369277E-2</v>
      </c>
      <c r="Q8" t="s">
        <v>237</v>
      </c>
      <c r="R8" s="79">
        <f>R5-R7</f>
        <v>11.116739835710336</v>
      </c>
      <c r="S8" s="79">
        <f>S5-S7</f>
        <v>16.546247012267841</v>
      </c>
      <c r="T8" s="79">
        <f>T5-T7</f>
        <v>7.5389001880440407</v>
      </c>
    </row>
    <row r="9" spans="1:20" x14ac:dyDescent="0.25">
      <c r="A9">
        <v>3</v>
      </c>
      <c r="B9" s="6" t="s">
        <v>7</v>
      </c>
      <c r="C9">
        <v>0</v>
      </c>
      <c r="H9" s="6" t="s">
        <v>94</v>
      </c>
      <c r="I9">
        <f>AVERAGE(Raw_data!N16:N17)</f>
        <v>675632.5</v>
      </c>
      <c r="J9">
        <v>0.5</v>
      </c>
      <c r="K9">
        <f t="shared" si="0"/>
        <v>5</v>
      </c>
      <c r="L9">
        <f>(J9*10*10)/($H$1*(10+10))</f>
        <v>4.1759081873315358</v>
      </c>
      <c r="M9">
        <f t="shared" ref="M9:M22" si="1">K9-L9</f>
        <v>0.82409181266846421</v>
      </c>
      <c r="N9">
        <f t="shared" ref="N9:N22" si="2">M9/10</f>
        <v>8.2409181266846418E-2</v>
      </c>
      <c r="Q9" t="s">
        <v>238</v>
      </c>
      <c r="R9" s="79">
        <f>(R8/R5)*100</f>
        <v>59.562760675273097</v>
      </c>
      <c r="S9" s="79">
        <f>(S8/S5)*100</f>
        <v>66.318664307828385</v>
      </c>
      <c r="T9" s="79">
        <f>(T8/T5)*100</f>
        <v>49.972591857000985</v>
      </c>
    </row>
    <row r="10" spans="1:20" x14ac:dyDescent="0.25">
      <c r="A10">
        <v>4</v>
      </c>
      <c r="B10" s="6" t="s">
        <v>8</v>
      </c>
      <c r="C10">
        <v>0.05</v>
      </c>
      <c r="H10" s="6" t="s">
        <v>95</v>
      </c>
      <c r="I10">
        <f>AVERAGE(Raw_data!N24,Raw_data!N38)</f>
        <v>1435639.5</v>
      </c>
      <c r="J10">
        <v>1</v>
      </c>
      <c r="K10">
        <f t="shared" si="0"/>
        <v>10</v>
      </c>
      <c r="L10">
        <f>(J10*10*10)/($H$1*(10+10))</f>
        <v>8.3518163746630716</v>
      </c>
      <c r="M10">
        <f t="shared" si="1"/>
        <v>1.6481836253369284</v>
      </c>
      <c r="N10">
        <f t="shared" si="2"/>
        <v>0.16481836253369284</v>
      </c>
    </row>
    <row r="11" spans="1:20" x14ac:dyDescent="0.25">
      <c r="A11">
        <v>5</v>
      </c>
      <c r="B11" s="6" t="s">
        <v>9</v>
      </c>
      <c r="C11">
        <v>0.05</v>
      </c>
      <c r="Q11" t="s">
        <v>239</v>
      </c>
      <c r="R11">
        <v>120</v>
      </c>
      <c r="S11">
        <v>120</v>
      </c>
      <c r="T11">
        <v>120</v>
      </c>
    </row>
    <row r="12" spans="1:20" x14ac:dyDescent="0.25">
      <c r="A12">
        <v>6</v>
      </c>
      <c r="B12" s="6" t="s">
        <v>10</v>
      </c>
      <c r="C12">
        <v>0.1</v>
      </c>
      <c r="G12" s="29">
        <v>44377</v>
      </c>
      <c r="H12" s="6" t="s">
        <v>90</v>
      </c>
      <c r="I12">
        <f>AVERAGE(Raw_data!N56,Raw_data!N66,Raw_data!N72,Raw_data!N91)</f>
        <v>0</v>
      </c>
      <c r="J12">
        <v>0</v>
      </c>
      <c r="K12">
        <f t="shared" si="0"/>
        <v>0</v>
      </c>
      <c r="L12">
        <f>(J12*10*10)/($H$1*(10+10))</f>
        <v>0</v>
      </c>
      <c r="M12">
        <f t="shared" si="1"/>
        <v>0</v>
      </c>
      <c r="N12">
        <f t="shared" si="2"/>
        <v>0</v>
      </c>
      <c r="Q12" t="s">
        <v>240</v>
      </c>
      <c r="R12">
        <v>8</v>
      </c>
      <c r="S12">
        <v>6</v>
      </c>
      <c r="T12">
        <v>6</v>
      </c>
    </row>
    <row r="13" spans="1:20" x14ac:dyDescent="0.25">
      <c r="A13">
        <v>7</v>
      </c>
      <c r="B13" s="6" t="s">
        <v>11</v>
      </c>
      <c r="C13">
        <v>0.1</v>
      </c>
      <c r="H13" s="6" t="s">
        <v>94</v>
      </c>
      <c r="I13">
        <f>AVERAGE(Raw_data!N57:N58)</f>
        <v>508815</v>
      </c>
      <c r="J13">
        <v>0.5</v>
      </c>
      <c r="K13">
        <f t="shared" si="0"/>
        <v>5</v>
      </c>
      <c r="L13">
        <f>(J13*10*10)/($H$1*(10+10))</f>
        <v>4.1759081873315358</v>
      </c>
      <c r="M13">
        <f t="shared" si="1"/>
        <v>0.82409181266846421</v>
      </c>
      <c r="N13">
        <f t="shared" si="2"/>
        <v>8.2409181266846418E-2</v>
      </c>
      <c r="Q13" t="s">
        <v>241</v>
      </c>
      <c r="R13">
        <f>R11-R7-R12</f>
        <v>104.45283018867924</v>
      </c>
      <c r="S13">
        <f>S11-S7-S12</f>
        <v>105.59663865546219</v>
      </c>
      <c r="T13">
        <f>T11-T7-T12</f>
        <v>106.45283018867924</v>
      </c>
    </row>
    <row r="14" spans="1:20" x14ac:dyDescent="0.25">
      <c r="A14">
        <v>8</v>
      </c>
      <c r="B14" s="6" t="s">
        <v>12</v>
      </c>
      <c r="C14">
        <v>0.5</v>
      </c>
      <c r="H14" s="6" t="s">
        <v>95</v>
      </c>
      <c r="I14">
        <f>AVERAGE(Raw_data!N60:N61)</f>
        <v>916837.5</v>
      </c>
      <c r="J14">
        <v>1</v>
      </c>
      <c r="K14">
        <f t="shared" si="0"/>
        <v>10</v>
      </c>
      <c r="L14">
        <f>(J14*10*10)/($H$1*(10+10))</f>
        <v>8.3518163746630716</v>
      </c>
      <c r="M14">
        <f t="shared" si="1"/>
        <v>1.6481836253369284</v>
      </c>
      <c r="N14">
        <f t="shared" si="2"/>
        <v>0.16481836253369284</v>
      </c>
    </row>
    <row r="15" spans="1:20" x14ac:dyDescent="0.25">
      <c r="A15">
        <v>9</v>
      </c>
      <c r="B15" s="6" t="s">
        <v>26</v>
      </c>
      <c r="C15">
        <v>0.5</v>
      </c>
      <c r="H15" s="6" t="s">
        <v>91</v>
      </c>
      <c r="I15">
        <f>AVERAGE(Raw_data!N63:N64)</f>
        <v>4883471</v>
      </c>
      <c r="J15">
        <v>5</v>
      </c>
      <c r="K15">
        <f t="shared" si="0"/>
        <v>50</v>
      </c>
      <c r="L15">
        <f>(J15*10*10)/($H$1*(10+10))</f>
        <v>41.75908187331536</v>
      </c>
      <c r="M15">
        <f t="shared" si="1"/>
        <v>8.2409181266846403</v>
      </c>
      <c r="N15">
        <f t="shared" si="2"/>
        <v>0.82409181266846399</v>
      </c>
    </row>
    <row r="16" spans="1:20" x14ac:dyDescent="0.25">
      <c r="A16">
        <v>10</v>
      </c>
      <c r="B16" s="6" t="s">
        <v>36</v>
      </c>
      <c r="D16">
        <v>1.2550411825368122E-2</v>
      </c>
      <c r="E16">
        <v>1.9722933053779854E-2</v>
      </c>
    </row>
    <row r="17" spans="1:30" x14ac:dyDescent="0.25">
      <c r="A17">
        <v>11</v>
      </c>
      <c r="B17" s="6" t="s">
        <v>37</v>
      </c>
      <c r="D17">
        <v>1.2550411825368122E-2</v>
      </c>
      <c r="E17">
        <v>1.9722933053779854E-2</v>
      </c>
      <c r="H17" s="28" t="s">
        <v>96</v>
      </c>
    </row>
    <row r="18" spans="1:30" x14ac:dyDescent="0.25">
      <c r="A18">
        <v>12</v>
      </c>
      <c r="B18" s="6" t="s">
        <v>38</v>
      </c>
      <c r="D18">
        <v>1.2550411825368122E-2</v>
      </c>
      <c r="E18">
        <v>1.9722933053779854E-2</v>
      </c>
      <c r="H18" t="s">
        <v>146</v>
      </c>
    </row>
    <row r="19" spans="1:30" x14ac:dyDescent="0.25">
      <c r="A19">
        <v>13</v>
      </c>
      <c r="B19" s="6" t="s">
        <v>39</v>
      </c>
      <c r="D19">
        <v>1.2550411825368122E-2</v>
      </c>
      <c r="E19">
        <v>1.9722933053779854E-2</v>
      </c>
      <c r="G19" s="29">
        <v>44377</v>
      </c>
      <c r="H19" s="6" t="s">
        <v>97</v>
      </c>
      <c r="I19">
        <f>AVERAGE(Raw_data!N68,Raw_data!N83)</f>
        <v>2759505</v>
      </c>
      <c r="J19">
        <v>0.5</v>
      </c>
      <c r="K19">
        <f t="shared" si="0"/>
        <v>5</v>
      </c>
      <c r="L19">
        <f>(J19*10*10)/($H$1*(10+10))</f>
        <v>4.1759081873315358</v>
      </c>
      <c r="M19">
        <f t="shared" si="1"/>
        <v>0.82409181266846421</v>
      </c>
      <c r="N19">
        <f t="shared" si="2"/>
        <v>8.2409181266846418E-2</v>
      </c>
    </row>
    <row r="20" spans="1:30" x14ac:dyDescent="0.25">
      <c r="B20" s="6"/>
      <c r="H20" s="6" t="s">
        <v>98</v>
      </c>
      <c r="I20">
        <f>AVERAGE(Raw_data!N69,Raw_data!N85)</f>
        <v>4934038</v>
      </c>
      <c r="J20">
        <v>0.75</v>
      </c>
      <c r="K20">
        <f t="shared" si="0"/>
        <v>7.5</v>
      </c>
      <c r="L20">
        <f>(J20*10*10)/($H$1*(10+10))</f>
        <v>6.2638622809973041</v>
      </c>
      <c r="M20">
        <f t="shared" si="1"/>
        <v>1.2361377190026959</v>
      </c>
      <c r="N20">
        <f>M20/10</f>
        <v>0.12361377190026959</v>
      </c>
    </row>
    <row r="21" spans="1:30" x14ac:dyDescent="0.25">
      <c r="A21">
        <v>14</v>
      </c>
      <c r="B21" s="6" t="s">
        <v>33</v>
      </c>
      <c r="C21">
        <v>1</v>
      </c>
      <c r="H21" s="6" t="s">
        <v>99</v>
      </c>
      <c r="I21">
        <f>AVERAGE(Raw_data!N70,Raw_data!N87)</f>
        <v>5187368.5</v>
      </c>
      <c r="J21">
        <v>1</v>
      </c>
      <c r="K21">
        <f t="shared" si="0"/>
        <v>10</v>
      </c>
      <c r="L21">
        <f>(J21*10*10)/($H$1*(10+10))</f>
        <v>8.3518163746630716</v>
      </c>
      <c r="M21">
        <f t="shared" si="1"/>
        <v>1.6481836253369284</v>
      </c>
      <c r="N21">
        <f t="shared" si="2"/>
        <v>0.16481836253369284</v>
      </c>
    </row>
    <row r="22" spans="1:30" x14ac:dyDescent="0.25">
      <c r="A22">
        <v>15</v>
      </c>
      <c r="B22" s="6" t="s">
        <v>35</v>
      </c>
      <c r="C22">
        <v>0</v>
      </c>
      <c r="H22" s="6" t="s">
        <v>100</v>
      </c>
      <c r="I22">
        <f>AVERAGE(Raw_data!N71,Raw_data!N89)</f>
        <v>16095923.5</v>
      </c>
      <c r="J22">
        <v>2.5</v>
      </c>
      <c r="K22">
        <f t="shared" si="0"/>
        <v>25</v>
      </c>
      <c r="L22">
        <f>(J22*10*10)/($H$1*(10+10))</f>
        <v>20.87954093665768</v>
      </c>
      <c r="M22">
        <f t="shared" si="1"/>
        <v>4.1204590633423201</v>
      </c>
      <c r="N22">
        <f t="shared" si="2"/>
        <v>0.41204590633423199</v>
      </c>
    </row>
    <row r="23" spans="1:30" x14ac:dyDescent="0.25">
      <c r="A23">
        <v>16</v>
      </c>
      <c r="B23" s="6" t="s">
        <v>40</v>
      </c>
      <c r="D23">
        <v>7.3400496268844526E-2</v>
      </c>
      <c r="E23">
        <v>8.0329054024694452E-2</v>
      </c>
    </row>
    <row r="24" spans="1:30" x14ac:dyDescent="0.25">
      <c r="A24">
        <v>17</v>
      </c>
      <c r="B24" s="6" t="s">
        <v>41</v>
      </c>
      <c r="D24">
        <v>9.1999615374689064E-2</v>
      </c>
      <c r="E24">
        <v>0.13868896986975932</v>
      </c>
      <c r="K24" t="s">
        <v>114</v>
      </c>
      <c r="P24" t="s">
        <v>128</v>
      </c>
      <c r="Q24" s="80" t="s">
        <v>246</v>
      </c>
      <c r="U24" t="s">
        <v>135</v>
      </c>
      <c r="AA24" t="s">
        <v>140</v>
      </c>
    </row>
    <row r="25" spans="1:30" x14ac:dyDescent="0.25">
      <c r="A25">
        <v>18</v>
      </c>
      <c r="B25" s="6" t="s">
        <v>42</v>
      </c>
      <c r="D25">
        <v>7.4015073441255103E-2</v>
      </c>
      <c r="E25">
        <v>8.208653351160701E-2</v>
      </c>
      <c r="H25" s="28" t="s">
        <v>103</v>
      </c>
      <c r="I25" t="s">
        <v>15</v>
      </c>
      <c r="J25" t="s">
        <v>115</v>
      </c>
      <c r="K25" t="s">
        <v>126</v>
      </c>
      <c r="M25" t="s">
        <v>127</v>
      </c>
      <c r="P25" t="s">
        <v>127</v>
      </c>
      <c r="Q25" s="83"/>
      <c r="U25" t="s">
        <v>136</v>
      </c>
      <c r="X25" t="s">
        <v>139</v>
      </c>
      <c r="AA25" t="s">
        <v>141</v>
      </c>
    </row>
    <row r="26" spans="1:30" x14ac:dyDescent="0.25">
      <c r="A26">
        <v>19</v>
      </c>
      <c r="B26" s="6" t="s">
        <v>43</v>
      </c>
      <c r="D26">
        <v>8.5583707469715858E-2</v>
      </c>
      <c r="E26">
        <v>9.3590914159244351E-2</v>
      </c>
      <c r="H26" t="s">
        <v>146</v>
      </c>
      <c r="I26" t="s">
        <v>23</v>
      </c>
      <c r="J26" t="s">
        <v>28</v>
      </c>
      <c r="K26" t="s">
        <v>116</v>
      </c>
      <c r="L26" t="s">
        <v>117</v>
      </c>
      <c r="M26" t="s">
        <v>133</v>
      </c>
      <c r="N26" t="s">
        <v>134</v>
      </c>
      <c r="P26" t="s">
        <v>129</v>
      </c>
      <c r="Q26" t="s">
        <v>130</v>
      </c>
      <c r="R26" t="s">
        <v>131</v>
      </c>
      <c r="S26" t="s">
        <v>132</v>
      </c>
      <c r="U26" t="s">
        <v>137</v>
      </c>
      <c r="V26" t="s">
        <v>138</v>
      </c>
      <c r="X26" t="s">
        <v>137</v>
      </c>
      <c r="Y26" t="s">
        <v>138</v>
      </c>
      <c r="AA26" t="s">
        <v>143</v>
      </c>
      <c r="AB26" t="s">
        <v>144</v>
      </c>
      <c r="AC26" t="s">
        <v>145</v>
      </c>
      <c r="AD26" t="s">
        <v>142</v>
      </c>
    </row>
    <row r="27" spans="1:30" x14ac:dyDescent="0.25">
      <c r="B27" s="6"/>
      <c r="D27">
        <v>8.1249723138626134E-2</v>
      </c>
      <c r="E27">
        <v>9.8673867891326289E-2</v>
      </c>
      <c r="G27" s="29">
        <v>44376</v>
      </c>
      <c r="H27" s="6" t="s">
        <v>164</v>
      </c>
      <c r="I27">
        <f>AVERAGE(Raw_data!N19)</f>
        <v>0</v>
      </c>
      <c r="J27">
        <v>0</v>
      </c>
      <c r="K27">
        <f>(I27+55216.429)/1486422.857</f>
        <v>3.7147187787088767E-2</v>
      </c>
      <c r="M27">
        <f>(I27+35798.395)/8864575.587</f>
        <v>4.0383653620708867E-3</v>
      </c>
      <c r="P27">
        <f>J27*8</f>
        <v>0</v>
      </c>
      <c r="Q27">
        <f>M27*$R$13</f>
        <v>0.4218186914042345</v>
      </c>
      <c r="R27">
        <f t="shared" ref="R27:R46" si="3">(M27/$H$1)*8</f>
        <v>5.3964297532505277E-2</v>
      </c>
      <c r="S27">
        <f>P27-(Q27+R27)</f>
        <v>-0.47578298893673976</v>
      </c>
      <c r="U27">
        <f t="shared" ref="U27:U47" si="4">M27/$H$1</f>
        <v>6.7455371915631597E-3</v>
      </c>
      <c r="V27">
        <f>S27/20</f>
        <v>-2.3789149446836987E-2</v>
      </c>
      <c r="X27">
        <f>AVERAGE(U27:U30)</f>
        <v>6.7455371915631597E-3</v>
      </c>
    </row>
    <row r="28" spans="1:30" x14ac:dyDescent="0.25">
      <c r="A28">
        <v>20</v>
      </c>
      <c r="B28" s="6" t="s">
        <v>49</v>
      </c>
      <c r="D28">
        <v>0.25787364698956172</v>
      </c>
      <c r="E28">
        <v>0.26428731733391464</v>
      </c>
      <c r="H28" s="6" t="s">
        <v>165</v>
      </c>
      <c r="I28">
        <f>AVERAGE(Raw_data!N20)</f>
        <v>0</v>
      </c>
      <c r="J28">
        <v>0</v>
      </c>
      <c r="K28">
        <f t="shared" ref="K28:K46" si="5">(I28+55216.429)/1486422.857</f>
        <v>3.7147187787088767E-2</v>
      </c>
      <c r="M28">
        <f t="shared" ref="M28:M46" si="6">(I28+35798.395)/8864575.587</f>
        <v>4.0383653620708867E-3</v>
      </c>
      <c r="P28">
        <f>J28*8</f>
        <v>0</v>
      </c>
      <c r="Q28">
        <f t="shared" ref="Q28:Q54" si="7">M28*$R$13</f>
        <v>0.4218186914042345</v>
      </c>
      <c r="R28">
        <f t="shared" si="3"/>
        <v>5.3964297532505277E-2</v>
      </c>
      <c r="S28">
        <f t="shared" ref="S28:S54" si="8">P28-(Q28+R28)</f>
        <v>-0.47578298893673976</v>
      </c>
      <c r="U28">
        <f t="shared" si="4"/>
        <v>6.7455371915631597E-3</v>
      </c>
      <c r="V28">
        <f t="shared" ref="V28:V54" si="9">S28/20</f>
        <v>-2.3789149446836987E-2</v>
      </c>
    </row>
    <row r="29" spans="1:30" x14ac:dyDescent="0.25">
      <c r="A29">
        <v>21</v>
      </c>
      <c r="B29" s="6" t="s">
        <v>50</v>
      </c>
      <c r="D29">
        <v>0.24095020553007507</v>
      </c>
      <c r="E29">
        <v>0.24690166204821959</v>
      </c>
      <c r="H29" s="6" t="s">
        <v>166</v>
      </c>
      <c r="I29">
        <f>AVERAGE(Raw_data!N21)</f>
        <v>0</v>
      </c>
      <c r="J29">
        <v>0</v>
      </c>
      <c r="K29">
        <f>(I29+55216.429)/1486422.857</f>
        <v>3.7147187787088767E-2</v>
      </c>
      <c r="M29">
        <f t="shared" si="6"/>
        <v>4.0383653620708867E-3</v>
      </c>
      <c r="P29">
        <f>J29*8</f>
        <v>0</v>
      </c>
      <c r="Q29">
        <f t="shared" si="7"/>
        <v>0.4218186914042345</v>
      </c>
      <c r="R29">
        <f t="shared" si="3"/>
        <v>5.3964297532505277E-2</v>
      </c>
      <c r="S29">
        <f t="shared" si="8"/>
        <v>-0.47578298893673976</v>
      </c>
      <c r="U29">
        <f t="shared" si="4"/>
        <v>6.7455371915631597E-3</v>
      </c>
      <c r="V29">
        <f t="shared" si="9"/>
        <v>-2.3789149446836987E-2</v>
      </c>
    </row>
    <row r="30" spans="1:30" x14ac:dyDescent="0.25">
      <c r="A30">
        <v>22</v>
      </c>
      <c r="B30" s="6" t="s">
        <v>51</v>
      </c>
      <c r="D30">
        <v>0.21729905373577069</v>
      </c>
      <c r="E30">
        <v>0.22388392697708873</v>
      </c>
      <c r="H30" s="6" t="s">
        <v>167</v>
      </c>
      <c r="I30">
        <f>AVERAGE(Raw_data!N22)</f>
        <v>0</v>
      </c>
      <c r="J30">
        <v>0</v>
      </c>
      <c r="K30">
        <f t="shared" si="5"/>
        <v>3.7147187787088767E-2</v>
      </c>
      <c r="M30">
        <f t="shared" si="6"/>
        <v>4.0383653620708867E-3</v>
      </c>
      <c r="P30">
        <f>J30*8</f>
        <v>0</v>
      </c>
      <c r="Q30">
        <f t="shared" si="7"/>
        <v>0.4218186914042345</v>
      </c>
      <c r="R30">
        <f t="shared" si="3"/>
        <v>5.3964297532505277E-2</v>
      </c>
      <c r="S30">
        <f t="shared" si="8"/>
        <v>-0.47578298893673976</v>
      </c>
      <c r="U30">
        <f t="shared" si="4"/>
        <v>6.7455371915631597E-3</v>
      </c>
      <c r="V30">
        <f t="shared" si="9"/>
        <v>-2.3789149446836987E-2</v>
      </c>
    </row>
    <row r="31" spans="1:30" x14ac:dyDescent="0.25">
      <c r="A31">
        <v>23</v>
      </c>
      <c r="B31" s="6" t="s">
        <v>52</v>
      </c>
      <c r="D31">
        <v>0.2622430476322819</v>
      </c>
      <c r="E31">
        <v>0.26967296342853042</v>
      </c>
      <c r="H31" s="6" t="s">
        <v>40</v>
      </c>
      <c r="I31">
        <f>AVERAGE(Raw_data!N26)</f>
        <v>87625</v>
      </c>
      <c r="J31">
        <v>0.5</v>
      </c>
      <c r="K31">
        <f t="shared" si="5"/>
        <v>9.6097438442444505E-2</v>
      </c>
      <c r="M31">
        <f t="shared" si="6"/>
        <v>1.3923215363068458E-2</v>
      </c>
      <c r="P31">
        <f t="shared" ref="P31:P54" si="10">J31*8</f>
        <v>4</v>
      </c>
      <c r="Q31">
        <f t="shared" si="7"/>
        <v>1.4543192499989996</v>
      </c>
      <c r="R31">
        <f t="shared" si="3"/>
        <v>0.18605462089157696</v>
      </c>
      <c r="S31">
        <f t="shared" si="8"/>
        <v>2.3596261291094232</v>
      </c>
      <c r="U31">
        <f t="shared" si="4"/>
        <v>2.3256827611447119E-2</v>
      </c>
      <c r="V31">
        <f t="shared" si="9"/>
        <v>0.11798130645547115</v>
      </c>
      <c r="X31">
        <f>AVERAGE(U31:U33)</f>
        <v>2.4994666444874983E-2</v>
      </c>
      <c r="Y31">
        <f>AVERAGE(V31:V33)</f>
        <v>0.11185255695059265</v>
      </c>
      <c r="AA31">
        <f>(AVERAGE(Q31:Q33)/P31)*100</f>
        <v>39.074788235728676</v>
      </c>
      <c r="AB31">
        <f>(AVERAGE(R31:R33)/P31)*100</f>
        <v>4.9989332889749969</v>
      </c>
      <c r="AC31">
        <f>(AVERAGE(S31:S33)/P31)*100</f>
        <v>55.926278475296328</v>
      </c>
      <c r="AD31">
        <f>SUM(AA31:AC31)</f>
        <v>100</v>
      </c>
    </row>
    <row r="32" spans="1:30" ht="15.75" thickBot="1" x14ac:dyDescent="0.3">
      <c r="B32" s="6"/>
      <c r="D32">
        <v>0.24459148847192236</v>
      </c>
      <c r="E32">
        <v>0.25118646744693834</v>
      </c>
      <c r="H32" s="6" t="s">
        <v>41</v>
      </c>
      <c r="I32">
        <f>AVERAGE(Raw_data!N27)</f>
        <v>114408</v>
      </c>
      <c r="J32">
        <v>0.5</v>
      </c>
      <c r="K32">
        <f t="shared" si="5"/>
        <v>0.11411586427185841</v>
      </c>
      <c r="M32">
        <f t="shared" si="6"/>
        <v>1.6944567004457536E-2</v>
      </c>
      <c r="P32">
        <f>J32*8</f>
        <v>4</v>
      </c>
      <c r="Q32">
        <f t="shared" si="7"/>
        <v>1.7699079799373003</v>
      </c>
      <c r="R32">
        <f t="shared" si="3"/>
        <v>0.22642865947104648</v>
      </c>
      <c r="S32">
        <f t="shared" si="8"/>
        <v>2.003663360591653</v>
      </c>
      <c r="U32">
        <f t="shared" si="4"/>
        <v>2.830358243388081E-2</v>
      </c>
      <c r="V32">
        <f t="shared" si="9"/>
        <v>0.10018316802958264</v>
      </c>
    </row>
    <row r="33" spans="1:30" x14ac:dyDescent="0.25">
      <c r="A33">
        <v>24</v>
      </c>
      <c r="B33" s="6" t="s">
        <v>53</v>
      </c>
      <c r="D33">
        <v>0.31127588942840151</v>
      </c>
      <c r="E33">
        <v>0.31713595422237706</v>
      </c>
      <c r="G33" s="14"/>
      <c r="H33" s="6" t="s">
        <v>42</v>
      </c>
      <c r="I33">
        <f>AVERAGE(Raw_data!N28)</f>
        <v>88510</v>
      </c>
      <c r="J33">
        <v>0.5</v>
      </c>
      <c r="K33">
        <f t="shared" si="5"/>
        <v>9.6692827564612727E-2</v>
      </c>
      <c r="M33">
        <f t="shared" si="6"/>
        <v>1.4023050937971545E-2</v>
      </c>
      <c r="P33">
        <f t="shared" si="10"/>
        <v>4</v>
      </c>
      <c r="Q33">
        <f t="shared" si="7"/>
        <v>1.464747358351141</v>
      </c>
      <c r="R33">
        <f t="shared" si="3"/>
        <v>0.18738871431437615</v>
      </c>
      <c r="S33">
        <f t="shared" si="8"/>
        <v>2.3478639273344828</v>
      </c>
      <c r="U33">
        <f t="shared" si="4"/>
        <v>2.3423589289297019E-2</v>
      </c>
      <c r="V33">
        <f t="shared" si="9"/>
        <v>0.11739319636672414</v>
      </c>
    </row>
    <row r="34" spans="1:30" ht="15.75" thickBot="1" x14ac:dyDescent="0.3">
      <c r="A34">
        <v>25</v>
      </c>
      <c r="B34" s="6" t="s">
        <v>54</v>
      </c>
      <c r="D34">
        <v>0.35864555345285637</v>
      </c>
      <c r="E34">
        <v>0.3635075958140207</v>
      </c>
      <c r="G34" s="30"/>
      <c r="H34" s="6" t="s">
        <v>43</v>
      </c>
      <c r="I34">
        <f>AVERAGE(Raw_data!N29)</f>
        <v>105169</v>
      </c>
      <c r="J34">
        <v>0.5</v>
      </c>
      <c r="K34">
        <f t="shared" si="5"/>
        <v>0.10790027093885034</v>
      </c>
      <c r="M34">
        <f t="shared" si="6"/>
        <v>1.5902328725893013E-2</v>
      </c>
      <c r="P34">
        <f t="shared" si="10"/>
        <v>4</v>
      </c>
      <c r="Q34">
        <f t="shared" si="7"/>
        <v>1.6610432420102588</v>
      </c>
      <c r="R34">
        <f t="shared" si="3"/>
        <v>0.21250132711710112</v>
      </c>
      <c r="S34">
        <f t="shared" si="8"/>
        <v>2.1264554308726402</v>
      </c>
      <c r="U34">
        <f t="shared" si="4"/>
        <v>2.6562665889637641E-2</v>
      </c>
      <c r="V34">
        <f t="shared" si="9"/>
        <v>0.10632277154363201</v>
      </c>
    </row>
    <row r="35" spans="1:30" x14ac:dyDescent="0.25">
      <c r="A35">
        <v>26</v>
      </c>
      <c r="B35" s="6" t="s">
        <v>34</v>
      </c>
      <c r="C35">
        <v>1</v>
      </c>
      <c r="H35" s="6" t="s">
        <v>49</v>
      </c>
      <c r="I35">
        <f>AVERAGE(Raw_data!N31)</f>
        <v>353269</v>
      </c>
      <c r="J35">
        <v>1.5</v>
      </c>
      <c r="K35">
        <f t="shared" si="5"/>
        <v>0.27481105196702449</v>
      </c>
      <c r="M35">
        <f t="shared" si="6"/>
        <v>4.3890132266520665E-2</v>
      </c>
      <c r="P35">
        <f t="shared" si="10"/>
        <v>12</v>
      </c>
      <c r="Q35">
        <f t="shared" si="7"/>
        <v>4.5844485325935542</v>
      </c>
      <c r="R35">
        <f t="shared" si="3"/>
        <v>0.58649972055944855</v>
      </c>
      <c r="S35">
        <f t="shared" si="8"/>
        <v>6.8290517468469973</v>
      </c>
      <c r="U35">
        <f t="shared" si="4"/>
        <v>7.3312465069931068E-2</v>
      </c>
      <c r="V35">
        <f t="shared" si="9"/>
        <v>0.34145258734234984</v>
      </c>
      <c r="X35">
        <f>AVERAGE(U35:U37)</f>
        <v>6.811188751715673E-2</v>
      </c>
      <c r="Y35">
        <f>AVERAGE(V35:V37)</f>
        <v>0.35979320471638959</v>
      </c>
      <c r="AA35">
        <f>(AVERAGE(Q35:Q37)/P35)*100</f>
        <v>35.493673379457952</v>
      </c>
      <c r="AB35">
        <f>(AVERAGE(R35:R37)/P35)*100</f>
        <v>4.5407925011437822</v>
      </c>
      <c r="AC35">
        <f>(AVERAGE(S35:S37)/P35)*100</f>
        <v>59.965534119398257</v>
      </c>
      <c r="AD35">
        <f>SUM(AA35:AC35)</f>
        <v>100</v>
      </c>
    </row>
    <row r="36" spans="1:30" x14ac:dyDescent="0.25">
      <c r="A36">
        <v>27</v>
      </c>
      <c r="B36" s="6" t="s">
        <v>65</v>
      </c>
      <c r="C36">
        <v>0</v>
      </c>
      <c r="H36" s="6" t="s">
        <v>50</v>
      </c>
      <c r="I36">
        <f>AVERAGE(Raw_data!N32)</f>
        <v>328899</v>
      </c>
      <c r="J36">
        <v>1.5</v>
      </c>
      <c r="K36">
        <f t="shared" si="5"/>
        <v>0.25841598653511555</v>
      </c>
      <c r="M36">
        <f t="shared" si="6"/>
        <v>4.1140987678511411E-2</v>
      </c>
      <c r="P36">
        <f t="shared" si="10"/>
        <v>12</v>
      </c>
      <c r="Q36">
        <f t="shared" si="7"/>
        <v>4.2972925997780971</v>
      </c>
      <c r="R36">
        <f t="shared" si="3"/>
        <v>0.54976315930112529</v>
      </c>
      <c r="S36">
        <f t="shared" si="8"/>
        <v>7.1529442409207773</v>
      </c>
      <c r="U36">
        <f t="shared" si="4"/>
        <v>6.8720394912640662E-2</v>
      </c>
      <c r="V36">
        <f t="shared" si="9"/>
        <v>0.35764721204603889</v>
      </c>
    </row>
    <row r="37" spans="1:30" x14ac:dyDescent="0.25">
      <c r="A37">
        <v>28</v>
      </c>
      <c r="B37" s="6" t="s">
        <v>55</v>
      </c>
      <c r="D37">
        <v>0.36899267194880842</v>
      </c>
      <c r="E37">
        <v>0.3754358147982505</v>
      </c>
      <c r="H37" s="6" t="s">
        <v>51</v>
      </c>
      <c r="I37">
        <f>AVERAGE(Raw_data!N33)</f>
        <v>294841</v>
      </c>
      <c r="J37">
        <v>1.5</v>
      </c>
      <c r="K37">
        <f t="shared" si="5"/>
        <v>0.23550326029465785</v>
      </c>
      <c r="M37">
        <f t="shared" si="6"/>
        <v>3.7298953768851208E-2</v>
      </c>
      <c r="P37">
        <f t="shared" si="10"/>
        <v>12</v>
      </c>
      <c r="Q37">
        <f t="shared" si="7"/>
        <v>3.8959812842332129</v>
      </c>
      <c r="R37">
        <f t="shared" si="3"/>
        <v>0.49842242055118785</v>
      </c>
      <c r="S37">
        <f t="shared" si="8"/>
        <v>7.6055962952155989</v>
      </c>
      <c r="U37">
        <f t="shared" si="4"/>
        <v>6.2302802568898481E-2</v>
      </c>
      <c r="V37">
        <f t="shared" si="9"/>
        <v>0.38027981476077993</v>
      </c>
    </row>
    <row r="38" spans="1:30" x14ac:dyDescent="0.25">
      <c r="A38">
        <v>29</v>
      </c>
      <c r="B38" s="6" t="s">
        <v>56</v>
      </c>
      <c r="D38">
        <v>0.36805587578430909</v>
      </c>
      <c r="E38">
        <v>0.37256006478156639</v>
      </c>
      <c r="H38" s="6" t="s">
        <v>52</v>
      </c>
      <c r="I38">
        <f>AVERAGE(Raw_data!N34)</f>
        <v>359561</v>
      </c>
      <c r="J38">
        <v>1.5</v>
      </c>
      <c r="K38">
        <f t="shared" si="5"/>
        <v>0.27904403316101589</v>
      </c>
      <c r="M38">
        <f t="shared" si="6"/>
        <v>4.4599923721085878E-2</v>
      </c>
      <c r="P38">
        <f t="shared" si="10"/>
        <v>12</v>
      </c>
      <c r="Q38">
        <f t="shared" si="7"/>
        <v>4.6585882588666303</v>
      </c>
      <c r="R38">
        <f t="shared" si="3"/>
        <v>0.59598459718798247</v>
      </c>
      <c r="S38">
        <f t="shared" si="8"/>
        <v>6.7454271439453874</v>
      </c>
      <c r="U38">
        <f t="shared" si="4"/>
        <v>7.4498074648497808E-2</v>
      </c>
      <c r="V38">
        <f t="shared" si="9"/>
        <v>0.33727135719726936</v>
      </c>
    </row>
    <row r="39" spans="1:30" x14ac:dyDescent="0.25">
      <c r="B39" s="6"/>
      <c r="H39" s="31" t="s">
        <v>53</v>
      </c>
      <c r="I39" s="1">
        <f>AVERAGE(Raw_data!N36)</f>
        <v>430169</v>
      </c>
      <c r="J39" s="1">
        <v>2.5</v>
      </c>
      <c r="K39" s="1">
        <f>(I39+55216.429)/1486422.857</f>
        <v>0.32654599376898574</v>
      </c>
      <c r="L39" s="1"/>
      <c r="M39">
        <f t="shared" si="6"/>
        <v>5.2565110469963899E-2</v>
      </c>
      <c r="N39" s="1"/>
      <c r="O39" s="1"/>
      <c r="P39" s="1">
        <f t="shared" si="10"/>
        <v>20</v>
      </c>
      <c r="Q39" s="1">
        <f t="shared" si="7"/>
        <v>5.4905745577683049</v>
      </c>
      <c r="R39" s="1">
        <f t="shared" si="3"/>
        <v>0.70242264057442849</v>
      </c>
      <c r="S39" s="1">
        <f t="shared" si="8"/>
        <v>13.807002801657266</v>
      </c>
      <c r="T39" s="1"/>
      <c r="U39" s="1">
        <f t="shared" si="4"/>
        <v>8.7802830071803561E-2</v>
      </c>
      <c r="V39" s="2">
        <f t="shared" si="9"/>
        <v>0.69035014008286333</v>
      </c>
      <c r="X39" s="13">
        <f>AVERAGE(U39:U41)</f>
        <v>9.7307680415424522E-2</v>
      </c>
      <c r="Y39" s="13">
        <f>AVERAGE(V39:V41)</f>
        <v>0.65682985861780463</v>
      </c>
      <c r="AA39">
        <f>(AVERAGE(Q39:Q41)/P39)*100</f>
        <v>30.424706921602557</v>
      </c>
      <c r="AB39">
        <f>(AVERAGE(R39:R41)/P39)*100</f>
        <v>3.892307216616981</v>
      </c>
      <c r="AC39">
        <f>(AVERAGE(S39:S41)/P39)*100</f>
        <v>65.682985861780452</v>
      </c>
      <c r="AD39">
        <f>SUM(AA39:AC39)</f>
        <v>99.999999999999986</v>
      </c>
    </row>
    <row r="40" spans="1:30" x14ac:dyDescent="0.25">
      <c r="A40">
        <v>30</v>
      </c>
      <c r="B40" s="6" t="s">
        <v>57</v>
      </c>
      <c r="D40">
        <v>0.69316095005215661</v>
      </c>
      <c r="E40">
        <v>0.69503200988335279</v>
      </c>
      <c r="H40" s="33" t="s">
        <v>54</v>
      </c>
      <c r="I40" s="13">
        <f>AVERAGE(Raw_data!N37)</f>
        <v>498382</v>
      </c>
      <c r="J40" s="13">
        <v>2.5</v>
      </c>
      <c r="K40" s="13">
        <f t="shared" si="5"/>
        <v>0.37243670358871506</v>
      </c>
      <c r="L40" s="13"/>
      <c r="M40">
        <f t="shared" si="6"/>
        <v>6.0260120719527917E-2</v>
      </c>
      <c r="N40" s="13"/>
      <c r="O40" s="13"/>
      <c r="P40" s="13">
        <f t="shared" si="10"/>
        <v>20</v>
      </c>
      <c r="Q40" s="13">
        <f t="shared" si="7"/>
        <v>6.294340156666161</v>
      </c>
      <c r="R40" s="13">
        <f t="shared" si="3"/>
        <v>0.80525034074324275</v>
      </c>
      <c r="S40" s="13">
        <f t="shared" si="8"/>
        <v>12.900409502590596</v>
      </c>
      <c r="T40" s="13"/>
      <c r="U40" s="13">
        <f t="shared" si="4"/>
        <v>0.10065629259290534</v>
      </c>
      <c r="V40" s="6">
        <f t="shared" si="9"/>
        <v>0.64502047512952987</v>
      </c>
      <c r="X40" s="13"/>
      <c r="Y40" s="13"/>
    </row>
    <row r="41" spans="1:30" x14ac:dyDescent="0.25">
      <c r="A41">
        <v>31</v>
      </c>
      <c r="B41" s="6" t="s">
        <v>58</v>
      </c>
      <c r="D41">
        <v>0.62330609476727017</v>
      </c>
      <c r="E41">
        <v>0.62728690507361273</v>
      </c>
      <c r="H41" s="33" t="s">
        <v>55</v>
      </c>
      <c r="I41" s="13">
        <f>AVERAGE(Raw_data!N41)</f>
        <v>513282</v>
      </c>
      <c r="J41" s="13">
        <v>2.5</v>
      </c>
      <c r="K41" s="13">
        <f t="shared" si="5"/>
        <v>0.38246076903538895</v>
      </c>
      <c r="L41" s="13"/>
      <c r="M41">
        <f t="shared" si="6"/>
        <v>6.194096825179455E-2</v>
      </c>
      <c r="N41" s="13"/>
      <c r="O41" s="13"/>
      <c r="P41" s="13">
        <f t="shared" si="10"/>
        <v>20</v>
      </c>
      <c r="Q41" s="13">
        <f t="shared" si="7"/>
        <v>6.4699094385270683</v>
      </c>
      <c r="R41" s="13">
        <f t="shared" si="3"/>
        <v>0.82771134865251716</v>
      </c>
      <c r="S41" s="13">
        <f t="shared" si="8"/>
        <v>12.702379212820414</v>
      </c>
      <c r="T41" s="13"/>
      <c r="U41" s="13">
        <f t="shared" si="4"/>
        <v>0.10346391858156465</v>
      </c>
      <c r="V41" s="6">
        <f t="shared" si="9"/>
        <v>0.63511896064102069</v>
      </c>
      <c r="X41" s="13"/>
      <c r="Y41" s="13"/>
    </row>
    <row r="42" spans="1:30" x14ac:dyDescent="0.25">
      <c r="A42">
        <v>32</v>
      </c>
      <c r="B42" s="6" t="s">
        <v>59</v>
      </c>
      <c r="D42">
        <v>0.78239338886127452</v>
      </c>
      <c r="E42">
        <v>0.78252494390031768</v>
      </c>
      <c r="H42" s="32" t="s">
        <v>56</v>
      </c>
      <c r="I42" s="4">
        <f>AVERAGE(Raw_data!N42)</f>
        <v>511933</v>
      </c>
      <c r="J42" s="4">
        <v>2.5</v>
      </c>
      <c r="K42" s="4">
        <f t="shared" si="5"/>
        <v>0.38155322109662632</v>
      </c>
      <c r="L42" s="4"/>
      <c r="M42">
        <f t="shared" si="6"/>
        <v>6.1788789505416858E-2</v>
      </c>
      <c r="N42" s="4"/>
      <c r="O42" s="4"/>
      <c r="P42" s="4">
        <f t="shared" si="10"/>
        <v>20</v>
      </c>
      <c r="Q42" s="4">
        <f t="shared" si="7"/>
        <v>6.454013937773353</v>
      </c>
      <c r="R42" s="4">
        <f t="shared" si="3"/>
        <v>0.82567779833912047</v>
      </c>
      <c r="S42" s="4">
        <f t="shared" si="8"/>
        <v>12.720308263887526</v>
      </c>
      <c r="T42" s="4"/>
      <c r="U42" s="4">
        <f t="shared" si="4"/>
        <v>0.10320972479239006</v>
      </c>
      <c r="V42" s="5">
        <f t="shared" si="9"/>
        <v>0.63601541319437627</v>
      </c>
      <c r="X42" s="13"/>
      <c r="Y42" s="13"/>
    </row>
    <row r="43" spans="1:30" x14ac:dyDescent="0.25">
      <c r="A43">
        <v>33</v>
      </c>
      <c r="B43" s="6" t="s">
        <v>60</v>
      </c>
      <c r="D43">
        <v>0.80204041412889027</v>
      </c>
      <c r="E43">
        <v>0.80449826951987791</v>
      </c>
      <c r="H43" s="6" t="s">
        <v>57</v>
      </c>
      <c r="I43">
        <f>AVERAGE(Raw_data!N44)</f>
        <v>980089</v>
      </c>
      <c r="J43">
        <v>5</v>
      </c>
      <c r="K43">
        <f t="shared" si="5"/>
        <v>0.69650801191897971</v>
      </c>
      <c r="M43">
        <f t="shared" si="6"/>
        <v>0.11460079335211608</v>
      </c>
      <c r="P43">
        <f t="shared" si="10"/>
        <v>40</v>
      </c>
      <c r="Q43">
        <f t="shared" si="7"/>
        <v>11.970377207496503</v>
      </c>
      <c r="R43">
        <f t="shared" si="3"/>
        <v>1.5313996519481312</v>
      </c>
      <c r="S43">
        <f t="shared" si="8"/>
        <v>26.498223140555368</v>
      </c>
      <c r="U43">
        <f t="shared" si="4"/>
        <v>0.1914249564935164</v>
      </c>
      <c r="V43">
        <f t="shared" si="9"/>
        <v>1.3249111570277683</v>
      </c>
      <c r="X43">
        <f>AVERAGE(U43:U45,U47:U49)</f>
        <v>0.20713069714748689</v>
      </c>
      <c r="Y43">
        <f>AVERAGE(V43:V45,V47:V49)</f>
        <v>1.2695225050968486</v>
      </c>
      <c r="AA43">
        <f>(AVERAGE(Q43:Q45,Q47:Q49)/P43)*100</f>
        <v>32.381260802207841</v>
      </c>
      <c r="AB43">
        <f>(AVERAGE(R43:R45,R47:R49)/P43)*100</f>
        <v>4.1426139429497377</v>
      </c>
      <c r="AC43">
        <f>(AVERAGE(S43:S45,S47:S49)/P43)*100</f>
        <v>63.47612525484243</v>
      </c>
      <c r="AD43">
        <f>SUM(AA43:AC43)</f>
        <v>100</v>
      </c>
    </row>
    <row r="44" spans="1:30" x14ac:dyDescent="0.25">
      <c r="B44" s="6"/>
      <c r="H44" s="6" t="s">
        <v>58</v>
      </c>
      <c r="I44">
        <f>AVERAGE(Raw_data!N45)</f>
        <v>879497</v>
      </c>
      <c r="J44">
        <v>5</v>
      </c>
      <c r="K44">
        <f t="shared" si="5"/>
        <v>0.62883413330073679</v>
      </c>
      <c r="M44">
        <f t="shared" si="6"/>
        <v>0.10325315476380968</v>
      </c>
      <c r="P44">
        <f t="shared" si="10"/>
        <v>40</v>
      </c>
      <c r="Q44">
        <f t="shared" si="7"/>
        <v>10.785084240989629</v>
      </c>
      <c r="R44">
        <f t="shared" si="3"/>
        <v>1.3797622219072097</v>
      </c>
      <c r="S44">
        <f t="shared" si="8"/>
        <v>27.83515353710316</v>
      </c>
      <c r="U44">
        <f t="shared" si="4"/>
        <v>0.17247027773840121</v>
      </c>
      <c r="V44">
        <f t="shared" si="9"/>
        <v>1.3917576768551581</v>
      </c>
    </row>
    <row r="45" spans="1:30" x14ac:dyDescent="0.25">
      <c r="A45">
        <v>34</v>
      </c>
      <c r="B45" s="6" t="s">
        <v>69</v>
      </c>
      <c r="H45" s="6" t="s">
        <v>59</v>
      </c>
      <c r="I45">
        <f>AVERAGE(Raw_data!N46)</f>
        <v>1108585</v>
      </c>
      <c r="J45">
        <v>5</v>
      </c>
      <c r="K45">
        <f t="shared" si="5"/>
        <v>0.78295447592138312</v>
      </c>
      <c r="M45">
        <f t="shared" si="6"/>
        <v>0.12909624197668879</v>
      </c>
      <c r="P45">
        <f t="shared" si="10"/>
        <v>40</v>
      </c>
      <c r="Q45">
        <f t="shared" si="7"/>
        <v>13.484467841187719</v>
      </c>
      <c r="R45">
        <f t="shared" si="3"/>
        <v>1.7251009722374011</v>
      </c>
      <c r="S45">
        <f t="shared" si="8"/>
        <v>24.790431186574878</v>
      </c>
      <c r="U45">
        <f t="shared" si="4"/>
        <v>0.21563762152967514</v>
      </c>
      <c r="V45">
        <f t="shared" si="9"/>
        <v>1.2395215593287439</v>
      </c>
    </row>
    <row r="46" spans="1:30" x14ac:dyDescent="0.25">
      <c r="B46" s="6"/>
      <c r="H46" s="6" t="s">
        <v>59</v>
      </c>
      <c r="I46">
        <f>AVERAGE(Raw_data!N47)</f>
        <v>1136877</v>
      </c>
      <c r="J46">
        <v>5</v>
      </c>
      <c r="K46">
        <f t="shared" si="5"/>
        <v>0.80198809066079901</v>
      </c>
      <c r="M46">
        <f t="shared" si="6"/>
        <v>0.13228782173392958</v>
      </c>
      <c r="P46">
        <f t="shared" si="10"/>
        <v>40</v>
      </c>
      <c r="Q46">
        <f t="shared" si="7"/>
        <v>13.817837379604418</v>
      </c>
      <c r="R46">
        <f t="shared" si="3"/>
        <v>1.7677497531615081</v>
      </c>
      <c r="S46">
        <f t="shared" si="8"/>
        <v>24.414412867234073</v>
      </c>
      <c r="U46">
        <f t="shared" si="4"/>
        <v>0.22096871914518851</v>
      </c>
      <c r="V46">
        <f t="shared" si="9"/>
        <v>1.2207206433617037</v>
      </c>
    </row>
    <row r="47" spans="1:30" x14ac:dyDescent="0.25">
      <c r="A47">
        <v>1</v>
      </c>
      <c r="B47" s="6" t="s">
        <v>5</v>
      </c>
      <c r="G47" s="29">
        <v>44377</v>
      </c>
      <c r="H47" s="6" t="s">
        <v>162</v>
      </c>
      <c r="I47">
        <f>AVERAGE(Raw_data!N74)</f>
        <v>753379</v>
      </c>
      <c r="J47">
        <v>5</v>
      </c>
      <c r="K47">
        <f>(I47+11337.181)/977611.112</f>
        <v>0.78222942805502804</v>
      </c>
      <c r="L47">
        <f>(I47+648742.658)/6646695.923</f>
        <v>0.21095017347613962</v>
      </c>
      <c r="M47">
        <f t="shared" ref="M47:M54" si="11">(I47+11337.181)/5931445.359</f>
        <v>0.12892577351988382</v>
      </c>
      <c r="N47">
        <f>(I47+648742.658)/19730743.014</f>
        <v>7.1062790539875825E-2</v>
      </c>
      <c r="P47">
        <f t="shared" si="10"/>
        <v>40</v>
      </c>
      <c r="Q47">
        <f>M47*$R$13</f>
        <v>13.466661928416544</v>
      </c>
      <c r="R47">
        <f>(M47/$H$1)*8</f>
        <v>1.7228230182391495</v>
      </c>
      <c r="S47">
        <f>P47-(Q47+R47)</f>
        <v>24.810515053344307</v>
      </c>
      <c r="U47">
        <f t="shared" si="4"/>
        <v>0.21535287727989369</v>
      </c>
      <c r="V47">
        <f t="shared" si="9"/>
        <v>1.2405257526672153</v>
      </c>
    </row>
    <row r="48" spans="1:30" x14ac:dyDescent="0.25">
      <c r="A48">
        <v>2</v>
      </c>
      <c r="B48" s="6" t="s">
        <v>6</v>
      </c>
      <c r="C48">
        <v>0</v>
      </c>
      <c r="H48" s="6"/>
    </row>
    <row r="49" spans="1:30" x14ac:dyDescent="0.25">
      <c r="A49">
        <v>3</v>
      </c>
      <c r="B49" s="6" t="s">
        <v>12</v>
      </c>
      <c r="C49" s="9">
        <v>0.5</v>
      </c>
      <c r="H49" s="6" t="s">
        <v>163</v>
      </c>
      <c r="I49">
        <f>AVERAGE(Raw_data!N75)</f>
        <v>843627</v>
      </c>
      <c r="J49">
        <v>5</v>
      </c>
      <c r="K49">
        <f t="shared" ref="K49:K54" si="12">(I49+11337.181)/977611.112</f>
        <v>0.87454425436195327</v>
      </c>
      <c r="L49">
        <f t="shared" ref="L49:L54" si="13">(I49+648742.658)/6646695.923</f>
        <v>0.22452804751242716</v>
      </c>
      <c r="M49">
        <f t="shared" si="11"/>
        <v>0.14414095203671251</v>
      </c>
      <c r="N49">
        <f t="shared" ref="N49:N54" si="14">(I49+648742.658)/19730743.014</f>
        <v>7.563676932698811E-2</v>
      </c>
      <c r="P49">
        <f t="shared" si="10"/>
        <v>40</v>
      </c>
      <c r="Q49">
        <f t="shared" si="7"/>
        <v>15.055930386325292</v>
      </c>
      <c r="R49">
        <f>(M49/$H$1)*8</f>
        <v>1.926142021567584</v>
      </c>
      <c r="S49">
        <f t="shared" si="8"/>
        <v>23.017927592107124</v>
      </c>
      <c r="U49">
        <f>M49/$H$1</f>
        <v>0.240767752695948</v>
      </c>
      <c r="V49">
        <f t="shared" si="9"/>
        <v>1.1508963796053562</v>
      </c>
    </row>
    <row r="50" spans="1:30" x14ac:dyDescent="0.25">
      <c r="A50">
        <v>4</v>
      </c>
      <c r="B50" s="6" t="s">
        <v>26</v>
      </c>
      <c r="C50" s="9">
        <v>0.5</v>
      </c>
      <c r="H50" s="6"/>
    </row>
    <row r="51" spans="1:30" x14ac:dyDescent="0.25">
      <c r="A51">
        <v>5</v>
      </c>
      <c r="B51" s="6" t="s">
        <v>33</v>
      </c>
      <c r="C51">
        <v>1</v>
      </c>
      <c r="H51" s="6" t="s">
        <v>61</v>
      </c>
      <c r="I51">
        <f>AVERAGE(Raw_data!N77)</f>
        <v>1444733</v>
      </c>
      <c r="J51">
        <v>10</v>
      </c>
      <c r="K51">
        <f t="shared" si="12"/>
        <v>1.4894165615826185</v>
      </c>
      <c r="L51">
        <f t="shared" si="13"/>
        <v>0.31496486107568245</v>
      </c>
      <c r="M51">
        <f t="shared" si="11"/>
        <v>0.2454831989290184</v>
      </c>
      <c r="N51">
        <f t="shared" si="14"/>
        <v>0.10610222111324288</v>
      </c>
      <c r="P51">
        <f t="shared" si="10"/>
        <v>80</v>
      </c>
      <c r="Q51">
        <f t="shared" si="7"/>
        <v>25.641414891906525</v>
      </c>
      <c r="R51">
        <f>(M51/$H$1)*8</f>
        <v>3.2803689608320772</v>
      </c>
      <c r="S51">
        <f t="shared" si="8"/>
        <v>51.078216147261401</v>
      </c>
      <c r="U51">
        <f>M51/$H$1</f>
        <v>0.41004612010400965</v>
      </c>
      <c r="V51">
        <f t="shared" si="9"/>
        <v>2.5539108073630699</v>
      </c>
      <c r="X51">
        <f>AVERAGE(U51:U53)</f>
        <v>0.42517795128842201</v>
      </c>
      <c r="Y51">
        <f>AVERAGE(V51:V53)</f>
        <v>2.5005461333233918</v>
      </c>
      <c r="AA51">
        <f>(AVERAGE(Q51:Q53)/P51)*100</f>
        <v>33.234567154030984</v>
      </c>
      <c r="AB51">
        <f>(AVERAGE(R51:R53)/P51)*100</f>
        <v>4.2517795128842195</v>
      </c>
      <c r="AC51">
        <f>(AVERAGE(S51:S53)/P51)*100</f>
        <v>62.513653333084804</v>
      </c>
      <c r="AD51">
        <f>SUM(AA51:AC51)</f>
        <v>100</v>
      </c>
    </row>
    <row r="52" spans="1:30" x14ac:dyDescent="0.25">
      <c r="A52">
        <v>6</v>
      </c>
      <c r="B52" s="6" t="s">
        <v>34</v>
      </c>
      <c r="C52">
        <v>1</v>
      </c>
      <c r="H52" s="6" t="s">
        <v>62</v>
      </c>
      <c r="I52">
        <f>AVERAGE(Raw_data!N78)</f>
        <v>1345965</v>
      </c>
      <c r="J52">
        <v>10</v>
      </c>
      <c r="K52">
        <f t="shared" si="12"/>
        <v>1.3883866133878398</v>
      </c>
      <c r="L52">
        <f t="shared" si="13"/>
        <v>0.30010514714500203</v>
      </c>
      <c r="M52">
        <f t="shared" si="11"/>
        <v>0.22883160829265933</v>
      </c>
      <c r="N52">
        <f t="shared" si="14"/>
        <v>0.10109642888687213</v>
      </c>
      <c r="P52">
        <f t="shared" si="10"/>
        <v>80</v>
      </c>
      <c r="Q52">
        <f t="shared" si="7"/>
        <v>23.902109122795512</v>
      </c>
      <c r="R52">
        <f>(M52/$H$1)*8</f>
        <v>3.057855317086589</v>
      </c>
      <c r="S52">
        <f t="shared" si="8"/>
        <v>53.0400355601179</v>
      </c>
      <c r="U52">
        <f>M52/$H$1</f>
        <v>0.38223191463582362</v>
      </c>
      <c r="V52">
        <f t="shared" si="9"/>
        <v>2.6520017780058951</v>
      </c>
    </row>
    <row r="53" spans="1:30" x14ac:dyDescent="0.25">
      <c r="A53">
        <v>7</v>
      </c>
      <c r="B53" s="6" t="s">
        <v>72</v>
      </c>
      <c r="C53">
        <v>5</v>
      </c>
      <c r="H53" s="6" t="s">
        <v>63</v>
      </c>
      <c r="I53">
        <f>AVERAGE(Raw_data!N79)</f>
        <v>1704700</v>
      </c>
      <c r="J53">
        <v>10</v>
      </c>
      <c r="K53">
        <f t="shared" si="12"/>
        <v>1.7553372296365635</v>
      </c>
      <c r="L53">
        <f t="shared" si="13"/>
        <v>0.35407707607869149</v>
      </c>
      <c r="M53">
        <f t="shared" si="11"/>
        <v>0.28931180802267592</v>
      </c>
      <c r="N53">
        <f t="shared" si="14"/>
        <v>0.11927795401978064</v>
      </c>
      <c r="P53">
        <f t="shared" si="10"/>
        <v>80</v>
      </c>
      <c r="Q53">
        <f t="shared" si="7"/>
        <v>30.219437154972336</v>
      </c>
      <c r="R53">
        <f>(M53/$H$1)*8</f>
        <v>3.866046553003462</v>
      </c>
      <c r="S53">
        <f t="shared" si="8"/>
        <v>45.914516292024203</v>
      </c>
      <c r="U53">
        <f>M53/$H$1</f>
        <v>0.48325581912543275</v>
      </c>
      <c r="V53">
        <f t="shared" si="9"/>
        <v>2.2957258146012101</v>
      </c>
    </row>
    <row r="54" spans="1:30" x14ac:dyDescent="0.25">
      <c r="A54">
        <v>8</v>
      </c>
      <c r="B54" s="6" t="s">
        <v>73</v>
      </c>
      <c r="C54">
        <v>5</v>
      </c>
      <c r="H54" s="6" t="s">
        <v>64</v>
      </c>
      <c r="I54">
        <f>AVERAGE(Raw_data!N80)</f>
        <v>1679541</v>
      </c>
      <c r="J54">
        <v>10</v>
      </c>
      <c r="K54">
        <f t="shared" si="12"/>
        <v>1.7296020475266449</v>
      </c>
      <c r="L54">
        <f t="shared" si="13"/>
        <v>0.35029188712293674</v>
      </c>
      <c r="M54">
        <f t="shared" si="11"/>
        <v>0.28507017744576679</v>
      </c>
      <c r="N54">
        <f t="shared" si="14"/>
        <v>0.11800283731575442</v>
      </c>
      <c r="P54">
        <f t="shared" si="10"/>
        <v>80</v>
      </c>
      <c r="Q54">
        <f t="shared" si="7"/>
        <v>29.77638683659934</v>
      </c>
      <c r="R54">
        <f>(M54/$H$1)*8</f>
        <v>3.8093660414714603</v>
      </c>
      <c r="S54">
        <f t="shared" si="8"/>
        <v>46.414247121929201</v>
      </c>
      <c r="U54">
        <f>M54/$H$1</f>
        <v>0.47617075518393254</v>
      </c>
      <c r="V54">
        <f t="shared" si="9"/>
        <v>2.3207123560964602</v>
      </c>
    </row>
    <row r="55" spans="1:30" x14ac:dyDescent="0.25">
      <c r="A55">
        <v>9</v>
      </c>
      <c r="B55" s="6" t="s">
        <v>7</v>
      </c>
      <c r="C55">
        <v>0</v>
      </c>
      <c r="Z55" t="s">
        <v>66</v>
      </c>
      <c r="AA55">
        <f>AVERAGE(AA31:AA51)</f>
        <v>34.121799298605609</v>
      </c>
      <c r="AB55">
        <f>AVERAGE(AB31:AB51)</f>
        <v>4.3652852925139438</v>
      </c>
      <c r="AC55">
        <f>AVERAGE(AC31:AC51)</f>
        <v>61.512915408880453</v>
      </c>
      <c r="AD55">
        <f>SUM(AA55:AC55)</f>
        <v>100</v>
      </c>
    </row>
    <row r="56" spans="1:30" x14ac:dyDescent="0.25">
      <c r="B56" s="6"/>
    </row>
    <row r="57" spans="1:30" x14ac:dyDescent="0.25">
      <c r="A57">
        <v>10</v>
      </c>
      <c r="B57" s="6" t="s">
        <v>74</v>
      </c>
      <c r="C57">
        <v>0.5</v>
      </c>
      <c r="D57">
        <v>2.7144947268998494</v>
      </c>
      <c r="E57">
        <v>2.7154187544735913</v>
      </c>
    </row>
    <row r="58" spans="1:30" x14ac:dyDescent="0.25">
      <c r="A58">
        <v>11</v>
      </c>
      <c r="B58" s="6" t="s">
        <v>77</v>
      </c>
      <c r="C58">
        <v>0.75</v>
      </c>
      <c r="D58">
        <v>4.93321606308767</v>
      </c>
      <c r="E58">
        <v>4.9357699354434468</v>
      </c>
    </row>
    <row r="59" spans="1:30" x14ac:dyDescent="0.25">
      <c r="A59">
        <v>12</v>
      </c>
      <c r="B59" s="6" t="s">
        <v>75</v>
      </c>
      <c r="C59">
        <v>1</v>
      </c>
      <c r="D59">
        <v>4.751494443680162</v>
      </c>
      <c r="E59">
        <v>4.737694660382771</v>
      </c>
    </row>
    <row r="60" spans="1:30" x14ac:dyDescent="0.25">
      <c r="A60">
        <v>13</v>
      </c>
      <c r="B60" s="6" t="s">
        <v>76</v>
      </c>
      <c r="C60">
        <v>2.5</v>
      </c>
      <c r="D60">
        <v>16.622002239237435</v>
      </c>
      <c r="E60">
        <v>16.606997378234038</v>
      </c>
    </row>
    <row r="61" spans="1:30" x14ac:dyDescent="0.25">
      <c r="A61">
        <v>14</v>
      </c>
      <c r="B61" s="6" t="s">
        <v>35</v>
      </c>
      <c r="C61">
        <v>0</v>
      </c>
    </row>
    <row r="62" spans="1:30" x14ac:dyDescent="0.25">
      <c r="B62" s="6"/>
    </row>
    <row r="63" spans="1:30" x14ac:dyDescent="0.25">
      <c r="A63">
        <v>15</v>
      </c>
      <c r="B63" s="6" t="s">
        <v>57</v>
      </c>
      <c r="D63">
        <v>0.78470062608662339</v>
      </c>
      <c r="E63">
        <v>0.78616401825148186</v>
      </c>
    </row>
    <row r="64" spans="1:30" x14ac:dyDescent="0.25">
      <c r="A64">
        <v>16</v>
      </c>
      <c r="B64" s="6" t="s">
        <v>59</v>
      </c>
      <c r="D64">
        <v>0.87694539349662148</v>
      </c>
      <c r="E64">
        <v>0.87719267475020701</v>
      </c>
    </row>
    <row r="65" spans="1:5" x14ac:dyDescent="0.25">
      <c r="B65" s="6"/>
    </row>
    <row r="66" spans="1:5" x14ac:dyDescent="0.25">
      <c r="A66">
        <v>17</v>
      </c>
      <c r="B66" s="6" t="s">
        <v>61</v>
      </c>
      <c r="D66">
        <v>1.4913510662955125</v>
      </c>
      <c r="E66">
        <v>1.4929827172148438</v>
      </c>
    </row>
    <row r="67" spans="1:5" x14ac:dyDescent="0.25">
      <c r="A67">
        <v>18</v>
      </c>
      <c r="B67" s="6" t="s">
        <v>62</v>
      </c>
      <c r="D67">
        <v>1.3903977910146121</v>
      </c>
      <c r="E67">
        <v>1.3905439774812631</v>
      </c>
    </row>
    <row r="68" spans="1:5" x14ac:dyDescent="0.25">
      <c r="A68">
        <v>19</v>
      </c>
      <c r="B68" s="6" t="s">
        <v>63</v>
      </c>
      <c r="D68">
        <v>1.757069923769085</v>
      </c>
      <c r="E68">
        <v>1.7578660887166317</v>
      </c>
    </row>
    <row r="69" spans="1:5" x14ac:dyDescent="0.25">
      <c r="A69">
        <v>20</v>
      </c>
      <c r="B69" s="6" t="s">
        <v>64</v>
      </c>
      <c r="D69">
        <v>1.7313542724164994</v>
      </c>
      <c r="E69">
        <v>1.7289854039835513</v>
      </c>
    </row>
    <row r="70" spans="1:5" x14ac:dyDescent="0.25">
      <c r="B70" s="6"/>
    </row>
    <row r="71" spans="1:5" x14ac:dyDescent="0.25">
      <c r="B71" s="6"/>
    </row>
    <row r="72" spans="1:5" x14ac:dyDescent="0.25">
      <c r="A72">
        <v>21</v>
      </c>
      <c r="B72" s="6" t="s">
        <v>78</v>
      </c>
      <c r="C72">
        <v>0.5</v>
      </c>
      <c r="D72">
        <v>2.9559309527432545</v>
      </c>
      <c r="E72">
        <v>2.9574286892301953</v>
      </c>
    </row>
    <row r="73" spans="1:5" x14ac:dyDescent="0.25">
      <c r="A73">
        <v>22</v>
      </c>
      <c r="B73" s="6" t="s">
        <v>81</v>
      </c>
      <c r="C73">
        <v>0.75</v>
      </c>
      <c r="D73">
        <v>5.1825001672682571</v>
      </c>
      <c r="E73">
        <v>5.1817146995863927</v>
      </c>
    </row>
    <row r="74" spans="1:5" x14ac:dyDescent="0.25">
      <c r="A74">
        <v>23</v>
      </c>
      <c r="B74" s="6" t="s">
        <v>79</v>
      </c>
      <c r="C74">
        <v>1</v>
      </c>
      <c r="D74">
        <v>5.8820928320254344</v>
      </c>
      <c r="E74">
        <v>5.8798472703626175</v>
      </c>
    </row>
    <row r="75" spans="1:5" x14ac:dyDescent="0.25">
      <c r="A75">
        <v>24</v>
      </c>
      <c r="B75" s="6" t="s">
        <v>80</v>
      </c>
      <c r="C75">
        <v>2.5</v>
      </c>
      <c r="D75">
        <v>16.311405946719283</v>
      </c>
      <c r="E75">
        <v>16.304045223908542</v>
      </c>
    </row>
    <row r="76" spans="1:5" x14ac:dyDescent="0.25">
      <c r="A76">
        <v>25</v>
      </c>
      <c r="B76" s="6" t="s">
        <v>65</v>
      </c>
      <c r="C76">
        <v>0</v>
      </c>
      <c r="D76">
        <v>1.465286185276835E-2</v>
      </c>
    </row>
  </sheetData>
  <pageMargins left="0.7" right="0.7" top="0.78740157499999996" bottom="0.78740157499999996" header="0.3" footer="0.3"/>
  <pageSetup paperSize="9" orientation="portrait" r:id="rId1"/>
  <ignoredErrors>
    <ignoredError sqref="I6:I7 I9:I15 I47 I4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759D-EEC8-4B0D-B72E-FEB992818F22}">
  <dimension ref="A1:L72"/>
  <sheetViews>
    <sheetView zoomScale="85" zoomScaleNormal="85" workbookViewId="0">
      <selection activeCell="F53" sqref="F53"/>
    </sheetView>
  </sheetViews>
  <sheetFormatPr baseColWidth="10" defaultRowHeight="15" x14ac:dyDescent="0.25"/>
  <cols>
    <col min="1" max="1" width="21.85546875" bestFit="1" customWidth="1"/>
    <col min="3" max="3" width="23.5703125" bestFit="1" customWidth="1"/>
    <col min="5" max="5" width="12.140625" bestFit="1" customWidth="1"/>
    <col min="9" max="9" width="14.28515625" bestFit="1" customWidth="1"/>
  </cols>
  <sheetData>
    <row r="1" spans="1:7" x14ac:dyDescent="0.25">
      <c r="C1" t="s">
        <v>158</v>
      </c>
      <c r="D1" t="s">
        <v>153</v>
      </c>
      <c r="E1" t="s">
        <v>154</v>
      </c>
      <c r="F1" t="s">
        <v>168</v>
      </c>
      <c r="G1" t="s">
        <v>169</v>
      </c>
    </row>
    <row r="2" spans="1:7" x14ac:dyDescent="0.25">
      <c r="A2" t="s">
        <v>147</v>
      </c>
      <c r="B2">
        <v>106</v>
      </c>
      <c r="D2" t="s">
        <v>151</v>
      </c>
      <c r="E2" t="s">
        <v>152</v>
      </c>
    </row>
    <row r="3" spans="1:7" x14ac:dyDescent="0.25">
      <c r="A3" s="28" t="s">
        <v>148</v>
      </c>
      <c r="D3">
        <v>0</v>
      </c>
      <c r="E3">
        <f t="shared" ref="E3:E19" si="0">$B$9*D3</f>
        <v>0</v>
      </c>
      <c r="F3">
        <f>$B$10*D3</f>
        <v>0</v>
      </c>
      <c r="G3">
        <f>$B$11*D3</f>
        <v>0</v>
      </c>
    </row>
    <row r="4" spans="1:7" x14ac:dyDescent="0.25">
      <c r="A4" t="s">
        <v>155</v>
      </c>
      <c r="B4">
        <v>2.85</v>
      </c>
      <c r="D4">
        <v>0.05</v>
      </c>
      <c r="E4">
        <f>$B$9*D4</f>
        <v>0.15105000000000002</v>
      </c>
      <c r="F4">
        <f>$B$10*D4</f>
        <v>0.50508999999999993</v>
      </c>
      <c r="G4">
        <f>$B$11*D4</f>
        <v>4.3459999999999999E-2</v>
      </c>
    </row>
    <row r="5" spans="1:7" x14ac:dyDescent="0.25">
      <c r="A5" t="s">
        <v>156</v>
      </c>
      <c r="B5">
        <v>9.5299999999999994</v>
      </c>
      <c r="D5">
        <v>0.1</v>
      </c>
      <c r="E5">
        <f>$B$9*D5</f>
        <v>0.30210000000000004</v>
      </c>
      <c r="F5">
        <f t="shared" ref="F5:F19" si="1">$B$10*D5</f>
        <v>1.0101799999999999</v>
      </c>
      <c r="G5">
        <f t="shared" ref="G5:G19" si="2">$B$11*D5</f>
        <v>8.6919999999999997E-2</v>
      </c>
    </row>
    <row r="6" spans="1:7" x14ac:dyDescent="0.25">
      <c r="A6" t="s">
        <v>157</v>
      </c>
      <c r="B6">
        <v>0.82</v>
      </c>
      <c r="D6">
        <v>0.15</v>
      </c>
      <c r="E6">
        <f t="shared" si="0"/>
        <v>0.45314999999999994</v>
      </c>
      <c r="F6">
        <f t="shared" si="1"/>
        <v>1.5152699999999999</v>
      </c>
      <c r="G6">
        <f t="shared" si="2"/>
        <v>0.13037999999999997</v>
      </c>
    </row>
    <row r="7" spans="1:7" x14ac:dyDescent="0.25">
      <c r="D7">
        <v>0.2</v>
      </c>
      <c r="E7">
        <f t="shared" si="0"/>
        <v>0.60420000000000007</v>
      </c>
      <c r="F7">
        <f>$B$10*D7</f>
        <v>2.0203599999999997</v>
      </c>
      <c r="G7">
        <f t="shared" si="2"/>
        <v>0.17383999999999999</v>
      </c>
    </row>
    <row r="8" spans="1:7" x14ac:dyDescent="0.25">
      <c r="A8" s="28" t="s">
        <v>149</v>
      </c>
      <c r="B8" t="s">
        <v>150</v>
      </c>
      <c r="D8">
        <v>0.25</v>
      </c>
      <c r="E8">
        <f t="shared" si="0"/>
        <v>0.75524999999999998</v>
      </c>
      <c r="F8">
        <f t="shared" si="1"/>
        <v>2.5254499999999998</v>
      </c>
      <c r="G8">
        <f t="shared" si="2"/>
        <v>0.21729999999999997</v>
      </c>
    </row>
    <row r="9" spans="1:7" x14ac:dyDescent="0.25">
      <c r="A9" t="s">
        <v>155</v>
      </c>
      <c r="B9">
        <f>B2*(B4/100)</f>
        <v>3.0209999999999999</v>
      </c>
      <c r="D9">
        <v>0.3</v>
      </c>
      <c r="E9">
        <f t="shared" si="0"/>
        <v>0.90629999999999988</v>
      </c>
      <c r="F9">
        <f t="shared" si="1"/>
        <v>3.0305399999999998</v>
      </c>
      <c r="G9">
        <f t="shared" si="2"/>
        <v>0.26075999999999994</v>
      </c>
    </row>
    <row r="10" spans="1:7" x14ac:dyDescent="0.25">
      <c r="A10" t="s">
        <v>156</v>
      </c>
      <c r="B10">
        <f>B2*(B5/100)</f>
        <v>10.101799999999999</v>
      </c>
      <c r="D10">
        <v>0.35</v>
      </c>
      <c r="E10">
        <f t="shared" si="0"/>
        <v>1.0573499999999998</v>
      </c>
      <c r="F10">
        <f t="shared" si="1"/>
        <v>3.5356299999999994</v>
      </c>
      <c r="G10">
        <f t="shared" si="2"/>
        <v>0.30421999999999993</v>
      </c>
    </row>
    <row r="11" spans="1:7" x14ac:dyDescent="0.25">
      <c r="A11" t="s">
        <v>157</v>
      </c>
      <c r="B11">
        <f>B2*(B6/100)</f>
        <v>0.86919999999999986</v>
      </c>
      <c r="D11">
        <v>0.4</v>
      </c>
      <c r="E11">
        <f t="shared" si="0"/>
        <v>1.2084000000000001</v>
      </c>
      <c r="F11">
        <f t="shared" si="1"/>
        <v>4.0407199999999994</v>
      </c>
      <c r="G11">
        <f t="shared" si="2"/>
        <v>0.34767999999999999</v>
      </c>
    </row>
    <row r="12" spans="1:7" x14ac:dyDescent="0.25">
      <c r="D12">
        <v>0.45</v>
      </c>
      <c r="E12">
        <f t="shared" si="0"/>
        <v>1.35945</v>
      </c>
      <c r="F12">
        <f t="shared" si="1"/>
        <v>4.5458099999999995</v>
      </c>
      <c r="G12">
        <f t="shared" si="2"/>
        <v>0.39113999999999993</v>
      </c>
    </row>
    <row r="13" spans="1:7" x14ac:dyDescent="0.25">
      <c r="D13">
        <v>0.5</v>
      </c>
      <c r="E13">
        <f t="shared" si="0"/>
        <v>1.5105</v>
      </c>
      <c r="F13">
        <f t="shared" si="1"/>
        <v>5.0508999999999995</v>
      </c>
      <c r="G13">
        <f t="shared" si="2"/>
        <v>0.43459999999999993</v>
      </c>
    </row>
    <row r="14" spans="1:7" x14ac:dyDescent="0.25">
      <c r="A14" t="s">
        <v>177</v>
      </c>
      <c r="B14" t="s">
        <v>147</v>
      </c>
      <c r="D14">
        <v>0.55000000000000004</v>
      </c>
      <c r="E14">
        <f t="shared" si="0"/>
        <v>1.6615500000000001</v>
      </c>
      <c r="F14">
        <f t="shared" si="1"/>
        <v>5.5559899999999995</v>
      </c>
      <c r="G14">
        <f t="shared" si="2"/>
        <v>0.47805999999999998</v>
      </c>
    </row>
    <row r="15" spans="1:7" x14ac:dyDescent="0.25">
      <c r="A15" t="s">
        <v>178</v>
      </c>
      <c r="B15">
        <v>106.8</v>
      </c>
      <c r="D15">
        <v>0.6</v>
      </c>
      <c r="E15">
        <f t="shared" si="0"/>
        <v>1.8125999999999998</v>
      </c>
      <c r="F15">
        <f t="shared" si="1"/>
        <v>6.0610799999999996</v>
      </c>
      <c r="G15">
        <f t="shared" si="2"/>
        <v>0.52151999999999987</v>
      </c>
    </row>
    <row r="16" spans="1:7" x14ac:dyDescent="0.25">
      <c r="A16" t="s">
        <v>179</v>
      </c>
      <c r="B16">
        <v>155</v>
      </c>
      <c r="D16">
        <v>0.65</v>
      </c>
      <c r="E16">
        <f t="shared" si="0"/>
        <v>1.9636500000000001</v>
      </c>
      <c r="F16">
        <f t="shared" si="1"/>
        <v>6.5661699999999996</v>
      </c>
      <c r="G16">
        <f t="shared" si="2"/>
        <v>0.56497999999999993</v>
      </c>
    </row>
    <row r="17" spans="1:12" x14ac:dyDescent="0.25">
      <c r="A17" t="s">
        <v>180</v>
      </c>
      <c r="B17">
        <v>265</v>
      </c>
      <c r="D17">
        <v>0.7</v>
      </c>
      <c r="E17">
        <f t="shared" si="0"/>
        <v>2.1146999999999996</v>
      </c>
      <c r="F17">
        <f t="shared" si="1"/>
        <v>7.0712599999999988</v>
      </c>
      <c r="G17">
        <f t="shared" si="2"/>
        <v>0.60843999999999987</v>
      </c>
    </row>
    <row r="18" spans="1:12" x14ac:dyDescent="0.25">
      <c r="A18" t="s">
        <v>181</v>
      </c>
      <c r="B18">
        <v>66</v>
      </c>
      <c r="D18">
        <v>0.75</v>
      </c>
      <c r="E18">
        <f t="shared" si="0"/>
        <v>2.2657499999999997</v>
      </c>
      <c r="F18">
        <f t="shared" si="1"/>
        <v>7.5763499999999997</v>
      </c>
      <c r="G18">
        <f t="shared" si="2"/>
        <v>0.65189999999999992</v>
      </c>
    </row>
    <row r="19" spans="1:12" x14ac:dyDescent="0.25">
      <c r="A19" t="s">
        <v>182</v>
      </c>
      <c r="B19">
        <v>437</v>
      </c>
      <c r="D19">
        <v>0.8</v>
      </c>
      <c r="E19">
        <f t="shared" si="0"/>
        <v>2.4168000000000003</v>
      </c>
      <c r="F19">
        <f t="shared" si="1"/>
        <v>8.0814399999999988</v>
      </c>
      <c r="G19">
        <f t="shared" si="2"/>
        <v>0.69535999999999998</v>
      </c>
    </row>
    <row r="24" spans="1:12" x14ac:dyDescent="0.25">
      <c r="C24" t="s">
        <v>159</v>
      </c>
    </row>
    <row r="25" spans="1:12" x14ac:dyDescent="0.25">
      <c r="C25" t="s">
        <v>170</v>
      </c>
      <c r="E25" t="s">
        <v>155</v>
      </c>
      <c r="I25" t="s">
        <v>174</v>
      </c>
    </row>
    <row r="26" spans="1:12" x14ac:dyDescent="0.25">
      <c r="D26" t="s">
        <v>160</v>
      </c>
      <c r="E26" t="s">
        <v>161</v>
      </c>
      <c r="F26" t="s">
        <v>207</v>
      </c>
      <c r="I26" t="s">
        <v>175</v>
      </c>
      <c r="J26" t="s">
        <v>155</v>
      </c>
      <c r="K26" t="s">
        <v>156</v>
      </c>
      <c r="L26" t="s">
        <v>157</v>
      </c>
    </row>
    <row r="27" spans="1:12" x14ac:dyDescent="0.25">
      <c r="C27" s="31" t="s">
        <v>164</v>
      </c>
      <c r="D27" s="1">
        <v>1.3787112414929137E-2</v>
      </c>
      <c r="E27" s="2">
        <v>0</v>
      </c>
      <c r="F27">
        <f>E27/D27</f>
        <v>0</v>
      </c>
      <c r="I27" t="s">
        <v>149</v>
      </c>
      <c r="J27">
        <v>0.95909999999999995</v>
      </c>
      <c r="K27">
        <v>18.440999999999999</v>
      </c>
      <c r="L27">
        <v>1.4031</v>
      </c>
    </row>
    <row r="28" spans="1:12" x14ac:dyDescent="0.25">
      <c r="C28" s="33" t="s">
        <v>165</v>
      </c>
      <c r="D28" s="13">
        <v>1.3787112414929137E-2</v>
      </c>
      <c r="E28" s="6">
        <v>0</v>
      </c>
      <c r="F28">
        <f t="shared" ref="F28:F52" si="3">E28/D28</f>
        <v>0</v>
      </c>
      <c r="I28" t="s">
        <v>176</v>
      </c>
      <c r="J28">
        <f>LOG(J27)</f>
        <v>-1.8136109008649624E-2</v>
      </c>
      <c r="K28">
        <f>LOG(K27)</f>
        <v>1.2657844678405199</v>
      </c>
      <c r="L28">
        <f>LOG(L27)</f>
        <v>0.14708862462816655</v>
      </c>
    </row>
    <row r="29" spans="1:12" x14ac:dyDescent="0.25">
      <c r="C29" s="33" t="s">
        <v>166</v>
      </c>
      <c r="D29" s="13">
        <v>1.3787112414929137E-2</v>
      </c>
      <c r="E29" s="6">
        <v>0</v>
      </c>
      <c r="F29">
        <f t="shared" si="3"/>
        <v>0</v>
      </c>
      <c r="I29" t="s">
        <v>147</v>
      </c>
      <c r="J29">
        <f>(J27*100)/B4</f>
        <v>33.652631578947364</v>
      </c>
      <c r="K29">
        <f>(K27*100)/B5</f>
        <v>193.50472193074501</v>
      </c>
      <c r="L29">
        <f>(L27*100)/B6</f>
        <v>171.10975609756099</v>
      </c>
    </row>
    <row r="30" spans="1:12" x14ac:dyDescent="0.25">
      <c r="C30" s="32" t="s">
        <v>167</v>
      </c>
      <c r="D30" s="4">
        <v>1.3787112414929137E-2</v>
      </c>
      <c r="E30" s="5">
        <v>0</v>
      </c>
      <c r="F30">
        <f t="shared" si="3"/>
        <v>0</v>
      </c>
      <c r="I30" t="s">
        <v>173</v>
      </c>
      <c r="J30">
        <f>LOG(J29)</f>
        <v>1.5270190309828402</v>
      </c>
      <c r="K30">
        <f>LOG(K29)</f>
        <v>2.2866915672021935</v>
      </c>
      <c r="L30">
        <f>LOG(L29)</f>
        <v>2.2332747722444499</v>
      </c>
    </row>
    <row r="31" spans="1:12" x14ac:dyDescent="0.25">
      <c r="C31" s="31" t="s">
        <v>40</v>
      </c>
      <c r="D31" s="1">
        <v>4.7534316035598885E-2</v>
      </c>
      <c r="E31" s="2">
        <v>3.2363099348356197E-2</v>
      </c>
      <c r="F31">
        <f t="shared" si="3"/>
        <v>0.68083654183893538</v>
      </c>
    </row>
    <row r="32" spans="1:12" x14ac:dyDescent="0.25">
      <c r="C32" s="33" t="s">
        <v>41</v>
      </c>
      <c r="D32" s="13">
        <v>5.7849310096339514E-2</v>
      </c>
      <c r="E32" s="6">
        <v>0</v>
      </c>
      <c r="F32">
        <f t="shared" si="3"/>
        <v>0</v>
      </c>
    </row>
    <row r="33" spans="3:6" x14ac:dyDescent="0.25">
      <c r="C33" s="33" t="s">
        <v>42</v>
      </c>
      <c r="D33" s="13">
        <v>4.787515797801592E-2</v>
      </c>
      <c r="E33" s="6">
        <v>3.1161069076245253E-2</v>
      </c>
      <c r="F33">
        <f t="shared" si="3"/>
        <v>0.65088180159226405</v>
      </c>
    </row>
    <row r="34" spans="3:6" x14ac:dyDescent="0.25">
      <c r="C34" s="32" t="s">
        <v>43</v>
      </c>
      <c r="D34" s="4">
        <v>5.4291074270360999E-2</v>
      </c>
      <c r="E34" s="5">
        <v>8.5343772083401829E-3</v>
      </c>
      <c r="F34">
        <f t="shared" si="3"/>
        <v>0.15719669067221489</v>
      </c>
    </row>
    <row r="35" spans="3:6" x14ac:dyDescent="0.25">
      <c r="C35" s="31" t="s">
        <v>49</v>
      </c>
      <c r="D35" s="1">
        <v>0.14984235778862823</v>
      </c>
      <c r="E35" s="2">
        <v>7.1558433128428509E-2</v>
      </c>
      <c r="F35">
        <f t="shared" si="3"/>
        <v>0.47755810963259676</v>
      </c>
    </row>
    <row r="36" spans="3:6" x14ac:dyDescent="0.25">
      <c r="C36" s="33" t="s">
        <v>50</v>
      </c>
      <c r="D36" s="13">
        <v>0.14045668757766422</v>
      </c>
      <c r="E36" s="6">
        <v>0.10465840796610468</v>
      </c>
      <c r="F36">
        <f t="shared" si="3"/>
        <v>0.74512940445242082</v>
      </c>
    </row>
    <row r="37" spans="3:6" x14ac:dyDescent="0.25">
      <c r="C37" s="33" t="s">
        <v>51</v>
      </c>
      <c r="D37" s="13">
        <v>0.12733985721061405</v>
      </c>
      <c r="E37" s="6">
        <v>0.15091687916108104</v>
      </c>
      <c r="F37">
        <f t="shared" si="3"/>
        <v>1.1851503721373875</v>
      </c>
    </row>
    <row r="38" spans="3:6" x14ac:dyDescent="0.25">
      <c r="C38" s="32" t="s">
        <v>52</v>
      </c>
      <c r="D38" s="4">
        <v>0.15226560920296495</v>
      </c>
      <c r="E38" s="5">
        <v>6.3012473272923586E-2</v>
      </c>
      <c r="F38">
        <f t="shared" si="3"/>
        <v>0.41383260214018569</v>
      </c>
    </row>
    <row r="39" spans="3:6" x14ac:dyDescent="0.25">
      <c r="C39" s="31" t="s">
        <v>53</v>
      </c>
      <c r="D39" s="1">
        <v>0.17945901922576951</v>
      </c>
      <c r="E39" s="2">
        <v>0.36711083095291386</v>
      </c>
      <c r="F39">
        <f t="shared" si="3"/>
        <v>2.0456527208090214</v>
      </c>
    </row>
    <row r="40" spans="3:6" x14ac:dyDescent="0.25">
      <c r="C40" s="33" t="s">
        <v>54</v>
      </c>
      <c r="D40" s="13">
        <v>0.20573003777728727</v>
      </c>
      <c r="E40" s="6">
        <v>0.27446214061223273</v>
      </c>
      <c r="F40">
        <f t="shared" si="3"/>
        <v>1.3340888067563148</v>
      </c>
    </row>
    <row r="41" spans="3:6" x14ac:dyDescent="0.25">
      <c r="C41" s="33" t="s">
        <v>55</v>
      </c>
      <c r="D41" s="13">
        <v>0.21146850663831987</v>
      </c>
      <c r="E41" s="6">
        <v>0.25422456879929156</v>
      </c>
      <c r="F41">
        <f t="shared" si="3"/>
        <v>1.2021864288004762</v>
      </c>
    </row>
    <row r="42" spans="3:6" x14ac:dyDescent="0.25">
      <c r="C42" s="33" t="s">
        <v>56</v>
      </c>
      <c r="D42" s="13">
        <v>0.21094896338372029</v>
      </c>
      <c r="E42" s="6">
        <v>0.25605681607282571</v>
      </c>
      <c r="F42">
        <f t="shared" si="3"/>
        <v>1.2138330142303346</v>
      </c>
    </row>
    <row r="43" spans="3:6" x14ac:dyDescent="0.25">
      <c r="C43" s="31" t="s">
        <v>57</v>
      </c>
      <c r="D43" s="1">
        <v>0.39125088473308717</v>
      </c>
      <c r="E43" s="2">
        <v>0.62019502616280919</v>
      </c>
      <c r="F43">
        <f t="shared" si="3"/>
        <v>1.5851594216481033</v>
      </c>
    </row>
    <row r="44" spans="3:6" x14ac:dyDescent="0.25">
      <c r="C44" s="33" t="s">
        <v>58</v>
      </c>
      <c r="D44" s="13">
        <v>0.35250967267476574</v>
      </c>
      <c r="E44" s="6">
        <v>0.75682172574719642</v>
      </c>
      <c r="F44">
        <f t="shared" si="3"/>
        <v>2.146953075087557</v>
      </c>
    </row>
    <row r="45" spans="3:6" x14ac:dyDescent="0.25">
      <c r="C45" s="33" t="s">
        <v>162</v>
      </c>
      <c r="D45" s="13">
        <v>0.44015683903301672</v>
      </c>
      <c r="E45" s="6">
        <v>0.44772083728184919</v>
      </c>
      <c r="F45">
        <f t="shared" si="3"/>
        <v>1.0171847795559643</v>
      </c>
    </row>
    <row r="46" spans="3:6" x14ac:dyDescent="0.25">
      <c r="C46" s="33" t="s">
        <v>59</v>
      </c>
      <c r="D46" s="13">
        <v>0.44073882397921077</v>
      </c>
      <c r="E46" s="6">
        <v>0.44566838001007908</v>
      </c>
      <c r="F46">
        <f t="shared" si="3"/>
        <v>1.0111847556027895</v>
      </c>
    </row>
    <row r="47" spans="3:6" x14ac:dyDescent="0.25">
      <c r="C47" s="33" t="s">
        <v>59</v>
      </c>
      <c r="D47" s="13">
        <v>0.45163498243668282</v>
      </c>
      <c r="E47" s="6">
        <v>0.4072414416388222</v>
      </c>
      <c r="F47">
        <f t="shared" si="3"/>
        <v>0.9017048224246349</v>
      </c>
    </row>
    <row r="48" spans="3:6" x14ac:dyDescent="0.25">
      <c r="C48" s="32" t="s">
        <v>163</v>
      </c>
      <c r="D48" s="4">
        <v>0.49210195984516764</v>
      </c>
      <c r="E48" s="5">
        <v>0.26452857150058229</v>
      </c>
      <c r="F48">
        <f t="shared" si="3"/>
        <v>0.53754829910413715</v>
      </c>
    </row>
    <row r="49" spans="3:7" x14ac:dyDescent="0.25">
      <c r="C49" s="33" t="s">
        <v>61</v>
      </c>
      <c r="D49" s="13">
        <v>0.83808773006621196</v>
      </c>
      <c r="E49" s="6">
        <v>1.0443578185230713</v>
      </c>
      <c r="F49">
        <f t="shared" si="3"/>
        <v>1.2461199240329688</v>
      </c>
    </row>
    <row r="50" spans="3:7" x14ac:dyDescent="0.25">
      <c r="C50" s="33" t="s">
        <v>62</v>
      </c>
      <c r="D50" s="13">
        <v>0.78123865094673539</v>
      </c>
      <c r="E50" s="6">
        <v>1.2448446293851863</v>
      </c>
      <c r="F50">
        <f t="shared" si="3"/>
        <v>1.5934242729499304</v>
      </c>
    </row>
    <row r="51" spans="3:7" x14ac:dyDescent="0.25">
      <c r="C51" s="33" t="s">
        <v>63</v>
      </c>
      <c r="D51" s="13">
        <v>0.98772004570946659</v>
      </c>
      <c r="E51" s="6">
        <v>0.51665699680559596</v>
      </c>
      <c r="F51">
        <f t="shared" si="3"/>
        <v>0.52308040021045421</v>
      </c>
    </row>
    <row r="52" spans="3:7" x14ac:dyDescent="0.25">
      <c r="C52" s="32" t="s">
        <v>64</v>
      </c>
      <c r="D52" s="4">
        <v>0.97323897915383206</v>
      </c>
      <c r="E52" s="5">
        <v>0.56772665169867831</v>
      </c>
      <c r="F52">
        <f t="shared" si="3"/>
        <v>0.58333735481112736</v>
      </c>
    </row>
    <row r="53" spans="3:7" x14ac:dyDescent="0.25">
      <c r="F53">
        <f>AVERAGE(F31,F33:F52)</f>
        <v>1.0120020761185629</v>
      </c>
      <c r="G53" t="s">
        <v>66</v>
      </c>
    </row>
    <row r="55" spans="3:7" x14ac:dyDescent="0.25">
      <c r="C55" t="s">
        <v>159</v>
      </c>
    </row>
    <row r="56" spans="3:7" x14ac:dyDescent="0.25">
      <c r="C56" t="s">
        <v>183</v>
      </c>
      <c r="E56" t="s">
        <v>155</v>
      </c>
    </row>
    <row r="57" spans="3:7" x14ac:dyDescent="0.25">
      <c r="D57" t="s">
        <v>160</v>
      </c>
      <c r="E57" t="s">
        <v>161</v>
      </c>
      <c r="F57" t="s">
        <v>207</v>
      </c>
    </row>
    <row r="58" spans="3:7" x14ac:dyDescent="0.25">
      <c r="C58" s="81" t="s">
        <v>171</v>
      </c>
      <c r="D58" s="81">
        <f>AVERAGE(D27:D28)</f>
        <v>1.3787112414929137E-2</v>
      </c>
      <c r="E58" s="2">
        <f>AVERAGE(E27:E28)</f>
        <v>0</v>
      </c>
      <c r="F58">
        <f t="shared" ref="F58:F71" si="4">E58/D58</f>
        <v>0</v>
      </c>
    </row>
    <row r="59" spans="3:7" x14ac:dyDescent="0.25">
      <c r="C59" s="3" t="s">
        <v>172</v>
      </c>
      <c r="D59" s="3">
        <f>AVERAGE(D29:D30)</f>
        <v>1.3787112414929137E-2</v>
      </c>
      <c r="E59" s="5">
        <f>AVERAGE(E29:E30)</f>
        <v>0</v>
      </c>
      <c r="F59">
        <f t="shared" si="4"/>
        <v>0</v>
      </c>
    </row>
    <row r="60" spans="3:7" x14ac:dyDescent="0.25">
      <c r="C60" s="82" t="s">
        <v>104</v>
      </c>
      <c r="D60" s="82">
        <f>AVERAGE(D31:D32)</f>
        <v>5.2691813065969199E-2</v>
      </c>
      <c r="E60" s="6">
        <f>AVERAGE(E31:E32)</f>
        <v>1.6181549674178099E-2</v>
      </c>
      <c r="F60">
        <f t="shared" si="4"/>
        <v>0.30709798605561534</v>
      </c>
    </row>
    <row r="61" spans="3:7" x14ac:dyDescent="0.25">
      <c r="C61" s="82" t="s">
        <v>105</v>
      </c>
      <c r="D61" s="82">
        <f>AVERAGE(D33:D34)</f>
        <v>5.1083116124188463E-2</v>
      </c>
      <c r="E61" s="6">
        <f>AVERAGE(E33:E34)</f>
        <v>1.9847723142292717E-2</v>
      </c>
      <c r="F61">
        <f t="shared" si="4"/>
        <v>0.38853783105245188</v>
      </c>
    </row>
    <row r="62" spans="3:7" x14ac:dyDescent="0.25">
      <c r="C62" s="81" t="s">
        <v>106</v>
      </c>
      <c r="D62" s="81">
        <f>AVERAGE(D35:D36)</f>
        <v>0.14514952268314624</v>
      </c>
      <c r="E62" s="2">
        <f>AVERAGE(E35:E36)</f>
        <v>8.8108420547266586E-2</v>
      </c>
      <c r="F62">
        <f t="shared" si="4"/>
        <v>0.60701832784943166</v>
      </c>
    </row>
    <row r="63" spans="3:7" x14ac:dyDescent="0.25">
      <c r="C63" s="3" t="s">
        <v>107</v>
      </c>
      <c r="D63" s="3">
        <f>AVERAGE(D37:D38)</f>
        <v>0.13980273320678949</v>
      </c>
      <c r="E63" s="5">
        <f>AVERAGE(E37:E38)</f>
        <v>0.10696467621700231</v>
      </c>
      <c r="F63">
        <f>E63/D63</f>
        <v>0.76511148075184843</v>
      </c>
    </row>
    <row r="64" spans="3:7" x14ac:dyDescent="0.25">
      <c r="C64" s="82" t="s">
        <v>108</v>
      </c>
      <c r="D64" s="82">
        <f>AVERAGE(D39:D40)</f>
        <v>0.19259452850152839</v>
      </c>
      <c r="E64" s="6">
        <f>AVERAGE(E39:E40)</f>
        <v>0.32078648578257329</v>
      </c>
      <c r="F64">
        <f t="shared" si="4"/>
        <v>1.6656053953268335</v>
      </c>
    </row>
    <row r="65" spans="3:7" x14ac:dyDescent="0.25">
      <c r="C65" s="82" t="s">
        <v>109</v>
      </c>
      <c r="D65" s="82">
        <f>AVERAGE(D41:D42)</f>
        <v>0.21120873501102008</v>
      </c>
      <c r="E65" s="6">
        <f>AVERAGE(E41:E42)</f>
        <v>0.25514069243605864</v>
      </c>
      <c r="F65">
        <f t="shared" si="4"/>
        <v>1.2080025592821544</v>
      </c>
    </row>
    <row r="66" spans="3:7" x14ac:dyDescent="0.25">
      <c r="C66" s="81" t="s">
        <v>110</v>
      </c>
      <c r="D66" s="81">
        <f>AVERAGE(D43:D44)</f>
        <v>0.37188027870392648</v>
      </c>
      <c r="E66" s="2">
        <f>AVERAGE(E43:E44)</f>
        <v>0.6885083759550028</v>
      </c>
      <c r="F66">
        <f t="shared" si="4"/>
        <v>1.8514248143369836</v>
      </c>
    </row>
    <row r="67" spans="3:7" x14ac:dyDescent="0.25">
      <c r="C67" s="3" t="s">
        <v>111</v>
      </c>
      <c r="D67" s="3">
        <f>AVERAGE(D46:D47)</f>
        <v>0.44618690320794679</v>
      </c>
      <c r="E67" s="5">
        <f>AVERAGE(E46:E47)</f>
        <v>0.42645491082445064</v>
      </c>
      <c r="F67">
        <f t="shared" si="4"/>
        <v>0.9557763971967147</v>
      </c>
    </row>
    <row r="68" spans="3:7" x14ac:dyDescent="0.25">
      <c r="C68" s="13" t="s">
        <v>162</v>
      </c>
      <c r="D68" s="82">
        <f>AVERAGE(D45)</f>
        <v>0.44015683903301672</v>
      </c>
      <c r="E68" s="6">
        <f>AVERAGE(E45)</f>
        <v>0.44772083728184919</v>
      </c>
      <c r="F68">
        <f t="shared" si="4"/>
        <v>1.0171847795559643</v>
      </c>
    </row>
    <row r="69" spans="3:7" x14ac:dyDescent="0.25">
      <c r="C69" s="13" t="s">
        <v>163</v>
      </c>
      <c r="D69" s="82">
        <f>AVERAGE(D48)</f>
        <v>0.49210195984516764</v>
      </c>
      <c r="E69" s="6">
        <f>AVERAGE(E48)</f>
        <v>0.26452857150058229</v>
      </c>
      <c r="F69">
        <f t="shared" si="4"/>
        <v>0.53754829910413715</v>
      </c>
    </row>
    <row r="70" spans="3:7" x14ac:dyDescent="0.25">
      <c r="C70" s="81" t="s">
        <v>112</v>
      </c>
      <c r="D70" s="81">
        <f>AVERAGE(D49:D50)</f>
        <v>0.80966319050647373</v>
      </c>
      <c r="E70" s="2">
        <f>AVERAGE(E49:E50)</f>
        <v>1.1446012239541288</v>
      </c>
      <c r="F70">
        <f t="shared" si="4"/>
        <v>1.4136757572468364</v>
      </c>
    </row>
    <row r="71" spans="3:7" x14ac:dyDescent="0.25">
      <c r="C71" s="3" t="s">
        <v>113</v>
      </c>
      <c r="D71" s="3">
        <f>AVERAGE(D51:D52)</f>
        <v>0.98047951243164932</v>
      </c>
      <c r="E71" s="5">
        <f>AVERAGE(E51:E52)</f>
        <v>0.54219182425213708</v>
      </c>
      <c r="F71">
        <f t="shared" si="4"/>
        <v>0.55298638816783441</v>
      </c>
    </row>
    <row r="72" spans="3:7" x14ac:dyDescent="0.25">
      <c r="F72">
        <f>AVERAGE(F60:F67,F70:F71)</f>
        <v>0.97152369372667047</v>
      </c>
      <c r="G72" t="s">
        <v>66</v>
      </c>
    </row>
  </sheetData>
  <phoneticPr fontId="2" type="noConversion"/>
  <pageMargins left="0.7" right="0.7" top="0.78740157499999996" bottom="0.78740157499999996" header="0.3" footer="0.3"/>
  <pageSetup paperSize="9" orientation="portrait" r:id="rId1"/>
  <ignoredErrors>
    <ignoredError sqref="D58:E7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EA90-23BA-4EE8-9032-7EC3F25FD837}">
  <dimension ref="A2:AE104"/>
  <sheetViews>
    <sheetView topLeftCell="A67" zoomScale="85" zoomScaleNormal="85" workbookViewId="0">
      <selection activeCell="AE80" sqref="AA80:AE80"/>
    </sheetView>
  </sheetViews>
  <sheetFormatPr baseColWidth="10" defaultRowHeight="15" x14ac:dyDescent="0.25"/>
  <cols>
    <col min="1" max="1" width="11.42578125" style="37"/>
    <col min="2" max="2" width="32.140625" style="37" bestFit="1" customWidth="1"/>
    <col min="3" max="3" width="11.42578125" style="37"/>
    <col min="4" max="4" width="14.85546875" style="37" bestFit="1" customWidth="1"/>
    <col min="5" max="5" width="14.140625" style="37" customWidth="1"/>
    <col min="6" max="7" width="15.85546875" style="37" bestFit="1" customWidth="1"/>
    <col min="8" max="8" width="13.5703125" style="37" bestFit="1" customWidth="1"/>
    <col min="9" max="9" width="11.42578125" style="37"/>
    <col min="10" max="10" width="10.140625" style="37" bestFit="1" customWidth="1"/>
    <col min="11" max="11" width="11.7109375" style="37" bestFit="1" customWidth="1"/>
    <col min="12" max="12" width="12.5703125" style="37" bestFit="1" customWidth="1"/>
    <col min="13" max="13" width="30.85546875" style="37" customWidth="1"/>
    <col min="14" max="14" width="13.28515625" style="37" customWidth="1"/>
    <col min="15" max="15" width="13.85546875" style="37" bestFit="1" customWidth="1"/>
    <col min="16" max="16" width="15" style="37" customWidth="1"/>
    <col min="17" max="17" width="13.140625" style="37" customWidth="1"/>
    <col min="18" max="18" width="14.140625" style="37" customWidth="1"/>
    <col min="19" max="19" width="16" style="37" customWidth="1"/>
    <col min="20" max="20" width="12" style="37" bestFit="1" customWidth="1"/>
    <col min="21" max="25" width="11.42578125" style="37"/>
    <col min="26" max="26" width="11.5703125" style="37" bestFit="1" customWidth="1"/>
    <col min="27" max="27" width="7.140625" style="37" bestFit="1" customWidth="1"/>
    <col min="28" max="29" width="12.28515625" style="37" bestFit="1" customWidth="1"/>
    <col min="30" max="30" width="11.42578125" style="37"/>
    <col min="31" max="31" width="12.140625" style="37" bestFit="1" customWidth="1"/>
    <col min="32" max="16384" width="11.42578125" style="37"/>
  </cols>
  <sheetData>
    <row r="2" spans="1:24" x14ac:dyDescent="0.25">
      <c r="A2" s="37" t="s">
        <v>70</v>
      </c>
      <c r="M2" s="38" t="s">
        <v>89</v>
      </c>
      <c r="N2" s="39">
        <v>44376</v>
      </c>
      <c r="P2" s="38" t="s">
        <v>89</v>
      </c>
      <c r="Q2" s="39">
        <v>44377</v>
      </c>
      <c r="S2" s="38" t="s">
        <v>96</v>
      </c>
      <c r="T2" s="39">
        <v>44377</v>
      </c>
      <c r="V2" s="38" t="s">
        <v>103</v>
      </c>
      <c r="W2" s="40" t="s">
        <v>197</v>
      </c>
      <c r="X2" s="41"/>
    </row>
    <row r="3" spans="1:24" x14ac:dyDescent="0.25">
      <c r="A3" s="37" t="s">
        <v>2</v>
      </c>
      <c r="M3" s="42" t="s">
        <v>184</v>
      </c>
      <c r="N3" s="43" t="s">
        <v>28</v>
      </c>
      <c r="P3" s="42" t="s">
        <v>184</v>
      </c>
      <c r="Q3" s="43" t="s">
        <v>28</v>
      </c>
      <c r="S3" s="42" t="s">
        <v>184</v>
      </c>
      <c r="T3" s="43" t="s">
        <v>28</v>
      </c>
      <c r="V3" s="44" t="s">
        <v>184</v>
      </c>
      <c r="W3" s="38" t="s">
        <v>28</v>
      </c>
      <c r="X3" s="44" t="s">
        <v>198</v>
      </c>
    </row>
    <row r="4" spans="1:24" x14ac:dyDescent="0.25">
      <c r="A4" s="37" t="s">
        <v>1</v>
      </c>
      <c r="I4" s="37" t="s">
        <v>199</v>
      </c>
      <c r="M4" s="45" t="s">
        <v>90</v>
      </c>
      <c r="N4" s="46">
        <v>0</v>
      </c>
      <c r="P4" s="45" t="s">
        <v>90</v>
      </c>
      <c r="Q4" s="47">
        <v>0</v>
      </c>
      <c r="S4" s="45" t="s">
        <v>97</v>
      </c>
      <c r="T4" s="47">
        <v>0.5</v>
      </c>
      <c r="V4" s="48" t="s">
        <v>185</v>
      </c>
      <c r="W4" s="49">
        <v>0</v>
      </c>
      <c r="X4" s="50">
        <v>0</v>
      </c>
    </row>
    <row r="5" spans="1:24" x14ac:dyDescent="0.25">
      <c r="A5" s="85">
        <v>44376</v>
      </c>
      <c r="B5" s="41" t="s">
        <v>251</v>
      </c>
      <c r="C5" s="51" t="s">
        <v>249</v>
      </c>
      <c r="D5" s="47"/>
      <c r="E5" s="51" t="s">
        <v>250</v>
      </c>
      <c r="F5" s="47"/>
      <c r="G5" s="52" t="s">
        <v>248</v>
      </c>
      <c r="I5" s="53" t="s">
        <v>200</v>
      </c>
      <c r="M5" s="48" t="s">
        <v>92</v>
      </c>
      <c r="N5" s="50">
        <v>0.05</v>
      </c>
      <c r="P5" s="48" t="s">
        <v>94</v>
      </c>
      <c r="Q5" s="54">
        <v>0.5</v>
      </c>
      <c r="S5" s="48" t="s">
        <v>98</v>
      </c>
      <c r="T5" s="50">
        <v>0.75</v>
      </c>
      <c r="V5" s="48" t="s">
        <v>186</v>
      </c>
      <c r="W5" s="49">
        <v>0</v>
      </c>
      <c r="X5" s="50">
        <v>0</v>
      </c>
    </row>
    <row r="6" spans="1:24" x14ac:dyDescent="0.25">
      <c r="A6" s="55" t="s">
        <v>3</v>
      </c>
      <c r="B6" s="43" t="s">
        <v>4</v>
      </c>
      <c r="C6" s="44" t="s">
        <v>23</v>
      </c>
      <c r="D6" s="41" t="s">
        <v>32</v>
      </c>
      <c r="E6" s="44" t="s">
        <v>25</v>
      </c>
      <c r="F6" s="41" t="s">
        <v>31</v>
      </c>
      <c r="G6" s="44" t="s">
        <v>19</v>
      </c>
      <c r="I6" s="53" t="s">
        <v>201</v>
      </c>
      <c r="M6" s="48" t="s">
        <v>93</v>
      </c>
      <c r="N6" s="50">
        <v>0.1</v>
      </c>
      <c r="P6" s="48" t="s">
        <v>95</v>
      </c>
      <c r="Q6" s="50">
        <v>1</v>
      </c>
      <c r="S6" s="48" t="s">
        <v>99</v>
      </c>
      <c r="T6" s="50">
        <v>1</v>
      </c>
      <c r="V6" s="48" t="s">
        <v>187</v>
      </c>
      <c r="W6" s="49">
        <v>0.5</v>
      </c>
      <c r="X6" s="50">
        <v>2.5</v>
      </c>
    </row>
    <row r="7" spans="1:24" x14ac:dyDescent="0.25">
      <c r="A7" s="51">
        <v>1</v>
      </c>
      <c r="B7" s="47" t="s">
        <v>5</v>
      </c>
      <c r="C7" s="49">
        <v>0</v>
      </c>
      <c r="D7" s="50">
        <v>0</v>
      </c>
      <c r="E7" s="51">
        <v>0</v>
      </c>
      <c r="F7" s="47">
        <v>0</v>
      </c>
      <c r="G7" s="45">
        <v>0</v>
      </c>
      <c r="M7" s="48" t="s">
        <v>94</v>
      </c>
      <c r="N7" s="50">
        <v>0.5</v>
      </c>
      <c r="P7" s="42" t="s">
        <v>91</v>
      </c>
      <c r="Q7" s="43">
        <v>5</v>
      </c>
      <c r="S7" s="42" t="s">
        <v>100</v>
      </c>
      <c r="T7" s="43">
        <v>2.5</v>
      </c>
      <c r="V7" s="48" t="s">
        <v>188</v>
      </c>
      <c r="W7" s="49">
        <v>0.5</v>
      </c>
      <c r="X7" s="50">
        <v>2.5</v>
      </c>
    </row>
    <row r="8" spans="1:24" x14ac:dyDescent="0.25">
      <c r="A8" s="49">
        <v>2</v>
      </c>
      <c r="B8" s="50" t="s">
        <v>6</v>
      </c>
      <c r="C8" s="49">
        <v>0</v>
      </c>
      <c r="D8" s="50">
        <v>0</v>
      </c>
      <c r="E8" s="49">
        <v>0</v>
      </c>
      <c r="F8" s="50">
        <v>0</v>
      </c>
      <c r="G8" s="48">
        <v>270266283</v>
      </c>
      <c r="I8" s="37">
        <v>-153.89722540494168</v>
      </c>
      <c r="M8" s="42" t="s">
        <v>33</v>
      </c>
      <c r="N8" s="43">
        <v>1</v>
      </c>
      <c r="V8" s="48" t="s">
        <v>189</v>
      </c>
      <c r="W8" s="49">
        <v>1.5</v>
      </c>
      <c r="X8" s="50">
        <v>7.5</v>
      </c>
    </row>
    <row r="9" spans="1:24" x14ac:dyDescent="0.25">
      <c r="A9" s="49">
        <v>3</v>
      </c>
      <c r="B9" s="50" t="s">
        <v>7</v>
      </c>
      <c r="C9" s="49">
        <v>0</v>
      </c>
      <c r="D9" s="50">
        <v>0</v>
      </c>
      <c r="E9" s="49">
        <v>0</v>
      </c>
      <c r="F9" s="50">
        <v>0</v>
      </c>
      <c r="G9" s="48">
        <v>4362081</v>
      </c>
      <c r="I9" s="37">
        <v>-18.260653285870987</v>
      </c>
      <c r="M9" s="53"/>
      <c r="N9" s="56"/>
      <c r="V9" s="48" t="s">
        <v>190</v>
      </c>
      <c r="W9" s="49">
        <v>1.5</v>
      </c>
      <c r="X9" s="50">
        <v>7.5</v>
      </c>
    </row>
    <row r="10" spans="1:24" x14ac:dyDescent="0.25">
      <c r="A10" s="49">
        <v>4</v>
      </c>
      <c r="B10" s="50" t="s">
        <v>8</v>
      </c>
      <c r="C10" s="49">
        <v>0</v>
      </c>
      <c r="D10" s="50">
        <v>17839</v>
      </c>
      <c r="E10" s="49">
        <v>0</v>
      </c>
      <c r="F10" s="50">
        <v>0</v>
      </c>
      <c r="G10" s="48">
        <v>2351904</v>
      </c>
      <c r="I10" s="37">
        <v>4.5564948110751624</v>
      </c>
      <c r="M10" s="53"/>
      <c r="N10" s="53"/>
      <c r="V10" s="48" t="s">
        <v>191</v>
      </c>
      <c r="W10" s="49">
        <v>2.5</v>
      </c>
      <c r="X10" s="50">
        <v>12.5</v>
      </c>
    </row>
    <row r="11" spans="1:24" x14ac:dyDescent="0.25">
      <c r="A11" s="49">
        <v>5</v>
      </c>
      <c r="B11" s="50" t="s">
        <v>9</v>
      </c>
      <c r="C11" s="49">
        <v>0</v>
      </c>
      <c r="D11" s="50">
        <v>23708</v>
      </c>
      <c r="E11" s="49">
        <v>0</v>
      </c>
      <c r="F11" s="50">
        <v>18993</v>
      </c>
      <c r="G11" s="48">
        <v>319952</v>
      </c>
      <c r="I11" s="37">
        <v>-4.5564948110751624</v>
      </c>
      <c r="M11" s="53"/>
      <c r="N11" s="53"/>
      <c r="V11" s="48" t="s">
        <v>192</v>
      </c>
      <c r="W11" s="49">
        <v>2.5</v>
      </c>
      <c r="X11" s="50">
        <v>12.5</v>
      </c>
    </row>
    <row r="12" spans="1:24" x14ac:dyDescent="0.25">
      <c r="A12" s="49">
        <v>6</v>
      </c>
      <c r="B12" s="50" t="s">
        <v>10</v>
      </c>
      <c r="C12" s="49">
        <v>115407</v>
      </c>
      <c r="D12" s="50">
        <v>117246</v>
      </c>
      <c r="E12" s="49">
        <v>89283</v>
      </c>
      <c r="F12" s="50">
        <v>89312</v>
      </c>
      <c r="G12" s="48">
        <v>767882</v>
      </c>
      <c r="I12" s="37">
        <v>3.2064402520524893</v>
      </c>
      <c r="L12" s="51"/>
      <c r="M12" s="35" t="s">
        <v>89</v>
      </c>
      <c r="N12" s="57" t="s">
        <v>15</v>
      </c>
      <c r="O12" s="57" t="s">
        <v>120</v>
      </c>
      <c r="P12" s="57" t="s">
        <v>124</v>
      </c>
      <c r="Q12" s="57" t="s">
        <v>121</v>
      </c>
      <c r="R12" s="57" t="s">
        <v>123</v>
      </c>
      <c r="S12" s="47" t="s">
        <v>125</v>
      </c>
      <c r="V12" s="48" t="s">
        <v>193</v>
      </c>
      <c r="W12" s="49">
        <v>5</v>
      </c>
      <c r="X12" s="50">
        <v>25</v>
      </c>
    </row>
    <row r="13" spans="1:24" x14ac:dyDescent="0.25">
      <c r="A13" s="49">
        <v>7</v>
      </c>
      <c r="B13" s="50" t="s">
        <v>11</v>
      </c>
      <c r="C13" s="49">
        <v>125513</v>
      </c>
      <c r="D13" s="50">
        <v>126832</v>
      </c>
      <c r="E13" s="49">
        <v>100975</v>
      </c>
      <c r="F13" s="50">
        <v>110836</v>
      </c>
      <c r="G13" s="48">
        <v>1191558</v>
      </c>
      <c r="I13" s="37">
        <v>-3.2064402520524782</v>
      </c>
      <c r="L13" s="49"/>
      <c r="M13" s="48" t="s">
        <v>146</v>
      </c>
      <c r="N13" s="58" t="s">
        <v>23</v>
      </c>
      <c r="O13" s="58" t="s">
        <v>28</v>
      </c>
      <c r="P13" s="58" t="s">
        <v>122</v>
      </c>
      <c r="Q13" s="58" t="s">
        <v>122</v>
      </c>
      <c r="R13" s="58" t="s">
        <v>122</v>
      </c>
      <c r="S13" s="43" t="s">
        <v>28</v>
      </c>
      <c r="V13" s="48" t="s">
        <v>194</v>
      </c>
      <c r="W13" s="49">
        <v>5</v>
      </c>
      <c r="X13" s="50">
        <v>25</v>
      </c>
    </row>
    <row r="14" spans="1:24" x14ac:dyDescent="0.25">
      <c r="A14" s="49">
        <v>8</v>
      </c>
      <c r="B14" s="50" t="s">
        <v>12</v>
      </c>
      <c r="C14" s="49">
        <v>646667</v>
      </c>
      <c r="D14" s="50">
        <v>642364</v>
      </c>
      <c r="E14" s="49">
        <v>507217</v>
      </c>
      <c r="F14" s="50">
        <v>507725</v>
      </c>
      <c r="G14" s="48">
        <v>2527967</v>
      </c>
      <c r="I14" s="37">
        <v>2.5259126514845964</v>
      </c>
      <c r="L14" s="59">
        <v>44376</v>
      </c>
      <c r="M14" s="45" t="s">
        <v>90</v>
      </c>
      <c r="N14" s="51">
        <v>0</v>
      </c>
      <c r="O14" s="57">
        <v>0</v>
      </c>
      <c r="P14" s="57">
        <v>0</v>
      </c>
      <c r="Q14" s="57">
        <v>0</v>
      </c>
      <c r="R14" s="57">
        <v>0</v>
      </c>
      <c r="S14" s="47">
        <v>0</v>
      </c>
      <c r="V14" s="48" t="s">
        <v>195</v>
      </c>
      <c r="W14" s="49">
        <v>10</v>
      </c>
      <c r="X14" s="50">
        <v>50</v>
      </c>
    </row>
    <row r="15" spans="1:24" x14ac:dyDescent="0.25">
      <c r="A15" s="49">
        <v>9</v>
      </c>
      <c r="B15" s="50" t="s">
        <v>26</v>
      </c>
      <c r="C15" s="49">
        <v>704598</v>
      </c>
      <c r="D15" s="50">
        <v>701924</v>
      </c>
      <c r="E15" s="49">
        <v>551560</v>
      </c>
      <c r="F15" s="50">
        <v>551004</v>
      </c>
      <c r="G15" s="48">
        <v>2869619</v>
      </c>
      <c r="I15" s="37">
        <v>-2.5259126514846075</v>
      </c>
      <c r="L15" s="49"/>
      <c r="M15" s="48" t="s">
        <v>92</v>
      </c>
      <c r="N15" s="49">
        <v>0</v>
      </c>
      <c r="O15" s="53">
        <v>0.05</v>
      </c>
      <c r="P15" s="53">
        <v>0.5</v>
      </c>
      <c r="Q15" s="60">
        <v>0.41759081873315362</v>
      </c>
      <c r="R15" s="60">
        <v>8.2409181266846376E-2</v>
      </c>
      <c r="S15" s="61">
        <v>8.2409181266846383E-3</v>
      </c>
      <c r="V15" s="42" t="s">
        <v>196</v>
      </c>
      <c r="W15" s="55">
        <v>10</v>
      </c>
      <c r="X15" s="43">
        <v>50</v>
      </c>
    </row>
    <row r="16" spans="1:24" x14ac:dyDescent="0.25">
      <c r="A16" s="49">
        <v>10</v>
      </c>
      <c r="B16" s="50" t="s">
        <v>36</v>
      </c>
      <c r="C16" s="49">
        <v>0</v>
      </c>
      <c r="D16" s="50">
        <v>0</v>
      </c>
      <c r="E16" s="49">
        <v>0</v>
      </c>
      <c r="F16" s="50">
        <v>0</v>
      </c>
      <c r="G16" s="48">
        <v>0</v>
      </c>
      <c r="L16" s="49"/>
      <c r="M16" s="48" t="s">
        <v>93</v>
      </c>
      <c r="N16" s="49">
        <v>120460</v>
      </c>
      <c r="O16" s="53">
        <v>0.1</v>
      </c>
      <c r="P16" s="53">
        <v>1</v>
      </c>
      <c r="Q16" s="60">
        <v>0.83518163746630725</v>
      </c>
      <c r="R16" s="60">
        <v>0.16481836253369275</v>
      </c>
      <c r="S16" s="61">
        <v>1.6481836253369277E-2</v>
      </c>
    </row>
    <row r="17" spans="1:19" x14ac:dyDescent="0.25">
      <c r="A17" s="49">
        <v>11</v>
      </c>
      <c r="B17" s="50" t="s">
        <v>37</v>
      </c>
      <c r="C17" s="49">
        <v>0</v>
      </c>
      <c r="D17" s="50">
        <v>0</v>
      </c>
      <c r="E17" s="49">
        <v>0</v>
      </c>
      <c r="F17" s="50">
        <v>0</v>
      </c>
      <c r="G17" s="48">
        <v>0</v>
      </c>
      <c r="L17" s="49"/>
      <c r="M17" s="48" t="s">
        <v>94</v>
      </c>
      <c r="N17" s="49">
        <v>675632.5</v>
      </c>
      <c r="O17" s="53">
        <v>0.5</v>
      </c>
      <c r="P17" s="53">
        <v>5</v>
      </c>
      <c r="Q17" s="60">
        <v>4.1759081873315358</v>
      </c>
      <c r="R17" s="60">
        <v>0.82409181266846421</v>
      </c>
      <c r="S17" s="61">
        <v>8.2409181266846418E-2</v>
      </c>
    </row>
    <row r="18" spans="1:19" x14ac:dyDescent="0.25">
      <c r="A18" s="49">
        <v>12</v>
      </c>
      <c r="B18" s="50" t="s">
        <v>38</v>
      </c>
      <c r="C18" s="49">
        <v>0</v>
      </c>
      <c r="D18" s="50">
        <v>0</v>
      </c>
      <c r="E18" s="49">
        <v>0</v>
      </c>
      <c r="F18" s="50">
        <v>0</v>
      </c>
      <c r="G18" s="48">
        <v>0</v>
      </c>
      <c r="L18" s="55"/>
      <c r="M18" s="42" t="s">
        <v>95</v>
      </c>
      <c r="N18" s="49">
        <v>1435639.5</v>
      </c>
      <c r="O18" s="53">
        <v>1</v>
      </c>
      <c r="P18" s="53">
        <v>10</v>
      </c>
      <c r="Q18" s="60">
        <v>8.3518163746630716</v>
      </c>
      <c r="R18" s="60">
        <v>1.6481836253369284</v>
      </c>
      <c r="S18" s="61">
        <v>0.16481836253369284</v>
      </c>
    </row>
    <row r="19" spans="1:19" x14ac:dyDescent="0.25">
      <c r="A19" s="49">
        <v>13</v>
      </c>
      <c r="B19" s="50" t="s">
        <v>39</v>
      </c>
      <c r="C19" s="49">
        <v>0</v>
      </c>
      <c r="D19" s="50">
        <v>0</v>
      </c>
      <c r="E19" s="49">
        <v>0</v>
      </c>
      <c r="F19" s="50">
        <v>0</v>
      </c>
      <c r="G19" s="48">
        <v>0</v>
      </c>
      <c r="L19" s="59">
        <v>44377</v>
      </c>
      <c r="M19" s="45" t="s">
        <v>90</v>
      </c>
      <c r="N19" s="51">
        <v>0</v>
      </c>
      <c r="O19" s="57">
        <v>0</v>
      </c>
      <c r="P19" s="57">
        <v>0</v>
      </c>
      <c r="Q19" s="57">
        <v>0</v>
      </c>
      <c r="R19" s="57">
        <v>0</v>
      </c>
      <c r="S19" s="47">
        <v>0</v>
      </c>
    </row>
    <row r="20" spans="1:19" x14ac:dyDescent="0.25">
      <c r="A20" s="49">
        <v>14</v>
      </c>
      <c r="B20" s="50" t="s">
        <v>33</v>
      </c>
      <c r="C20" s="49">
        <v>1493418</v>
      </c>
      <c r="D20" s="50">
        <v>1489336</v>
      </c>
      <c r="E20" s="49">
        <v>1166700</v>
      </c>
      <c r="F20" s="50">
        <v>1163230</v>
      </c>
      <c r="G20" s="48">
        <v>1071588</v>
      </c>
      <c r="I20" s="37">
        <v>-5.4534883232141285</v>
      </c>
      <c r="L20" s="49"/>
      <c r="M20" s="48" t="s">
        <v>94</v>
      </c>
      <c r="N20" s="49">
        <v>508815</v>
      </c>
      <c r="O20" s="53">
        <v>0.5</v>
      </c>
      <c r="P20" s="53">
        <v>5</v>
      </c>
      <c r="Q20" s="60">
        <v>4.1759081873315358</v>
      </c>
      <c r="R20" s="60">
        <v>0.82409181266846421</v>
      </c>
      <c r="S20" s="61">
        <v>8.2409181266846418E-2</v>
      </c>
    </row>
    <row r="21" spans="1:19" x14ac:dyDescent="0.25">
      <c r="A21" s="49">
        <v>15</v>
      </c>
      <c r="B21" s="50" t="s">
        <v>35</v>
      </c>
      <c r="C21" s="49">
        <v>0</v>
      </c>
      <c r="D21" s="50">
        <v>0</v>
      </c>
      <c r="E21" s="49">
        <v>0</v>
      </c>
      <c r="F21" s="50">
        <v>0</v>
      </c>
      <c r="G21" s="48">
        <v>1209711</v>
      </c>
      <c r="I21" s="37">
        <v>7.5572235185922709</v>
      </c>
      <c r="L21" s="49"/>
      <c r="M21" s="48" t="s">
        <v>95</v>
      </c>
      <c r="N21" s="49">
        <v>916837.5</v>
      </c>
      <c r="O21" s="53">
        <v>1</v>
      </c>
      <c r="P21" s="53">
        <v>10</v>
      </c>
      <c r="Q21" s="60">
        <v>8.3518163746630716</v>
      </c>
      <c r="R21" s="60">
        <v>1.6481836253369284</v>
      </c>
      <c r="S21" s="61">
        <v>0.16481836253369284</v>
      </c>
    </row>
    <row r="22" spans="1:19" x14ac:dyDescent="0.25">
      <c r="A22" s="49">
        <v>16</v>
      </c>
      <c r="B22" s="50" t="s">
        <v>40</v>
      </c>
      <c r="C22" s="49">
        <v>87625</v>
      </c>
      <c r="D22" s="50">
        <v>87798</v>
      </c>
      <c r="E22" s="49">
        <v>69536</v>
      </c>
      <c r="F22" s="50">
        <v>70852</v>
      </c>
      <c r="G22" s="48">
        <v>0</v>
      </c>
      <c r="L22" s="55"/>
      <c r="M22" s="42" t="s">
        <v>91</v>
      </c>
      <c r="N22" s="55">
        <v>4883471</v>
      </c>
      <c r="O22" s="58">
        <v>5</v>
      </c>
      <c r="P22" s="58">
        <v>50</v>
      </c>
      <c r="Q22" s="62">
        <v>41.75908187331536</v>
      </c>
      <c r="R22" s="62">
        <v>8.2409181266846403</v>
      </c>
      <c r="S22" s="63">
        <v>0.82409181266846399</v>
      </c>
    </row>
    <row r="23" spans="1:19" x14ac:dyDescent="0.25">
      <c r="A23" s="49">
        <v>17</v>
      </c>
      <c r="B23" s="50" t="s">
        <v>41</v>
      </c>
      <c r="C23" s="49">
        <v>114408</v>
      </c>
      <c r="D23" s="50">
        <v>172342</v>
      </c>
      <c r="E23" s="49">
        <v>93741</v>
      </c>
      <c r="F23" s="50">
        <v>97095</v>
      </c>
      <c r="G23" s="48">
        <v>0</v>
      </c>
      <c r="N23" s="53"/>
      <c r="O23" s="53"/>
    </row>
    <row r="24" spans="1:19" x14ac:dyDescent="0.25">
      <c r="A24" s="49">
        <v>18</v>
      </c>
      <c r="B24" s="50" t="s">
        <v>42</v>
      </c>
      <c r="C24" s="49">
        <v>88510</v>
      </c>
      <c r="D24" s="50">
        <v>90344</v>
      </c>
      <c r="E24" s="49">
        <v>68015</v>
      </c>
      <c r="F24" s="50">
        <v>69440</v>
      </c>
      <c r="G24" s="48">
        <v>0</v>
      </c>
      <c r="N24" s="53"/>
      <c r="O24" s="53"/>
    </row>
    <row r="25" spans="1:19" x14ac:dyDescent="0.25">
      <c r="A25" s="49">
        <v>19</v>
      </c>
      <c r="B25" s="50" t="s">
        <v>43</v>
      </c>
      <c r="C25" s="49">
        <v>105169</v>
      </c>
      <c r="D25" s="50">
        <v>107010</v>
      </c>
      <c r="E25" s="49">
        <v>84248</v>
      </c>
      <c r="F25" s="50">
        <v>84492</v>
      </c>
      <c r="G25" s="48">
        <v>0</v>
      </c>
      <c r="L25" s="45"/>
      <c r="M25" s="35" t="s">
        <v>96</v>
      </c>
      <c r="N25" s="57" t="s">
        <v>15</v>
      </c>
      <c r="O25" s="57" t="s">
        <v>120</v>
      </c>
      <c r="P25" s="57" t="s">
        <v>124</v>
      </c>
      <c r="Q25" s="57" t="s">
        <v>121</v>
      </c>
      <c r="R25" s="57" t="s">
        <v>123</v>
      </c>
      <c r="S25" s="47" t="s">
        <v>125</v>
      </c>
    </row>
    <row r="26" spans="1:19" x14ac:dyDescent="0.25">
      <c r="A26" s="49">
        <v>20</v>
      </c>
      <c r="B26" s="50" t="s">
        <v>49</v>
      </c>
      <c r="C26" s="49">
        <v>353269</v>
      </c>
      <c r="D26" s="50">
        <v>354292</v>
      </c>
      <c r="E26" s="49">
        <v>272560</v>
      </c>
      <c r="F26" s="50">
        <v>273484</v>
      </c>
      <c r="G26" s="48">
        <v>0</v>
      </c>
      <c r="L26" s="42"/>
      <c r="M26" s="42" t="s">
        <v>146</v>
      </c>
      <c r="N26" s="58" t="s">
        <v>23</v>
      </c>
      <c r="O26" s="58" t="s">
        <v>28</v>
      </c>
      <c r="P26" s="58" t="s">
        <v>122</v>
      </c>
      <c r="Q26" s="58" t="s">
        <v>122</v>
      </c>
      <c r="R26" s="58" t="s">
        <v>122</v>
      </c>
      <c r="S26" s="43" t="s">
        <v>28</v>
      </c>
    </row>
    <row r="27" spans="1:19" x14ac:dyDescent="0.25">
      <c r="A27" s="49">
        <v>21</v>
      </c>
      <c r="B27" s="50" t="s">
        <v>50</v>
      </c>
      <c r="C27" s="49">
        <v>328899</v>
      </c>
      <c r="D27" s="50">
        <v>329106</v>
      </c>
      <c r="E27" s="49">
        <v>251758</v>
      </c>
      <c r="F27" s="50">
        <v>252842</v>
      </c>
      <c r="G27" s="48">
        <v>0</v>
      </c>
      <c r="L27" s="59">
        <v>44377</v>
      </c>
      <c r="M27" s="48" t="s">
        <v>97</v>
      </c>
      <c r="N27" s="51">
        <v>2759505</v>
      </c>
      <c r="O27" s="57">
        <v>0.5</v>
      </c>
      <c r="P27" s="57">
        <v>5</v>
      </c>
      <c r="Q27" s="64">
        <v>4.1759081873315358</v>
      </c>
      <c r="R27" s="64">
        <v>0.82409181266846421</v>
      </c>
      <c r="S27" s="65">
        <v>8.2409181266846418E-2</v>
      </c>
    </row>
    <row r="28" spans="1:19" x14ac:dyDescent="0.25">
      <c r="A28" s="49">
        <v>22</v>
      </c>
      <c r="B28" s="50" t="s">
        <v>51</v>
      </c>
      <c r="C28" s="49">
        <v>294841</v>
      </c>
      <c r="D28" s="50">
        <v>295761</v>
      </c>
      <c r="E28" s="49">
        <v>230652</v>
      </c>
      <c r="F28" s="50">
        <v>230815</v>
      </c>
      <c r="G28" s="48">
        <v>0</v>
      </c>
      <c r="L28" s="48"/>
      <c r="M28" s="48" t="s">
        <v>98</v>
      </c>
      <c r="N28" s="49">
        <v>4934038</v>
      </c>
      <c r="O28" s="53">
        <v>0.75</v>
      </c>
      <c r="P28" s="53">
        <v>7.5</v>
      </c>
      <c r="Q28" s="60">
        <v>6.2638622809973041</v>
      </c>
      <c r="R28" s="60">
        <v>1.2361377190026959</v>
      </c>
      <c r="S28" s="61">
        <v>0.12361377190026959</v>
      </c>
    </row>
    <row r="29" spans="1:19" x14ac:dyDescent="0.25">
      <c r="A29" s="49">
        <v>23</v>
      </c>
      <c r="B29" s="50" t="s">
        <v>52</v>
      </c>
      <c r="C29" s="49">
        <v>359561</v>
      </c>
      <c r="D29" s="50">
        <v>362094</v>
      </c>
      <c r="E29" s="49">
        <v>285428</v>
      </c>
      <c r="F29" s="50">
        <v>286958</v>
      </c>
      <c r="G29" s="48">
        <v>0</v>
      </c>
      <c r="L29" s="48"/>
      <c r="M29" s="48" t="s">
        <v>99</v>
      </c>
      <c r="N29" s="49">
        <v>5187368.5</v>
      </c>
      <c r="O29" s="53">
        <v>1</v>
      </c>
      <c r="P29" s="53">
        <v>10</v>
      </c>
      <c r="Q29" s="60">
        <v>8.3518163746630716</v>
      </c>
      <c r="R29" s="60">
        <v>1.6481836253369284</v>
      </c>
      <c r="S29" s="61">
        <v>0.16481836253369284</v>
      </c>
    </row>
    <row r="30" spans="1:19" x14ac:dyDescent="0.25">
      <c r="A30" s="49">
        <v>24</v>
      </c>
      <c r="B30" s="50" t="s">
        <v>53</v>
      </c>
      <c r="C30" s="49">
        <v>430169</v>
      </c>
      <c r="D30" s="50">
        <v>430852</v>
      </c>
      <c r="E30" s="49">
        <v>342309</v>
      </c>
      <c r="F30" s="50">
        <v>341042</v>
      </c>
      <c r="G30" s="48">
        <v>0</v>
      </c>
      <c r="L30" s="42"/>
      <c r="M30" s="42" t="s">
        <v>100</v>
      </c>
      <c r="N30" s="55">
        <v>16095923.5</v>
      </c>
      <c r="O30" s="58">
        <v>2.5</v>
      </c>
      <c r="P30" s="58">
        <v>25</v>
      </c>
      <c r="Q30" s="62">
        <v>20.87954093665768</v>
      </c>
      <c r="R30" s="62">
        <v>4.1204590633423201</v>
      </c>
      <c r="S30" s="63">
        <v>0.41204590633423199</v>
      </c>
    </row>
    <row r="31" spans="1:19" x14ac:dyDescent="0.25">
      <c r="A31" s="49">
        <v>25</v>
      </c>
      <c r="B31" s="50" t="s">
        <v>54</v>
      </c>
      <c r="C31" s="49">
        <v>498382</v>
      </c>
      <c r="D31" s="50">
        <v>498029</v>
      </c>
      <c r="E31" s="49">
        <v>385777</v>
      </c>
      <c r="F31" s="50">
        <v>385707</v>
      </c>
      <c r="G31" s="48">
        <v>0</v>
      </c>
    </row>
    <row r="32" spans="1:19" x14ac:dyDescent="0.25">
      <c r="A32" s="49">
        <v>26</v>
      </c>
      <c r="B32" s="50" t="s">
        <v>34</v>
      </c>
      <c r="C32" s="49">
        <v>1377861</v>
      </c>
      <c r="D32" s="50">
        <v>1375628</v>
      </c>
      <c r="E32" s="49">
        <v>1087329</v>
      </c>
      <c r="F32" s="50">
        <v>1085761</v>
      </c>
      <c r="G32" s="48">
        <v>1683568</v>
      </c>
      <c r="I32" s="37">
        <v>5.4534883232141285</v>
      </c>
    </row>
    <row r="33" spans="1:19" x14ac:dyDescent="0.25">
      <c r="A33" s="49">
        <v>27</v>
      </c>
      <c r="B33" s="50" t="s">
        <v>65</v>
      </c>
      <c r="C33" s="49">
        <v>0</v>
      </c>
      <c r="D33" s="50">
        <v>0</v>
      </c>
      <c r="E33" s="49">
        <v>0</v>
      </c>
      <c r="F33" s="50">
        <v>0</v>
      </c>
      <c r="G33" s="48">
        <v>1177331</v>
      </c>
      <c r="I33" s="37">
        <v>4.6228769948831179</v>
      </c>
      <c r="L33" s="45"/>
      <c r="M33" s="57" t="s">
        <v>213</v>
      </c>
      <c r="N33" s="44" t="s">
        <v>206</v>
      </c>
      <c r="O33" s="41" t="s">
        <v>159</v>
      </c>
      <c r="P33" s="38" t="s">
        <v>212</v>
      </c>
      <c r="Q33" s="40"/>
      <c r="R33" s="41"/>
      <c r="S33" s="44" t="s">
        <v>207</v>
      </c>
    </row>
    <row r="34" spans="1:19" x14ac:dyDescent="0.25">
      <c r="A34" s="49">
        <v>28</v>
      </c>
      <c r="B34" s="50" t="s">
        <v>55</v>
      </c>
      <c r="C34" s="49">
        <v>513282</v>
      </c>
      <c r="D34" s="50">
        <v>515309</v>
      </c>
      <c r="E34" s="49">
        <v>401943</v>
      </c>
      <c r="F34" s="50">
        <v>403504</v>
      </c>
      <c r="G34" s="48">
        <v>0</v>
      </c>
      <c r="L34" s="48"/>
      <c r="M34" s="36" t="s">
        <v>103</v>
      </c>
      <c r="N34" s="48" t="s">
        <v>204</v>
      </c>
      <c r="O34" s="53" t="s">
        <v>15</v>
      </c>
      <c r="P34" s="48" t="s">
        <v>203</v>
      </c>
      <c r="Q34" s="48" t="s">
        <v>204</v>
      </c>
      <c r="R34" s="50" t="s">
        <v>205</v>
      </c>
      <c r="S34" s="48" t="s">
        <v>208</v>
      </c>
    </row>
    <row r="35" spans="1:19" x14ac:dyDescent="0.25">
      <c r="A35" s="49">
        <v>29</v>
      </c>
      <c r="B35" s="50" t="s">
        <v>56</v>
      </c>
      <c r="C35" s="49">
        <v>511933</v>
      </c>
      <c r="D35" s="50">
        <v>511143</v>
      </c>
      <c r="E35" s="49">
        <v>394982</v>
      </c>
      <c r="F35" s="50">
        <v>395193</v>
      </c>
      <c r="G35" s="48">
        <v>0</v>
      </c>
      <c r="L35" s="42"/>
      <c r="M35" s="58" t="s">
        <v>215</v>
      </c>
      <c r="N35" s="42" t="s">
        <v>28</v>
      </c>
      <c r="O35" s="58" t="s">
        <v>23</v>
      </c>
      <c r="P35" s="42" t="s">
        <v>28</v>
      </c>
      <c r="Q35" s="42" t="s">
        <v>28</v>
      </c>
      <c r="R35" s="43" t="s">
        <v>28</v>
      </c>
      <c r="S35" s="42" t="s">
        <v>211</v>
      </c>
    </row>
    <row r="36" spans="1:19" x14ac:dyDescent="0.25">
      <c r="A36" s="49">
        <v>30</v>
      </c>
      <c r="B36" s="50" t="s">
        <v>57</v>
      </c>
      <c r="C36" s="49">
        <v>980089</v>
      </c>
      <c r="D36" s="50">
        <v>978297</v>
      </c>
      <c r="E36" s="49">
        <v>763677</v>
      </c>
      <c r="F36" s="50">
        <v>765697</v>
      </c>
      <c r="G36" s="48">
        <v>0</v>
      </c>
      <c r="L36" s="66">
        <v>44376</v>
      </c>
      <c r="M36" s="50" t="s">
        <v>164</v>
      </c>
      <c r="N36" s="45">
        <v>0</v>
      </c>
      <c r="O36" s="47">
        <v>0</v>
      </c>
      <c r="P36" s="45">
        <v>4.0383653620708867E-3</v>
      </c>
      <c r="Q36" s="45">
        <v>6.7455371915631597E-3</v>
      </c>
      <c r="R36" s="50">
        <v>-2.3789149446836987E-2</v>
      </c>
      <c r="S36" s="67" t="s">
        <v>210</v>
      </c>
    </row>
    <row r="37" spans="1:19" x14ac:dyDescent="0.25">
      <c r="A37" s="49">
        <v>31</v>
      </c>
      <c r="B37" s="50" t="s">
        <v>58</v>
      </c>
      <c r="C37" s="49">
        <v>879497</v>
      </c>
      <c r="D37" s="50">
        <v>880157</v>
      </c>
      <c r="E37" s="49">
        <v>686258</v>
      </c>
      <c r="F37" s="50">
        <v>686891</v>
      </c>
      <c r="G37" s="48">
        <v>0</v>
      </c>
      <c r="L37" s="48"/>
      <c r="M37" s="50" t="s">
        <v>165</v>
      </c>
      <c r="N37" s="48">
        <v>0</v>
      </c>
      <c r="O37" s="50">
        <v>0</v>
      </c>
      <c r="P37" s="48">
        <v>4.0383653620708867E-3</v>
      </c>
      <c r="Q37" s="48">
        <v>6.7455371915631597E-3</v>
      </c>
      <c r="R37" s="50">
        <v>-2.3789149446836987E-2</v>
      </c>
      <c r="S37" s="67" t="s">
        <v>210</v>
      </c>
    </row>
    <row r="38" spans="1:19" x14ac:dyDescent="0.25">
      <c r="A38" s="49">
        <v>32</v>
      </c>
      <c r="B38" s="50" t="s">
        <v>59</v>
      </c>
      <c r="C38" s="49">
        <v>1108585</v>
      </c>
      <c r="D38" s="50">
        <v>1105045</v>
      </c>
      <c r="E38" s="49">
        <v>855473</v>
      </c>
      <c r="F38" s="50">
        <v>853825</v>
      </c>
      <c r="G38" s="48">
        <v>0</v>
      </c>
      <c r="L38" s="48"/>
      <c r="M38" s="50" t="s">
        <v>166</v>
      </c>
      <c r="N38" s="48">
        <v>0</v>
      </c>
      <c r="O38" s="50">
        <v>0</v>
      </c>
      <c r="P38" s="48">
        <v>4.0383653620708867E-3</v>
      </c>
      <c r="Q38" s="48">
        <v>6.7455371915631597E-3</v>
      </c>
      <c r="R38" s="50">
        <v>-2.3789149446836987E-2</v>
      </c>
      <c r="S38" s="67" t="s">
        <v>210</v>
      </c>
    </row>
    <row r="39" spans="1:19" x14ac:dyDescent="0.25">
      <c r="A39" s="49">
        <v>33</v>
      </c>
      <c r="B39" s="50" t="s">
        <v>60</v>
      </c>
      <c r="C39" s="49">
        <v>1136877</v>
      </c>
      <c r="D39" s="50">
        <v>1136877</v>
      </c>
      <c r="E39" s="49">
        <v>879136</v>
      </c>
      <c r="F39" s="50">
        <v>879136</v>
      </c>
      <c r="G39" s="48">
        <v>0</v>
      </c>
      <c r="L39" s="48"/>
      <c r="M39" s="50" t="s">
        <v>167</v>
      </c>
      <c r="N39" s="48">
        <v>0</v>
      </c>
      <c r="O39" s="50">
        <v>0</v>
      </c>
      <c r="P39" s="48">
        <v>4.0383653620708867E-3</v>
      </c>
      <c r="Q39" s="48">
        <v>6.7455371915631597E-3</v>
      </c>
      <c r="R39" s="50">
        <v>-2.3789149446836987E-2</v>
      </c>
      <c r="S39" s="67" t="s">
        <v>210</v>
      </c>
    </row>
    <row r="40" spans="1:19" x14ac:dyDescent="0.25">
      <c r="A40" s="55">
        <v>34</v>
      </c>
      <c r="B40" s="43" t="s">
        <v>69</v>
      </c>
      <c r="C40" s="55">
        <v>0</v>
      </c>
      <c r="D40" s="43">
        <v>0</v>
      </c>
      <c r="E40" s="55">
        <v>0</v>
      </c>
      <c r="F40" s="43">
        <v>0</v>
      </c>
      <c r="G40" s="42">
        <v>1561453</v>
      </c>
      <c r="I40" s="37">
        <v>6.0805527723956088</v>
      </c>
      <c r="L40" s="48"/>
      <c r="M40" s="45" t="s">
        <v>40</v>
      </c>
      <c r="N40" s="45">
        <v>0.5</v>
      </c>
      <c r="O40" s="47">
        <v>87625</v>
      </c>
      <c r="P40" s="68">
        <v>1.3923215363068458E-2</v>
      </c>
      <c r="Q40" s="68">
        <v>2.3256827611447119E-2</v>
      </c>
      <c r="R40" s="65">
        <v>0.11798130645547115</v>
      </c>
      <c r="S40" s="68">
        <f>R40/Q40</f>
        <v>5.072975060338849</v>
      </c>
    </row>
    <row r="41" spans="1:19" x14ac:dyDescent="0.25">
      <c r="C41" s="37">
        <v>0</v>
      </c>
      <c r="L41" s="48"/>
      <c r="M41" s="48" t="s">
        <v>41</v>
      </c>
      <c r="N41" s="48">
        <v>0.5</v>
      </c>
      <c r="O41" s="50">
        <v>114408</v>
      </c>
      <c r="P41" s="69">
        <v>1.6944567004457536E-2</v>
      </c>
      <c r="Q41" s="69">
        <v>2.830358243388081E-2</v>
      </c>
      <c r="R41" s="61">
        <v>0.10018316802958264</v>
      </c>
      <c r="S41" s="68">
        <f t="shared" ref="S41:S61" si="0">R41/Q41</f>
        <v>3.5395932039210116</v>
      </c>
    </row>
    <row r="42" spans="1:19" x14ac:dyDescent="0.25">
      <c r="I42" s="37" t="s">
        <v>199</v>
      </c>
      <c r="L42" s="48"/>
      <c r="M42" s="48" t="s">
        <v>42</v>
      </c>
      <c r="N42" s="48">
        <v>0.5</v>
      </c>
      <c r="O42" s="50">
        <v>88510</v>
      </c>
      <c r="P42" s="69">
        <v>1.4023050937971545E-2</v>
      </c>
      <c r="Q42" s="69">
        <v>2.3423589289297019E-2</v>
      </c>
      <c r="R42" s="61">
        <v>0.11739319636672414</v>
      </c>
      <c r="S42" s="68">
        <f t="shared" si="0"/>
        <v>5.0117509710761885</v>
      </c>
    </row>
    <row r="43" spans="1:19" x14ac:dyDescent="0.25">
      <c r="A43" s="85">
        <v>44377</v>
      </c>
      <c r="B43" s="41" t="s">
        <v>251</v>
      </c>
      <c r="C43" s="51" t="s">
        <v>249</v>
      </c>
      <c r="D43" s="47"/>
      <c r="E43" s="51" t="s">
        <v>250</v>
      </c>
      <c r="F43" s="47"/>
      <c r="G43" s="52" t="s">
        <v>248</v>
      </c>
      <c r="I43" s="53" t="s">
        <v>200</v>
      </c>
      <c r="L43" s="48"/>
      <c r="M43" s="42" t="s">
        <v>43</v>
      </c>
      <c r="N43" s="42">
        <v>0.5</v>
      </c>
      <c r="O43" s="43">
        <v>105169</v>
      </c>
      <c r="P43" s="70">
        <v>1.5902328725893013E-2</v>
      </c>
      <c r="Q43" s="70">
        <v>2.6562665889637641E-2</v>
      </c>
      <c r="R43" s="63">
        <v>0.10632277154363201</v>
      </c>
      <c r="S43" s="68">
        <f t="shared" si="0"/>
        <v>4.0027146366024047</v>
      </c>
    </row>
    <row r="44" spans="1:19" x14ac:dyDescent="0.25">
      <c r="A44" s="55" t="s">
        <v>3</v>
      </c>
      <c r="B44" s="43" t="s">
        <v>4</v>
      </c>
      <c r="C44" s="44" t="s">
        <v>23</v>
      </c>
      <c r="D44" s="41" t="s">
        <v>32</v>
      </c>
      <c r="E44" s="44" t="s">
        <v>25</v>
      </c>
      <c r="F44" s="41" t="s">
        <v>31</v>
      </c>
      <c r="G44" s="44" t="s">
        <v>19</v>
      </c>
      <c r="I44" s="53" t="s">
        <v>201</v>
      </c>
      <c r="L44" s="48"/>
      <c r="M44" s="45" t="s">
        <v>49</v>
      </c>
      <c r="N44" s="45">
        <v>1.5</v>
      </c>
      <c r="O44" s="47">
        <v>353269</v>
      </c>
      <c r="P44" s="68">
        <v>4.3890132266520665E-2</v>
      </c>
      <c r="Q44" s="68">
        <v>7.3312465069931068E-2</v>
      </c>
      <c r="R44" s="65">
        <v>0.34145258734234984</v>
      </c>
      <c r="S44" s="68">
        <f t="shared" si="0"/>
        <v>4.6574970165939193</v>
      </c>
    </row>
    <row r="45" spans="1:19" x14ac:dyDescent="0.25">
      <c r="A45" s="51">
        <v>1</v>
      </c>
      <c r="B45" s="47" t="s">
        <v>5</v>
      </c>
      <c r="C45" s="49">
        <v>0</v>
      </c>
      <c r="D45" s="50">
        <v>0</v>
      </c>
      <c r="E45" s="51">
        <v>0</v>
      </c>
      <c r="F45" s="47">
        <v>0</v>
      </c>
      <c r="G45" s="45">
        <v>0</v>
      </c>
      <c r="I45" s="53"/>
      <c r="L45" s="48"/>
      <c r="M45" s="48" t="s">
        <v>50</v>
      </c>
      <c r="N45" s="48">
        <v>1.5</v>
      </c>
      <c r="O45" s="50">
        <v>328899</v>
      </c>
      <c r="P45" s="69">
        <v>4.1140987678511411E-2</v>
      </c>
      <c r="Q45" s="69">
        <v>6.8720394912640662E-2</v>
      </c>
      <c r="R45" s="61">
        <v>0.35764721204603889</v>
      </c>
      <c r="S45" s="68">
        <f t="shared" si="0"/>
        <v>5.2043823744128694</v>
      </c>
    </row>
    <row r="46" spans="1:19" x14ac:dyDescent="0.25">
      <c r="A46" s="49">
        <v>2</v>
      </c>
      <c r="B46" s="50" t="s">
        <v>6</v>
      </c>
      <c r="C46" s="49">
        <v>0</v>
      </c>
      <c r="D46" s="50">
        <v>0</v>
      </c>
      <c r="E46" s="49">
        <v>0</v>
      </c>
      <c r="F46" s="50">
        <v>0</v>
      </c>
      <c r="G46" s="48">
        <v>760975</v>
      </c>
      <c r="I46" s="37">
        <v>4.6937194822794677</v>
      </c>
      <c r="L46" s="48"/>
      <c r="M46" s="48" t="s">
        <v>51</v>
      </c>
      <c r="N46" s="48">
        <v>1.5</v>
      </c>
      <c r="O46" s="50">
        <v>294841</v>
      </c>
      <c r="P46" s="69">
        <v>3.7298953768851208E-2</v>
      </c>
      <c r="Q46" s="69">
        <v>6.2302802568898481E-2</v>
      </c>
      <c r="R46" s="61">
        <v>0.38027981476077993</v>
      </c>
      <c r="S46" s="68">
        <f t="shared" si="0"/>
        <v>6.1037352908842557</v>
      </c>
    </row>
    <row r="47" spans="1:19" x14ac:dyDescent="0.25">
      <c r="A47" s="49">
        <v>3</v>
      </c>
      <c r="B47" s="50" t="s">
        <v>12</v>
      </c>
      <c r="C47" s="49">
        <v>489365</v>
      </c>
      <c r="D47" s="50">
        <v>489365</v>
      </c>
      <c r="E47" s="49">
        <v>380553</v>
      </c>
      <c r="F47" s="50">
        <v>381714</v>
      </c>
      <c r="G47" s="48">
        <v>1216684</v>
      </c>
      <c r="I47" s="37">
        <v>2.5731201428271344</v>
      </c>
      <c r="L47" s="48"/>
      <c r="M47" s="42" t="s">
        <v>52</v>
      </c>
      <c r="N47" s="42">
        <v>1.5</v>
      </c>
      <c r="O47" s="43">
        <v>359561</v>
      </c>
      <c r="P47" s="70">
        <v>4.4599923721085878E-2</v>
      </c>
      <c r="Q47" s="70">
        <v>7.4498074648497808E-2</v>
      </c>
      <c r="R47" s="63">
        <v>0.33727135719726936</v>
      </c>
      <c r="S47" s="68">
        <f t="shared" si="0"/>
        <v>4.5272493119937316</v>
      </c>
    </row>
    <row r="48" spans="1:19" x14ac:dyDescent="0.25">
      <c r="A48" s="49">
        <v>4</v>
      </c>
      <c r="B48" s="50" t="s">
        <v>26</v>
      </c>
      <c r="C48" s="49">
        <v>528265</v>
      </c>
      <c r="D48" s="50">
        <v>530405</v>
      </c>
      <c r="E48" s="49">
        <v>412825</v>
      </c>
      <c r="F48" s="50">
        <v>4125825</v>
      </c>
      <c r="G48" s="48">
        <v>2470434</v>
      </c>
      <c r="I48" s="37">
        <v>-2.5731201428271344</v>
      </c>
      <c r="L48" s="48"/>
      <c r="M48" s="45" t="s">
        <v>53</v>
      </c>
      <c r="N48" s="45">
        <v>2.5</v>
      </c>
      <c r="O48" s="47">
        <v>430169</v>
      </c>
      <c r="P48" s="68">
        <v>5.2565110469963899E-2</v>
      </c>
      <c r="Q48" s="68">
        <v>8.7802830071803561E-2</v>
      </c>
      <c r="R48" s="65">
        <v>0.69035014008286333</v>
      </c>
      <c r="S48" s="68">
        <f t="shared" si="0"/>
        <v>7.8625044263186901</v>
      </c>
    </row>
    <row r="49" spans="1:19" x14ac:dyDescent="0.25">
      <c r="A49" s="49">
        <v>5</v>
      </c>
      <c r="B49" s="50" t="s">
        <v>33</v>
      </c>
      <c r="C49" s="49">
        <v>998863</v>
      </c>
      <c r="D49" s="50">
        <v>998863</v>
      </c>
      <c r="E49" s="49">
        <v>771676</v>
      </c>
      <c r="F49" s="50">
        <v>771676</v>
      </c>
      <c r="G49" s="48">
        <v>1189937</v>
      </c>
      <c r="I49" s="37">
        <v>1.9663565788207826</v>
      </c>
      <c r="L49" s="48"/>
      <c r="M49" s="48" t="s">
        <v>54</v>
      </c>
      <c r="N49" s="48">
        <v>2.5</v>
      </c>
      <c r="O49" s="50">
        <v>498382</v>
      </c>
      <c r="P49" s="69">
        <v>6.0260120719527917E-2</v>
      </c>
      <c r="Q49" s="69">
        <v>0.10065629259290534</v>
      </c>
      <c r="R49" s="61">
        <v>0.64502047512952987</v>
      </c>
      <c r="S49" s="68">
        <f t="shared" si="0"/>
        <v>6.4081485470387118</v>
      </c>
    </row>
    <row r="50" spans="1:19" x14ac:dyDescent="0.25">
      <c r="A50" s="49">
        <v>6</v>
      </c>
      <c r="B50" s="50" t="s">
        <v>34</v>
      </c>
      <c r="C50" s="49">
        <v>834812</v>
      </c>
      <c r="D50" s="50">
        <v>834812</v>
      </c>
      <c r="E50" s="49">
        <v>642610</v>
      </c>
      <c r="F50" s="50">
        <v>642610</v>
      </c>
      <c r="G50" s="48">
        <v>614429</v>
      </c>
      <c r="I50" s="37">
        <v>-1.9663565788207826</v>
      </c>
      <c r="L50" s="48"/>
      <c r="M50" s="48" t="s">
        <v>55</v>
      </c>
      <c r="N50" s="48">
        <v>2.5</v>
      </c>
      <c r="O50" s="50">
        <v>513282</v>
      </c>
      <c r="P50" s="69">
        <v>6.194096825179455E-2</v>
      </c>
      <c r="Q50" s="69">
        <v>0.10346391858156465</v>
      </c>
      <c r="R50" s="61">
        <v>0.63511896064102069</v>
      </c>
      <c r="S50" s="68">
        <f t="shared" si="0"/>
        <v>6.1385550571461449</v>
      </c>
    </row>
    <row r="51" spans="1:19" x14ac:dyDescent="0.25">
      <c r="A51" s="49">
        <v>7</v>
      </c>
      <c r="B51" s="50" t="s">
        <v>72</v>
      </c>
      <c r="C51" s="49">
        <v>4697540</v>
      </c>
      <c r="D51" s="50">
        <v>4686871</v>
      </c>
      <c r="E51" s="49">
        <v>3665552</v>
      </c>
      <c r="F51" s="50">
        <v>3657518</v>
      </c>
      <c r="G51" s="48">
        <v>899564</v>
      </c>
      <c r="I51" s="37">
        <v>7.738725142509062</v>
      </c>
      <c r="L51" s="48"/>
      <c r="M51" s="42" t="s">
        <v>56</v>
      </c>
      <c r="N51" s="42">
        <v>2.5</v>
      </c>
      <c r="O51" s="43">
        <v>511933</v>
      </c>
      <c r="P51" s="70">
        <v>6.1788789505416858E-2</v>
      </c>
      <c r="Q51" s="70">
        <v>0.10320972479239006</v>
      </c>
      <c r="R51" s="63">
        <v>0.63601541319437627</v>
      </c>
      <c r="S51" s="68">
        <f t="shared" si="0"/>
        <v>6.1623593559012324</v>
      </c>
    </row>
    <row r="52" spans="1:19" x14ac:dyDescent="0.25">
      <c r="A52" s="49">
        <v>8</v>
      </c>
      <c r="B52" s="50" t="s">
        <v>73</v>
      </c>
      <c r="C52" s="49">
        <v>5069402</v>
      </c>
      <c r="D52" s="50">
        <v>5061150</v>
      </c>
      <c r="E52" s="49">
        <v>3965190</v>
      </c>
      <c r="F52" s="50">
        <v>3950723</v>
      </c>
      <c r="G52" s="48">
        <v>873395</v>
      </c>
      <c r="I52" s="37">
        <v>-7.738725142509062</v>
      </c>
      <c r="L52" s="48"/>
      <c r="M52" s="45" t="s">
        <v>57</v>
      </c>
      <c r="N52" s="45">
        <v>5</v>
      </c>
      <c r="O52" s="47">
        <v>980089</v>
      </c>
      <c r="P52" s="68">
        <v>0.11460079335211608</v>
      </c>
      <c r="Q52" s="68">
        <v>0.1914249564935164</v>
      </c>
      <c r="R52" s="65">
        <v>1.3249111570277683</v>
      </c>
      <c r="S52" s="68">
        <f t="shared" si="0"/>
        <v>6.9213083878780628</v>
      </c>
    </row>
    <row r="53" spans="1:19" x14ac:dyDescent="0.25">
      <c r="A53" s="49">
        <v>9</v>
      </c>
      <c r="B53" s="50" t="s">
        <v>7</v>
      </c>
      <c r="C53" s="49">
        <v>0</v>
      </c>
      <c r="D53" s="50">
        <v>0</v>
      </c>
      <c r="E53" s="49">
        <v>0</v>
      </c>
      <c r="F53" s="50">
        <v>0</v>
      </c>
      <c r="G53" s="48">
        <v>865614</v>
      </c>
      <c r="I53" s="37">
        <v>-4.3328385542548808</v>
      </c>
      <c r="L53" s="48"/>
      <c r="M53" s="48" t="s">
        <v>58</v>
      </c>
      <c r="N53" s="48">
        <v>5</v>
      </c>
      <c r="O53" s="50">
        <v>879497</v>
      </c>
      <c r="P53" s="69">
        <v>0.10325315476380968</v>
      </c>
      <c r="Q53" s="69">
        <v>0.17247027773840121</v>
      </c>
      <c r="R53" s="61">
        <v>1.3917576768551581</v>
      </c>
      <c r="S53" s="68">
        <f t="shared" si="0"/>
        <v>8.0695508530817275</v>
      </c>
    </row>
    <row r="54" spans="1:19" x14ac:dyDescent="0.25">
      <c r="A54" s="49">
        <v>10</v>
      </c>
      <c r="B54" s="50" t="s">
        <v>74</v>
      </c>
      <c r="C54" s="49">
        <v>2641400</v>
      </c>
      <c r="D54" s="50">
        <v>2638019</v>
      </c>
      <c r="E54" s="49">
        <v>2057819</v>
      </c>
      <c r="F54" s="50">
        <v>2054317</v>
      </c>
      <c r="G54" s="48">
        <v>799160</v>
      </c>
      <c r="I54" s="37">
        <v>3.3111478201495403</v>
      </c>
      <c r="L54" s="48"/>
      <c r="M54" s="48" t="s">
        <v>59</v>
      </c>
      <c r="N54" s="48">
        <v>5</v>
      </c>
      <c r="O54" s="50">
        <v>1108585</v>
      </c>
      <c r="P54" s="69">
        <v>0.12909624197668879</v>
      </c>
      <c r="Q54" s="69">
        <v>0.21563762152967514</v>
      </c>
      <c r="R54" s="61">
        <v>1.2395215593287439</v>
      </c>
      <c r="S54" s="68">
        <f t="shared" si="0"/>
        <v>5.7481693154279485</v>
      </c>
    </row>
    <row r="55" spans="1:19" x14ac:dyDescent="0.25">
      <c r="A55" s="49">
        <v>11</v>
      </c>
      <c r="B55" s="50" t="s">
        <v>77</v>
      </c>
      <c r="C55" s="49">
        <v>4812094</v>
      </c>
      <c r="D55" s="50">
        <v>4805424</v>
      </c>
      <c r="E55" s="49">
        <v>3734937</v>
      </c>
      <c r="F55" s="50">
        <v>3727509</v>
      </c>
      <c r="G55" s="48">
        <v>723749</v>
      </c>
      <c r="I55" s="37">
        <v>4.3876565336402829</v>
      </c>
      <c r="L55" s="42"/>
      <c r="M55" s="42" t="s">
        <v>59</v>
      </c>
      <c r="N55" s="42">
        <v>5</v>
      </c>
      <c r="O55" s="43">
        <v>1136877</v>
      </c>
      <c r="P55" s="70">
        <v>0.13228782173392958</v>
      </c>
      <c r="Q55" s="70">
        <v>0.22096871914518851</v>
      </c>
      <c r="R55" s="63">
        <v>1.2207206433617037</v>
      </c>
      <c r="S55" s="68">
        <f t="shared" si="0"/>
        <v>5.5244047577595072</v>
      </c>
    </row>
    <row r="56" spans="1:19" x14ac:dyDescent="0.25">
      <c r="A56" s="49">
        <v>12</v>
      </c>
      <c r="B56" s="50" t="s">
        <v>75</v>
      </c>
      <c r="C56" s="49">
        <v>4634306</v>
      </c>
      <c r="D56" s="50">
        <v>4612072</v>
      </c>
      <c r="E56" s="49">
        <v>3653753</v>
      </c>
      <c r="F56" s="50">
        <v>3638146</v>
      </c>
      <c r="G56" s="48">
        <v>567473</v>
      </c>
      <c r="I56" s="37">
        <v>11.829617126750225</v>
      </c>
      <c r="L56" s="66">
        <v>44377</v>
      </c>
      <c r="M56" s="45" t="s">
        <v>162</v>
      </c>
      <c r="N56" s="45">
        <v>5</v>
      </c>
      <c r="O56" s="47">
        <v>753379</v>
      </c>
      <c r="P56" s="68">
        <v>0.12892577351988382</v>
      </c>
      <c r="Q56" s="68">
        <v>0.21535287727989369</v>
      </c>
      <c r="R56" s="65">
        <v>1.2405257526672153</v>
      </c>
      <c r="S56" s="68">
        <f t="shared" si="0"/>
        <v>5.7604326830279895</v>
      </c>
    </row>
    <row r="57" spans="1:19" x14ac:dyDescent="0.25">
      <c r="A57" s="49">
        <v>13</v>
      </c>
      <c r="B57" s="50" t="s">
        <v>76</v>
      </c>
      <c r="C57" s="49">
        <v>16247860</v>
      </c>
      <c r="D57" s="50">
        <v>16198341</v>
      </c>
      <c r="E57" s="49">
        <v>12668599</v>
      </c>
      <c r="F57" s="50">
        <v>12628802</v>
      </c>
      <c r="G57" s="48">
        <v>942488</v>
      </c>
      <c r="I57" s="37">
        <v>-1.9562330418468443</v>
      </c>
      <c r="L57" s="48"/>
      <c r="M57" s="42" t="s">
        <v>163</v>
      </c>
      <c r="N57" s="42">
        <v>5</v>
      </c>
      <c r="O57" s="43">
        <v>843627</v>
      </c>
      <c r="P57" s="70">
        <v>0.14414095203671251</v>
      </c>
      <c r="Q57" s="70">
        <v>0.240767752695948</v>
      </c>
      <c r="R57" s="63">
        <v>1.1508963796053562</v>
      </c>
      <c r="S57" s="68">
        <f t="shared" si="0"/>
        <v>4.7801101547795657</v>
      </c>
    </row>
    <row r="58" spans="1:19" x14ac:dyDescent="0.25">
      <c r="A58" s="49">
        <v>14</v>
      </c>
      <c r="B58" s="50" t="s">
        <v>35</v>
      </c>
      <c r="C58" s="49">
        <v>0</v>
      </c>
      <c r="D58" s="50">
        <v>0</v>
      </c>
      <c r="E58" s="49">
        <v>0</v>
      </c>
      <c r="F58" s="50">
        <v>0</v>
      </c>
      <c r="G58" s="48">
        <v>978070</v>
      </c>
      <c r="I58" s="37">
        <v>-6.764627885494745</v>
      </c>
      <c r="L58" s="48"/>
      <c r="M58" s="50" t="s">
        <v>61</v>
      </c>
      <c r="N58" s="48">
        <v>10</v>
      </c>
      <c r="O58" s="50">
        <v>1444733</v>
      </c>
      <c r="P58" s="69">
        <v>0.2454831989290184</v>
      </c>
      <c r="Q58" s="69">
        <v>0.41004612010400965</v>
      </c>
      <c r="R58" s="61">
        <v>2.5539108073630699</v>
      </c>
      <c r="S58" s="68">
        <f t="shared" si="0"/>
        <v>6.2283501346513441</v>
      </c>
    </row>
    <row r="59" spans="1:19" x14ac:dyDescent="0.25">
      <c r="A59" s="49">
        <v>15</v>
      </c>
      <c r="B59" s="50" t="s">
        <v>57</v>
      </c>
      <c r="C59" s="49">
        <v>753379</v>
      </c>
      <c r="D59" s="50">
        <v>754769</v>
      </c>
      <c r="E59" s="49">
        <v>596191</v>
      </c>
      <c r="F59" s="50">
        <v>596191</v>
      </c>
      <c r="G59" s="48">
        <v>0</v>
      </c>
      <c r="L59" s="48"/>
      <c r="M59" s="50" t="s">
        <v>62</v>
      </c>
      <c r="N59" s="48">
        <v>10</v>
      </c>
      <c r="O59" s="50">
        <v>1345965</v>
      </c>
      <c r="P59" s="69">
        <v>0.22883160829265933</v>
      </c>
      <c r="Q59" s="69">
        <v>0.38223191463582362</v>
      </c>
      <c r="R59" s="61">
        <v>2.6520017780058951</v>
      </c>
      <c r="S59" s="68">
        <f t="shared" si="0"/>
        <v>6.9382008054785897</v>
      </c>
    </row>
    <row r="60" spans="1:19" x14ac:dyDescent="0.25">
      <c r="A60" s="49">
        <v>16</v>
      </c>
      <c r="B60" s="50" t="s">
        <v>59</v>
      </c>
      <c r="C60" s="49">
        <v>843627</v>
      </c>
      <c r="D60" s="50">
        <v>843627</v>
      </c>
      <c r="E60" s="49">
        <v>652544</v>
      </c>
      <c r="F60" s="50">
        <v>652544</v>
      </c>
      <c r="G60" s="48">
        <v>0</v>
      </c>
      <c r="L60" s="48"/>
      <c r="M60" s="50" t="s">
        <v>63</v>
      </c>
      <c r="N60" s="48">
        <v>10</v>
      </c>
      <c r="O60" s="50">
        <v>1704700</v>
      </c>
      <c r="P60" s="69">
        <v>0.28931180802267592</v>
      </c>
      <c r="Q60" s="69">
        <v>0.48325581912543275</v>
      </c>
      <c r="R60" s="61">
        <v>2.2957258146012101</v>
      </c>
      <c r="S60" s="68">
        <f t="shared" si="0"/>
        <v>4.7505394115188855</v>
      </c>
    </row>
    <row r="61" spans="1:19" x14ac:dyDescent="0.25">
      <c r="A61" s="49">
        <v>17</v>
      </c>
      <c r="B61" s="50" t="s">
        <v>61</v>
      </c>
      <c r="C61" s="49">
        <v>1444733</v>
      </c>
      <c r="D61" s="50">
        <v>1444733</v>
      </c>
      <c r="E61" s="49">
        <v>1125912</v>
      </c>
      <c r="F61" s="50">
        <v>1125912</v>
      </c>
      <c r="G61" s="48">
        <v>0</v>
      </c>
      <c r="L61" s="42"/>
      <c r="M61" s="43" t="s">
        <v>64</v>
      </c>
      <c r="N61" s="42">
        <v>10</v>
      </c>
      <c r="O61" s="43">
        <v>1679541</v>
      </c>
      <c r="P61" s="70">
        <v>0.28507017744576679</v>
      </c>
      <c r="Q61" s="70">
        <v>0.47617075518393254</v>
      </c>
      <c r="R61" s="63">
        <v>2.3207123560964602</v>
      </c>
      <c r="S61" s="68">
        <f t="shared" si="0"/>
        <v>4.8736977876770879</v>
      </c>
    </row>
    <row r="62" spans="1:19" x14ac:dyDescent="0.25">
      <c r="A62" s="49">
        <v>18</v>
      </c>
      <c r="B62" s="50" t="s">
        <v>62</v>
      </c>
      <c r="C62" s="49">
        <v>1345965</v>
      </c>
      <c r="D62" s="50">
        <v>1344737</v>
      </c>
      <c r="E62" s="49">
        <v>1048799</v>
      </c>
      <c r="F62" s="50">
        <v>1048799</v>
      </c>
      <c r="G62" s="48">
        <v>0</v>
      </c>
      <c r="R62" s="45" t="s">
        <v>66</v>
      </c>
      <c r="S62" s="65">
        <f>AVERAGE(S40:S61)</f>
        <v>5.649374070159487</v>
      </c>
    </row>
    <row r="63" spans="1:19" x14ac:dyDescent="0.25">
      <c r="A63" s="49">
        <v>19</v>
      </c>
      <c r="B63" s="50" t="s">
        <v>63</v>
      </c>
      <c r="C63" s="49">
        <v>1704700</v>
      </c>
      <c r="D63" s="50">
        <v>1703300</v>
      </c>
      <c r="E63" s="49">
        <v>1324168</v>
      </c>
      <c r="F63" s="50">
        <v>1321507</v>
      </c>
      <c r="G63" s="48">
        <v>0</v>
      </c>
      <c r="R63" s="42" t="s">
        <v>209</v>
      </c>
      <c r="S63" s="63">
        <f>STDEV(S40:S61)</f>
        <v>1.1588030212899603</v>
      </c>
    </row>
    <row r="64" spans="1:19" x14ac:dyDescent="0.25">
      <c r="A64" s="49">
        <v>20</v>
      </c>
      <c r="B64" s="50" t="s">
        <v>64</v>
      </c>
      <c r="C64" s="49">
        <v>1679541</v>
      </c>
      <c r="D64" s="50">
        <v>1675108</v>
      </c>
      <c r="E64" s="49">
        <v>1309651</v>
      </c>
      <c r="F64" s="50">
        <v>1309651</v>
      </c>
      <c r="G64" s="48">
        <v>0</v>
      </c>
    </row>
    <row r="65" spans="1:31" x14ac:dyDescent="0.25">
      <c r="A65" s="49">
        <v>21</v>
      </c>
      <c r="B65" s="50" t="s">
        <v>78</v>
      </c>
      <c r="C65" s="49">
        <v>2877610</v>
      </c>
      <c r="D65" s="50">
        <v>2874258</v>
      </c>
      <c r="E65" s="49">
        <v>2250518</v>
      </c>
      <c r="F65" s="50">
        <v>2246042</v>
      </c>
      <c r="G65" s="48">
        <v>1431261</v>
      </c>
      <c r="I65" s="37">
        <v>-3.3111478201495403</v>
      </c>
    </row>
    <row r="66" spans="1:31" x14ac:dyDescent="0.25">
      <c r="A66" s="49">
        <v>22</v>
      </c>
      <c r="B66" s="50" t="s">
        <v>81</v>
      </c>
      <c r="C66" s="49">
        <v>5055982</v>
      </c>
      <c r="D66" s="50">
        <v>5045504</v>
      </c>
      <c r="E66" s="49">
        <v>3960937</v>
      </c>
      <c r="F66" s="50">
        <v>3952954</v>
      </c>
      <c r="G66" s="48">
        <v>886496</v>
      </c>
      <c r="I66" s="37">
        <v>-4.3876565336402829</v>
      </c>
    </row>
    <row r="67" spans="1:31" x14ac:dyDescent="0.25">
      <c r="A67" s="49">
        <v>23</v>
      </c>
      <c r="B67" s="50" t="s">
        <v>79</v>
      </c>
      <c r="C67" s="49">
        <v>5740431</v>
      </c>
      <c r="D67" s="50">
        <v>5726989</v>
      </c>
      <c r="E67" s="49">
        <v>4458784</v>
      </c>
      <c r="F67" s="50">
        <v>4451205</v>
      </c>
      <c r="G67" s="48">
        <v>1390488</v>
      </c>
      <c r="I67" s="37">
        <v>-11.829617126750215</v>
      </c>
      <c r="L67" s="45"/>
      <c r="M67" s="57" t="s">
        <v>213</v>
      </c>
      <c r="N67" s="44" t="s">
        <v>206</v>
      </c>
      <c r="O67" s="41" t="s">
        <v>159</v>
      </c>
      <c r="P67" s="38" t="s">
        <v>212</v>
      </c>
      <c r="Q67" s="40"/>
      <c r="R67" s="41"/>
      <c r="S67" s="44" t="s">
        <v>207</v>
      </c>
    </row>
    <row r="68" spans="1:31" x14ac:dyDescent="0.25">
      <c r="A68" s="49">
        <v>24</v>
      </c>
      <c r="B68" s="50" t="s">
        <v>80</v>
      </c>
      <c r="C68" s="49">
        <v>15943987</v>
      </c>
      <c r="D68" s="50">
        <v>15902613</v>
      </c>
      <c r="E68" s="49">
        <v>12437719</v>
      </c>
      <c r="F68" s="50">
        <v>12397213</v>
      </c>
      <c r="G68" s="48">
        <v>2493405</v>
      </c>
      <c r="I68" s="37">
        <v>1.9562330418468332</v>
      </c>
      <c r="L68" s="48"/>
      <c r="M68" s="36" t="s">
        <v>103</v>
      </c>
      <c r="N68" s="48" t="s">
        <v>204</v>
      </c>
      <c r="O68" s="53" t="s">
        <v>15</v>
      </c>
      <c r="P68" s="48" t="s">
        <v>203</v>
      </c>
      <c r="Q68" s="48" t="s">
        <v>204</v>
      </c>
      <c r="R68" s="50" t="s">
        <v>205</v>
      </c>
      <c r="S68" s="48" t="s">
        <v>208</v>
      </c>
    </row>
    <row r="69" spans="1:31" x14ac:dyDescent="0.25">
      <c r="A69" s="55">
        <v>25</v>
      </c>
      <c r="B69" s="43" t="s">
        <v>65</v>
      </c>
      <c r="C69" s="55">
        <v>0</v>
      </c>
      <c r="D69" s="43">
        <v>0</v>
      </c>
      <c r="E69" s="55">
        <v>0</v>
      </c>
      <c r="F69" s="43">
        <v>0</v>
      </c>
      <c r="G69" s="42">
        <v>1536506</v>
      </c>
      <c r="I69" s="37">
        <v>6.4037469574701351</v>
      </c>
      <c r="L69" s="42"/>
      <c r="M69" s="58" t="s">
        <v>216</v>
      </c>
      <c r="N69" s="48" t="s">
        <v>28</v>
      </c>
      <c r="O69" s="53" t="s">
        <v>23</v>
      </c>
      <c r="P69" s="48" t="s">
        <v>28</v>
      </c>
      <c r="Q69" s="48" t="s">
        <v>28</v>
      </c>
      <c r="R69" s="50" t="s">
        <v>28</v>
      </c>
      <c r="S69" s="48" t="s">
        <v>211</v>
      </c>
    </row>
    <row r="70" spans="1:31" x14ac:dyDescent="0.25">
      <c r="L70" s="71">
        <v>44376</v>
      </c>
      <c r="M70" s="47" t="s">
        <v>171</v>
      </c>
      <c r="N70" s="51">
        <f>AVERAGE(N36:N37)</f>
        <v>0</v>
      </c>
      <c r="O70" s="51">
        <f>AVERAGE(O36:O37)</f>
        <v>0</v>
      </c>
      <c r="P70" s="51">
        <f>AVERAGE(P36:P37)</f>
        <v>4.0383653620708867E-3</v>
      </c>
      <c r="Q70" s="51">
        <f>AVERAGE(Q36:Q37)</f>
        <v>6.7455371915631597E-3</v>
      </c>
      <c r="R70" s="51">
        <f>AVERAGE(R36:R37)</f>
        <v>-2.3789149446836987E-2</v>
      </c>
      <c r="S70" s="51"/>
    </row>
    <row r="71" spans="1:31" x14ac:dyDescent="0.25">
      <c r="F71" s="37" t="s">
        <v>155</v>
      </c>
      <c r="G71" s="37" t="s">
        <v>156</v>
      </c>
      <c r="H71" s="37" t="s">
        <v>157</v>
      </c>
      <c r="L71" s="48"/>
      <c r="M71" s="50" t="s">
        <v>172</v>
      </c>
      <c r="N71" s="55">
        <f>AVERAGE(N38:N39)</f>
        <v>0</v>
      </c>
      <c r="O71" s="55">
        <f>AVERAGE(O38:O39)</f>
        <v>0</v>
      </c>
      <c r="P71" s="55">
        <f>AVERAGE(P38:P39)</f>
        <v>4.0383653620708867E-3</v>
      </c>
      <c r="Q71" s="55">
        <f>AVERAGE(Q38:Q39)</f>
        <v>6.7455371915631597E-3</v>
      </c>
      <c r="R71" s="55">
        <f>AVERAGE(R38:R39)</f>
        <v>-2.3789149446836987E-2</v>
      </c>
      <c r="S71" s="55"/>
    </row>
    <row r="72" spans="1:31" x14ac:dyDescent="0.25">
      <c r="D72" s="37" t="s">
        <v>158</v>
      </c>
      <c r="E72" s="37" t="s">
        <v>153</v>
      </c>
      <c r="F72" s="37" t="s">
        <v>154</v>
      </c>
      <c r="G72" s="37" t="s">
        <v>168</v>
      </c>
      <c r="H72" s="37" t="s">
        <v>169</v>
      </c>
      <c r="I72" s="37" t="s">
        <v>214</v>
      </c>
      <c r="L72" s="48"/>
      <c r="M72" s="45" t="s">
        <v>104</v>
      </c>
      <c r="N72" s="51">
        <f t="shared" ref="N72:S72" si="1">AVERAGE(N40:N41)</f>
        <v>0.5</v>
      </c>
      <c r="O72" s="51">
        <f t="shared" si="1"/>
        <v>101016.5</v>
      </c>
      <c r="P72" s="51">
        <f t="shared" si="1"/>
        <v>1.5433891183762996E-2</v>
      </c>
      <c r="Q72" s="51">
        <f t="shared" si="1"/>
        <v>2.5780205022663965E-2</v>
      </c>
      <c r="R72" s="51">
        <f t="shared" si="1"/>
        <v>0.1090822372425269</v>
      </c>
      <c r="S72" s="51">
        <f t="shared" si="1"/>
        <v>4.3062841321299299</v>
      </c>
    </row>
    <row r="73" spans="1:31" x14ac:dyDescent="0.25">
      <c r="B73" s="37" t="s">
        <v>147</v>
      </c>
      <c r="C73" s="37">
        <v>198</v>
      </c>
      <c r="E73" s="37" t="s">
        <v>151</v>
      </c>
      <c r="F73" s="37" t="s">
        <v>152</v>
      </c>
      <c r="I73" s="84">
        <f>S62</f>
        <v>5.649374070159487</v>
      </c>
      <c r="J73" s="37" t="s">
        <v>207</v>
      </c>
      <c r="L73" s="48"/>
      <c r="M73" s="48" t="s">
        <v>105</v>
      </c>
      <c r="N73" s="55">
        <f t="shared" ref="N73:S73" si="2">AVERAGE(N42:N43)</f>
        <v>0.5</v>
      </c>
      <c r="O73" s="55">
        <f t="shared" si="2"/>
        <v>96839.5</v>
      </c>
      <c r="P73" s="55">
        <f t="shared" si="2"/>
        <v>1.4962689831932278E-2</v>
      </c>
      <c r="Q73" s="55">
        <f t="shared" si="2"/>
        <v>2.499312758946733E-2</v>
      </c>
      <c r="R73" s="55">
        <f t="shared" si="2"/>
        <v>0.11185798395517807</v>
      </c>
      <c r="S73" s="55">
        <f t="shared" si="2"/>
        <v>4.5072328038392966</v>
      </c>
    </row>
    <row r="74" spans="1:31" x14ac:dyDescent="0.25">
      <c r="B74" s="28" t="s">
        <v>148</v>
      </c>
      <c r="E74" s="37">
        <v>0</v>
      </c>
      <c r="F74" s="37">
        <f t="shared" ref="F74:F90" si="3">$C$80*E74</f>
        <v>0</v>
      </c>
      <c r="G74" s="37">
        <f t="shared" ref="G74:G90" si="4">$C$81*E74</f>
        <v>0</v>
      </c>
      <c r="H74" s="37">
        <f t="shared" ref="H74:H90" si="5">$C$82*E74</f>
        <v>0</v>
      </c>
      <c r="I74" s="37">
        <f>E74*$S$62</f>
        <v>0</v>
      </c>
      <c r="L74" s="48"/>
      <c r="M74" s="45" t="s">
        <v>106</v>
      </c>
      <c r="N74" s="51">
        <f t="shared" ref="N74:S74" si="6">AVERAGE(N44:N45)</f>
        <v>1.5</v>
      </c>
      <c r="O74" s="51">
        <f t="shared" si="6"/>
        <v>341084</v>
      </c>
      <c r="P74" s="51">
        <f t="shared" si="6"/>
        <v>4.2515559972516034E-2</v>
      </c>
      <c r="Q74" s="51">
        <f t="shared" si="6"/>
        <v>7.1016429991285865E-2</v>
      </c>
      <c r="R74" s="51">
        <f t="shared" si="6"/>
        <v>0.34954989969419437</v>
      </c>
      <c r="S74" s="51">
        <f t="shared" si="6"/>
        <v>4.9309396955033939</v>
      </c>
    </row>
    <row r="75" spans="1:31" x14ac:dyDescent="0.25">
      <c r="B75" s="37" t="s">
        <v>155</v>
      </c>
      <c r="C75" s="37">
        <v>2.85</v>
      </c>
      <c r="E75" s="37">
        <v>0.05</v>
      </c>
      <c r="F75" s="37">
        <f>$C$80*E75</f>
        <v>0.28215000000000001</v>
      </c>
      <c r="G75" s="37">
        <f t="shared" si="4"/>
        <v>0.94347000000000003</v>
      </c>
      <c r="H75" s="37">
        <f t="shared" si="5"/>
        <v>8.1179999999999988E-2</v>
      </c>
      <c r="I75" s="37">
        <f>E75*$S$62</f>
        <v>0.28246870350797437</v>
      </c>
      <c r="L75" s="48"/>
      <c r="M75" s="48" t="s">
        <v>107</v>
      </c>
      <c r="N75" s="55">
        <f t="shared" ref="N75:S75" si="7">AVERAGE(N46:N47)</f>
        <v>1.5</v>
      </c>
      <c r="O75" s="55">
        <f t="shared" si="7"/>
        <v>327201</v>
      </c>
      <c r="P75" s="55">
        <f t="shared" si="7"/>
        <v>4.0949438744968543E-2</v>
      </c>
      <c r="Q75" s="55">
        <f t="shared" si="7"/>
        <v>6.8400438608698141E-2</v>
      </c>
      <c r="R75" s="55">
        <f t="shared" si="7"/>
        <v>0.35877558597902465</v>
      </c>
      <c r="S75" s="55">
        <f t="shared" si="7"/>
        <v>5.3154923014389936</v>
      </c>
    </row>
    <row r="76" spans="1:31" x14ac:dyDescent="0.25">
      <c r="B76" s="37" t="s">
        <v>156</v>
      </c>
      <c r="C76" s="37">
        <v>9.5299999999999994</v>
      </c>
      <c r="E76" s="37">
        <v>0.1</v>
      </c>
      <c r="F76" s="37">
        <f t="shared" si="3"/>
        <v>0.56430000000000002</v>
      </c>
      <c r="G76" s="37">
        <f t="shared" si="4"/>
        <v>1.8869400000000001</v>
      </c>
      <c r="H76" s="37">
        <f>$C$82*E76</f>
        <v>0.16235999999999998</v>
      </c>
      <c r="I76" s="37">
        <f>E76*$S$62</f>
        <v>0.56493740701594874</v>
      </c>
      <c r="L76" s="48"/>
      <c r="M76" s="45" t="s">
        <v>108</v>
      </c>
      <c r="N76" s="51">
        <f t="shared" ref="N76:S76" si="8">AVERAGE(N48:N49)</f>
        <v>2.5</v>
      </c>
      <c r="O76" s="51">
        <f t="shared" si="8"/>
        <v>464275.5</v>
      </c>
      <c r="P76" s="51">
        <f t="shared" si="8"/>
        <v>5.6412615594745905E-2</v>
      </c>
      <c r="Q76" s="51">
        <f t="shared" si="8"/>
        <v>9.4229561332354453E-2</v>
      </c>
      <c r="R76" s="51">
        <f t="shared" si="8"/>
        <v>0.6676853076061966</v>
      </c>
      <c r="S76" s="51">
        <f t="shared" si="8"/>
        <v>7.135326486678701</v>
      </c>
    </row>
    <row r="77" spans="1:31" x14ac:dyDescent="0.25">
      <c r="B77" s="37" t="s">
        <v>157</v>
      </c>
      <c r="C77" s="37">
        <v>0.82</v>
      </c>
      <c r="E77" s="37">
        <v>0.15</v>
      </c>
      <c r="F77" s="37">
        <f t="shared" si="3"/>
        <v>0.84644999999999992</v>
      </c>
      <c r="G77" s="37">
        <f t="shared" si="4"/>
        <v>2.8304099999999996</v>
      </c>
      <c r="H77" s="37">
        <f t="shared" si="5"/>
        <v>0.24353999999999995</v>
      </c>
      <c r="I77" s="37">
        <f t="shared" ref="I77:I90" si="9">E77*$S$62</f>
        <v>0.84740611052392301</v>
      </c>
      <c r="L77" s="48"/>
      <c r="M77" s="48" t="s">
        <v>109</v>
      </c>
      <c r="N77" s="55">
        <f t="shared" ref="N77:S77" si="10">AVERAGE(N50:N51)</f>
        <v>2.5</v>
      </c>
      <c r="O77" s="55">
        <f t="shared" si="10"/>
        <v>512607.5</v>
      </c>
      <c r="P77" s="55">
        <f t="shared" si="10"/>
        <v>6.18648788786057E-2</v>
      </c>
      <c r="Q77" s="55">
        <f t="shared" si="10"/>
        <v>0.10333682168697736</v>
      </c>
      <c r="R77" s="55">
        <f t="shared" si="10"/>
        <v>0.63556718691769842</v>
      </c>
      <c r="S77" s="55">
        <f t="shared" si="10"/>
        <v>6.1504572065236882</v>
      </c>
    </row>
    <row r="78" spans="1:31" x14ac:dyDescent="0.25">
      <c r="E78" s="37">
        <v>0.2</v>
      </c>
      <c r="F78" s="37">
        <f t="shared" si="3"/>
        <v>1.1286</v>
      </c>
      <c r="G78" s="37">
        <f t="shared" si="4"/>
        <v>3.7738800000000001</v>
      </c>
      <c r="H78" s="37">
        <f t="shared" si="5"/>
        <v>0.32471999999999995</v>
      </c>
      <c r="I78" s="37">
        <f t="shared" si="9"/>
        <v>1.1298748140318975</v>
      </c>
      <c r="L78" s="48"/>
      <c r="M78" s="45" t="s">
        <v>110</v>
      </c>
      <c r="N78" s="51">
        <f t="shared" ref="N78:S78" si="11">AVERAGE(N52:N53)</f>
        <v>5</v>
      </c>
      <c r="O78" s="51">
        <f t="shared" si="11"/>
        <v>929793</v>
      </c>
      <c r="P78" s="51">
        <f t="shared" si="11"/>
        <v>0.10892697405796288</v>
      </c>
      <c r="Q78" s="51">
        <f t="shared" si="11"/>
        <v>0.1819476171159588</v>
      </c>
      <c r="R78" s="51">
        <f t="shared" si="11"/>
        <v>1.3583344169414633</v>
      </c>
      <c r="S78" s="51">
        <f t="shared" si="11"/>
        <v>7.4954296204798947</v>
      </c>
    </row>
    <row r="79" spans="1:31" x14ac:dyDescent="0.25">
      <c r="B79" s="28" t="s">
        <v>149</v>
      </c>
      <c r="C79" s="37" t="s">
        <v>150</v>
      </c>
      <c r="E79" s="37">
        <v>0.25</v>
      </c>
      <c r="F79" s="37">
        <f t="shared" si="3"/>
        <v>1.4107499999999999</v>
      </c>
      <c r="G79" s="37">
        <f t="shared" si="4"/>
        <v>4.7173499999999997</v>
      </c>
      <c r="H79" s="37">
        <f t="shared" si="5"/>
        <v>0.40589999999999993</v>
      </c>
      <c r="I79" s="37">
        <f t="shared" si="9"/>
        <v>1.4123435175398718</v>
      </c>
      <c r="L79" s="42"/>
      <c r="M79" s="42" t="s">
        <v>111</v>
      </c>
      <c r="N79" s="55">
        <f t="shared" ref="N79:S79" si="12">AVERAGE(N54:N55)</f>
        <v>5</v>
      </c>
      <c r="O79" s="55">
        <f t="shared" si="12"/>
        <v>1122731</v>
      </c>
      <c r="P79" s="55">
        <f t="shared" si="12"/>
        <v>0.1306920318553092</v>
      </c>
      <c r="Q79" s="55">
        <f t="shared" si="12"/>
        <v>0.21830317033743182</v>
      </c>
      <c r="R79" s="55">
        <f t="shared" si="12"/>
        <v>1.2301211013452238</v>
      </c>
      <c r="S79" s="55">
        <f t="shared" si="12"/>
        <v>5.6362870365937283</v>
      </c>
      <c r="Z79" s="38" t="s">
        <v>158</v>
      </c>
      <c r="AA79" s="38" t="s">
        <v>148</v>
      </c>
      <c r="AB79" s="40" t="s">
        <v>218</v>
      </c>
      <c r="AC79" s="40" t="s">
        <v>219</v>
      </c>
      <c r="AD79" s="40" t="s">
        <v>220</v>
      </c>
      <c r="AE79" s="41" t="s">
        <v>221</v>
      </c>
    </row>
    <row r="80" spans="1:31" x14ac:dyDescent="0.25">
      <c r="B80" s="37" t="s">
        <v>155</v>
      </c>
      <c r="C80" s="37">
        <f>C73*(C75/100)</f>
        <v>5.6429999999999998</v>
      </c>
      <c r="E80" s="37">
        <v>0.3</v>
      </c>
      <c r="F80" s="37">
        <f t="shared" si="3"/>
        <v>1.6928999999999998</v>
      </c>
      <c r="G80" s="37">
        <f t="shared" si="4"/>
        <v>5.6608199999999993</v>
      </c>
      <c r="H80" s="37">
        <f t="shared" si="5"/>
        <v>0.4870799999999999</v>
      </c>
      <c r="I80" s="37">
        <f t="shared" si="9"/>
        <v>1.694812221047846</v>
      </c>
      <c r="L80" s="66">
        <v>44377</v>
      </c>
      <c r="M80" s="50" t="s">
        <v>112</v>
      </c>
      <c r="N80" s="49">
        <f t="shared" ref="N80:S80" si="13">AVERAGE(N58:N59)</f>
        <v>10</v>
      </c>
      <c r="O80" s="49">
        <f t="shared" si="13"/>
        <v>1395349</v>
      </c>
      <c r="P80" s="49">
        <f t="shared" si="13"/>
        <v>0.23715740361083887</v>
      </c>
      <c r="Q80" s="49">
        <f t="shared" si="13"/>
        <v>0.39613901736991664</v>
      </c>
      <c r="R80" s="49">
        <f t="shared" si="13"/>
        <v>2.6029562926844827</v>
      </c>
      <c r="S80" s="49">
        <f t="shared" si="13"/>
        <v>6.5832754700649669</v>
      </c>
      <c r="Z80" s="49" t="s">
        <v>155</v>
      </c>
      <c r="AA80" s="73">
        <v>2.8500000000000001E-2</v>
      </c>
      <c r="AB80" s="74">
        <v>200</v>
      </c>
      <c r="AC80" s="74" t="s">
        <v>217</v>
      </c>
      <c r="AD80" s="74">
        <f>AB80*AA80</f>
        <v>5.7</v>
      </c>
      <c r="AE80" s="75" t="s">
        <v>222</v>
      </c>
    </row>
    <row r="81" spans="2:31" x14ac:dyDescent="0.25">
      <c r="B81" s="37" t="s">
        <v>156</v>
      </c>
      <c r="C81" s="37">
        <f>C73*(C76/100)</f>
        <v>18.869399999999999</v>
      </c>
      <c r="E81" s="37">
        <v>0.35</v>
      </c>
      <c r="F81" s="37">
        <f t="shared" si="3"/>
        <v>1.9750499999999998</v>
      </c>
      <c r="G81" s="37">
        <f t="shared" si="4"/>
        <v>6.6042899999999989</v>
      </c>
      <c r="H81" s="37">
        <f t="shared" si="5"/>
        <v>0.56825999999999988</v>
      </c>
      <c r="I81" s="37">
        <f t="shared" si="9"/>
        <v>1.9772809245558203</v>
      </c>
      <c r="L81" s="42"/>
      <c r="M81" s="43" t="s">
        <v>113</v>
      </c>
      <c r="N81" s="55">
        <f t="shared" ref="N81:S81" si="14">AVERAGE(N60:N61)</f>
        <v>10</v>
      </c>
      <c r="O81" s="55">
        <f t="shared" si="14"/>
        <v>1692120.5</v>
      </c>
      <c r="P81" s="55">
        <f t="shared" si="14"/>
        <v>0.28719099273422133</v>
      </c>
      <c r="Q81" s="55">
        <f t="shared" si="14"/>
        <v>0.47971328715468264</v>
      </c>
      <c r="R81" s="55">
        <f t="shared" si="14"/>
        <v>2.3082190853488349</v>
      </c>
      <c r="S81" s="55">
        <f t="shared" si="14"/>
        <v>4.8121185995979872</v>
      </c>
      <c r="Z81" s="49" t="s">
        <v>156</v>
      </c>
      <c r="AA81" s="73">
        <v>9.5299999999999996E-2</v>
      </c>
      <c r="AB81" s="74">
        <v>200</v>
      </c>
      <c r="AC81" s="74" t="s">
        <v>217</v>
      </c>
      <c r="AD81" s="74">
        <f>AB81*AA81</f>
        <v>19.059999999999999</v>
      </c>
      <c r="AE81" s="75" t="s">
        <v>223</v>
      </c>
    </row>
    <row r="82" spans="2:31" x14ac:dyDescent="0.25">
      <c r="B82" s="37" t="s">
        <v>157</v>
      </c>
      <c r="C82" s="37">
        <f>C73*(C77/100)</f>
        <v>1.6235999999999997</v>
      </c>
      <c r="E82" s="37">
        <v>0.4</v>
      </c>
      <c r="F82" s="37">
        <f t="shared" si="3"/>
        <v>2.2572000000000001</v>
      </c>
      <c r="G82" s="37">
        <f t="shared" si="4"/>
        <v>7.5477600000000002</v>
      </c>
      <c r="H82" s="37">
        <f t="shared" si="5"/>
        <v>0.64943999999999991</v>
      </c>
      <c r="I82" s="37">
        <f t="shared" si="9"/>
        <v>2.259749628063795</v>
      </c>
      <c r="L82" s="53"/>
      <c r="Z82" s="55" t="s">
        <v>157</v>
      </c>
      <c r="AA82" s="76">
        <v>8.2000000000000007E-3</v>
      </c>
      <c r="AB82" s="77">
        <v>200</v>
      </c>
      <c r="AC82" s="77" t="s">
        <v>217</v>
      </c>
      <c r="AD82" s="77">
        <f>AB82*AA82</f>
        <v>1.6400000000000001</v>
      </c>
      <c r="AE82" s="78" t="s">
        <v>224</v>
      </c>
    </row>
    <row r="83" spans="2:31" x14ac:dyDescent="0.25">
      <c r="E83" s="37">
        <v>0.45</v>
      </c>
      <c r="F83" s="37">
        <f t="shared" si="3"/>
        <v>2.5393499999999998</v>
      </c>
      <c r="G83" s="37">
        <f t="shared" si="4"/>
        <v>8.4912299999999998</v>
      </c>
      <c r="H83" s="37">
        <f t="shared" si="5"/>
        <v>0.73061999999999994</v>
      </c>
      <c r="I83" s="37">
        <f t="shared" si="9"/>
        <v>2.5422183315717692</v>
      </c>
      <c r="L83" s="53"/>
    </row>
    <row r="84" spans="2:31" x14ac:dyDescent="0.25">
      <c r="E84" s="37">
        <v>0.5</v>
      </c>
      <c r="F84" s="37">
        <f t="shared" si="3"/>
        <v>2.8214999999999999</v>
      </c>
      <c r="G84" s="37">
        <f t="shared" si="4"/>
        <v>9.4346999999999994</v>
      </c>
      <c r="H84" s="37">
        <f t="shared" si="5"/>
        <v>0.81179999999999986</v>
      </c>
      <c r="I84" s="37">
        <f t="shared" si="9"/>
        <v>2.8246870350797435</v>
      </c>
      <c r="L84" s="53"/>
    </row>
    <row r="85" spans="2:31" x14ac:dyDescent="0.25">
      <c r="B85" s="37" t="s">
        <v>177</v>
      </c>
      <c r="C85" s="37" t="s">
        <v>147</v>
      </c>
      <c r="E85" s="37">
        <v>0.55000000000000004</v>
      </c>
      <c r="F85" s="37">
        <f t="shared" si="3"/>
        <v>3.10365</v>
      </c>
      <c r="G85" s="37">
        <f t="shared" si="4"/>
        <v>10.378170000000001</v>
      </c>
      <c r="H85" s="37">
        <f t="shared" si="5"/>
        <v>0.89297999999999988</v>
      </c>
      <c r="I85" s="37">
        <f t="shared" si="9"/>
        <v>3.1071557385877182</v>
      </c>
      <c r="L85" s="53"/>
    </row>
    <row r="86" spans="2:31" x14ac:dyDescent="0.25">
      <c r="B86" s="37" t="s">
        <v>178</v>
      </c>
      <c r="C86" s="37">
        <v>106.8</v>
      </c>
      <c r="E86" s="37">
        <v>0.6</v>
      </c>
      <c r="F86" s="37">
        <f t="shared" si="3"/>
        <v>3.3857999999999997</v>
      </c>
      <c r="G86" s="37">
        <f t="shared" si="4"/>
        <v>11.321639999999999</v>
      </c>
      <c r="H86" s="37">
        <f t="shared" si="5"/>
        <v>0.9741599999999998</v>
      </c>
      <c r="I86" s="37">
        <f t="shared" si="9"/>
        <v>3.389624442095692</v>
      </c>
      <c r="L86" s="53"/>
      <c r="Y86" s="37" t="s">
        <v>153</v>
      </c>
      <c r="Z86" s="37" t="s">
        <v>225</v>
      </c>
      <c r="AA86" s="37" t="s">
        <v>226</v>
      </c>
      <c r="AB86" s="37" t="s">
        <v>227</v>
      </c>
    </row>
    <row r="87" spans="2:31" x14ac:dyDescent="0.25">
      <c r="B87" s="37" t="s">
        <v>179</v>
      </c>
      <c r="C87" s="37">
        <v>155</v>
      </c>
      <c r="E87" s="37">
        <v>0.65</v>
      </c>
      <c r="F87" s="37">
        <f t="shared" si="3"/>
        <v>3.6679499999999998</v>
      </c>
      <c r="G87" s="37">
        <f t="shared" si="4"/>
        <v>12.26511</v>
      </c>
      <c r="H87" s="37">
        <f t="shared" si="5"/>
        <v>1.0553399999999999</v>
      </c>
      <c r="I87" s="37">
        <f t="shared" si="9"/>
        <v>3.6720931456036667</v>
      </c>
      <c r="L87" s="53"/>
      <c r="Y87" s="37" t="s">
        <v>151</v>
      </c>
      <c r="Z87" s="37" t="s">
        <v>152</v>
      </c>
    </row>
    <row r="88" spans="2:31" x14ac:dyDescent="0.25">
      <c r="B88" s="37" t="s">
        <v>180</v>
      </c>
      <c r="C88" s="37">
        <v>265</v>
      </c>
      <c r="E88" s="37">
        <v>0.7</v>
      </c>
      <c r="F88" s="37">
        <f t="shared" si="3"/>
        <v>3.9500999999999995</v>
      </c>
      <c r="G88" s="37">
        <f t="shared" si="4"/>
        <v>13.208579999999998</v>
      </c>
      <c r="H88" s="37">
        <f t="shared" si="5"/>
        <v>1.1365199999999998</v>
      </c>
      <c r="I88" s="37">
        <f t="shared" si="9"/>
        <v>3.9545618491116405</v>
      </c>
      <c r="L88" s="53"/>
      <c r="Y88" s="37">
        <v>0</v>
      </c>
      <c r="Z88" s="37">
        <f>Y88*$AD$80</f>
        <v>0</v>
      </c>
      <c r="AA88" s="37">
        <f>Y88*$AD$81</f>
        <v>0</v>
      </c>
      <c r="AB88" s="37">
        <f>Y88*$AD$82</f>
        <v>0</v>
      </c>
    </row>
    <row r="89" spans="2:31" x14ac:dyDescent="0.25">
      <c r="B89" s="37" t="s">
        <v>181</v>
      </c>
      <c r="C89" s="37">
        <v>66</v>
      </c>
      <c r="E89" s="37">
        <v>0.75</v>
      </c>
      <c r="F89" s="37">
        <f t="shared" si="3"/>
        <v>4.2322499999999996</v>
      </c>
      <c r="G89" s="37">
        <f t="shared" si="4"/>
        <v>14.152049999999999</v>
      </c>
      <c r="H89" s="37">
        <f t="shared" si="5"/>
        <v>1.2176999999999998</v>
      </c>
      <c r="I89" s="37">
        <f t="shared" si="9"/>
        <v>4.2370305526196148</v>
      </c>
      <c r="L89" s="53"/>
      <c r="Y89" s="37">
        <v>0.05</v>
      </c>
      <c r="Z89" s="37">
        <f t="shared" ref="Z89:Z104" si="15">Y89*$AD$80</f>
        <v>0.28500000000000003</v>
      </c>
      <c r="AA89" s="37">
        <f t="shared" ref="AA89:AA104" si="16">Y89*$AD$81</f>
        <v>0.95299999999999996</v>
      </c>
      <c r="AB89" s="37">
        <f t="shared" ref="AB89:AB104" si="17">Y89*$AD$82</f>
        <v>8.2000000000000017E-2</v>
      </c>
    </row>
    <row r="90" spans="2:31" x14ac:dyDescent="0.25">
      <c r="B90" s="37" t="s">
        <v>182</v>
      </c>
      <c r="C90" s="37">
        <v>437</v>
      </c>
      <c r="E90" s="37">
        <v>0.8</v>
      </c>
      <c r="F90" s="37">
        <f t="shared" si="3"/>
        <v>4.5144000000000002</v>
      </c>
      <c r="G90" s="37">
        <f t="shared" si="4"/>
        <v>15.09552</v>
      </c>
      <c r="H90" s="37">
        <f t="shared" si="5"/>
        <v>1.2988799999999998</v>
      </c>
      <c r="I90" s="37">
        <f t="shared" si="9"/>
        <v>4.51949925612759</v>
      </c>
      <c r="L90" s="53"/>
      <c r="Y90" s="37">
        <v>0.1</v>
      </c>
      <c r="Z90" s="37">
        <f t="shared" si="15"/>
        <v>0.57000000000000006</v>
      </c>
      <c r="AA90" s="37">
        <f t="shared" si="16"/>
        <v>1.9059999999999999</v>
      </c>
      <c r="AB90" s="37">
        <f t="shared" si="17"/>
        <v>0.16400000000000003</v>
      </c>
    </row>
    <row r="91" spans="2:31" x14ac:dyDescent="0.25">
      <c r="B91" s="37" t="s">
        <v>247</v>
      </c>
      <c r="C91" s="37">
        <f>AVERAGE(C89:C90)</f>
        <v>251.5</v>
      </c>
      <c r="L91" s="53"/>
      <c r="Y91" s="37">
        <v>0.15</v>
      </c>
      <c r="Z91" s="37">
        <f t="shared" si="15"/>
        <v>0.85499999999999998</v>
      </c>
      <c r="AA91" s="37">
        <f t="shared" si="16"/>
        <v>2.8589999999999995</v>
      </c>
      <c r="AB91" s="37">
        <f t="shared" si="17"/>
        <v>0.246</v>
      </c>
    </row>
    <row r="92" spans="2:31" x14ac:dyDescent="0.25">
      <c r="L92" s="53"/>
      <c r="Y92" s="37">
        <v>0.2</v>
      </c>
      <c r="Z92" s="37">
        <f t="shared" si="15"/>
        <v>1.1400000000000001</v>
      </c>
      <c r="AA92" s="37">
        <f t="shared" si="16"/>
        <v>3.8119999999999998</v>
      </c>
      <c r="AB92" s="37">
        <f t="shared" si="17"/>
        <v>0.32800000000000007</v>
      </c>
    </row>
    <row r="93" spans="2:31" x14ac:dyDescent="0.25">
      <c r="L93" s="53"/>
      <c r="Y93" s="37">
        <v>0.25</v>
      </c>
      <c r="Z93" s="37">
        <f t="shared" si="15"/>
        <v>1.425</v>
      </c>
      <c r="AA93" s="37">
        <f t="shared" si="16"/>
        <v>4.7649999999999997</v>
      </c>
      <c r="AB93" s="37">
        <f t="shared" si="17"/>
        <v>0.41000000000000003</v>
      </c>
    </row>
    <row r="94" spans="2:31" x14ac:dyDescent="0.25">
      <c r="L94" s="53"/>
      <c r="Y94" s="37">
        <v>0.3</v>
      </c>
      <c r="Z94" s="37">
        <f t="shared" si="15"/>
        <v>1.71</v>
      </c>
      <c r="AA94" s="37">
        <f t="shared" si="16"/>
        <v>5.7179999999999991</v>
      </c>
      <c r="AB94" s="37">
        <f t="shared" si="17"/>
        <v>0.49199999999999999</v>
      </c>
    </row>
    <row r="95" spans="2:31" x14ac:dyDescent="0.25">
      <c r="L95" s="53"/>
      <c r="Y95" s="37">
        <v>0.35</v>
      </c>
      <c r="Z95" s="37">
        <f t="shared" si="15"/>
        <v>1.9949999999999999</v>
      </c>
      <c r="AA95" s="37">
        <f t="shared" si="16"/>
        <v>6.6709999999999994</v>
      </c>
      <c r="AB95" s="37">
        <f t="shared" si="17"/>
        <v>0.57399999999999995</v>
      </c>
    </row>
    <row r="96" spans="2:31" x14ac:dyDescent="0.25">
      <c r="L96" s="53"/>
      <c r="N96" s="72"/>
      <c r="Y96" s="37">
        <v>0.4</v>
      </c>
      <c r="Z96" s="37">
        <f t="shared" si="15"/>
        <v>2.2800000000000002</v>
      </c>
      <c r="AA96" s="37">
        <f t="shared" si="16"/>
        <v>7.6239999999999997</v>
      </c>
      <c r="AB96" s="37">
        <f t="shared" si="17"/>
        <v>0.65600000000000014</v>
      </c>
    </row>
    <row r="97" spans="25:28" x14ac:dyDescent="0.25">
      <c r="Y97" s="37">
        <v>0.45</v>
      </c>
      <c r="Z97" s="37">
        <f t="shared" si="15"/>
        <v>2.5649999999999999</v>
      </c>
      <c r="AA97" s="37">
        <f t="shared" si="16"/>
        <v>8.577</v>
      </c>
      <c r="AB97" s="37">
        <f t="shared" si="17"/>
        <v>0.7380000000000001</v>
      </c>
    </row>
    <row r="98" spans="25:28" x14ac:dyDescent="0.25">
      <c r="Y98" s="37">
        <v>0.5</v>
      </c>
      <c r="Z98" s="37">
        <f t="shared" si="15"/>
        <v>2.85</v>
      </c>
      <c r="AA98" s="37">
        <f t="shared" si="16"/>
        <v>9.5299999999999994</v>
      </c>
      <c r="AB98" s="37">
        <f t="shared" si="17"/>
        <v>0.82000000000000006</v>
      </c>
    </row>
    <row r="99" spans="25:28" x14ac:dyDescent="0.25">
      <c r="Y99" s="37">
        <v>0.55000000000000004</v>
      </c>
      <c r="Z99" s="37">
        <f t="shared" si="15"/>
        <v>3.1350000000000002</v>
      </c>
      <c r="AA99" s="37">
        <f t="shared" si="16"/>
        <v>10.483000000000001</v>
      </c>
      <c r="AB99" s="37">
        <f t="shared" si="17"/>
        <v>0.90200000000000014</v>
      </c>
    </row>
    <row r="100" spans="25:28" x14ac:dyDescent="0.25">
      <c r="Y100" s="37">
        <v>0.6</v>
      </c>
      <c r="Z100" s="37">
        <f t="shared" si="15"/>
        <v>3.42</v>
      </c>
      <c r="AA100" s="37">
        <f t="shared" si="16"/>
        <v>11.435999999999998</v>
      </c>
      <c r="AB100" s="37">
        <f t="shared" si="17"/>
        <v>0.98399999999999999</v>
      </c>
    </row>
    <row r="101" spans="25:28" x14ac:dyDescent="0.25">
      <c r="Y101" s="37">
        <v>0.65</v>
      </c>
      <c r="Z101" s="37">
        <f t="shared" si="15"/>
        <v>3.7050000000000001</v>
      </c>
      <c r="AA101" s="37">
        <f t="shared" si="16"/>
        <v>12.388999999999999</v>
      </c>
      <c r="AB101" s="37">
        <f t="shared" si="17"/>
        <v>1.0660000000000001</v>
      </c>
    </row>
    <row r="102" spans="25:28" x14ac:dyDescent="0.25">
      <c r="Y102" s="37">
        <v>0.7</v>
      </c>
      <c r="Z102" s="37">
        <f t="shared" si="15"/>
        <v>3.9899999999999998</v>
      </c>
      <c r="AA102" s="37">
        <f t="shared" si="16"/>
        <v>13.341999999999999</v>
      </c>
      <c r="AB102" s="37">
        <f t="shared" si="17"/>
        <v>1.1479999999999999</v>
      </c>
    </row>
    <row r="103" spans="25:28" x14ac:dyDescent="0.25">
      <c r="Y103" s="37">
        <v>0.75</v>
      </c>
      <c r="Z103" s="37">
        <f t="shared" si="15"/>
        <v>4.2750000000000004</v>
      </c>
      <c r="AA103" s="37">
        <f t="shared" si="16"/>
        <v>14.294999999999998</v>
      </c>
      <c r="AB103" s="37">
        <f t="shared" si="17"/>
        <v>1.23</v>
      </c>
    </row>
    <row r="104" spans="25:28" x14ac:dyDescent="0.25">
      <c r="Y104" s="37">
        <v>0.8</v>
      </c>
      <c r="Z104" s="37">
        <f t="shared" si="15"/>
        <v>4.5600000000000005</v>
      </c>
      <c r="AA104" s="37">
        <f t="shared" si="16"/>
        <v>15.247999999999999</v>
      </c>
      <c r="AB104" s="37">
        <f t="shared" si="17"/>
        <v>1.3120000000000003</v>
      </c>
    </row>
  </sheetData>
  <pageMargins left="0.7" right="0.7" top="0.78740157499999996" bottom="0.78740157499999996" header="0.3" footer="0.3"/>
  <pageSetup paperSize="9" orientation="portrait" r:id="rId1"/>
  <ignoredErrors>
    <ignoredError sqref="N71:S71 N73:S81 N72 P72:S72 N70:P70 R70:S7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Raw_data</vt:lpstr>
      <vt:lpstr>Processing_final</vt:lpstr>
      <vt:lpstr>1st_Processing</vt:lpstr>
      <vt:lpstr>2nd processing</vt:lpstr>
      <vt:lpstr>Printable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2021-06-29T10:11:07Z</dcterms:created>
  <dcterms:modified xsi:type="dcterms:W3CDTF">2021-08-24T11:40:15Z</dcterms:modified>
</cp:coreProperties>
</file>