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udium Geo\M.Sc\OSLO\MA_PFC\GC-MS\Incub_Exp_A\"/>
    </mc:Choice>
  </mc:AlternateContent>
  <xr:revisionPtr revIDLastSave="0" documentId="13_ncr:1_{7609FD6D-0FAC-46E2-A639-76775727A775}" xr6:coauthVersionLast="46" xr6:coauthVersionMax="46" xr10:uidLastSave="{00000000-0000-0000-0000-000000000000}"/>
  <bookViews>
    <workbookView xWindow="-120" yWindow="-120" windowWidth="20730" windowHeight="11160" activeTab="1" xr2:uid="{DE43A651-C42B-4CBE-AC60-FCAAA2D518BF}"/>
  </bookViews>
  <sheets>
    <sheet name="Raw" sheetId="1" r:id="rId1"/>
    <sheet name="Processing_final" sheetId="3" r:id="rId2"/>
    <sheet name="Processing1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10" i="3" l="1"/>
  <c r="BA10" i="3"/>
  <c r="N28" i="3"/>
  <c r="N41" i="3"/>
  <c r="N38" i="3"/>
  <c r="AF34" i="3"/>
  <c r="BM10" i="3" l="1"/>
  <c r="BN10" i="3" s="1"/>
  <c r="BO10" i="3"/>
  <c r="BP10" i="3"/>
  <c r="BQ10" i="3"/>
  <c r="BR10" i="3"/>
  <c r="BS10" i="3"/>
  <c r="BT10" i="3"/>
  <c r="BM11" i="3"/>
  <c r="BN11" i="3"/>
  <c r="BO11" i="3"/>
  <c r="BP11" i="3"/>
  <c r="BQ11" i="3"/>
  <c r="BR11" i="3"/>
  <c r="BS11" i="3"/>
  <c r="BT11" i="3" s="1"/>
  <c r="BM24" i="3"/>
  <c r="BN24" i="3"/>
  <c r="BO24" i="3"/>
  <c r="BP24" i="3" s="1"/>
  <c r="BQ24" i="3"/>
  <c r="BR24" i="3"/>
  <c r="BS24" i="3"/>
  <c r="BT24" i="3" s="1"/>
  <c r="BM25" i="3"/>
  <c r="BN25" i="3" s="1"/>
  <c r="BO25" i="3"/>
  <c r="BP25" i="3"/>
  <c r="BQ25" i="3"/>
  <c r="BR25" i="3"/>
  <c r="BS25" i="3"/>
  <c r="BT25" i="3" s="1"/>
  <c r="BM7" i="3"/>
  <c r="AW56" i="3"/>
  <c r="AW57" i="3"/>
  <c r="AW58" i="3"/>
  <c r="AW59" i="3"/>
  <c r="AW60" i="3"/>
  <c r="AW55" i="3"/>
  <c r="AW50" i="3"/>
  <c r="AW51" i="3"/>
  <c r="AW52" i="3"/>
  <c r="AW53" i="3"/>
  <c r="AW54" i="3"/>
  <c r="AW49" i="3"/>
  <c r="AU44" i="3"/>
  <c r="AW44" i="3" s="1"/>
  <c r="AW45" i="3"/>
  <c r="AW43" i="3"/>
  <c r="AW42" i="3"/>
  <c r="AW41" i="3"/>
  <c r="AW40" i="3"/>
  <c r="AW35" i="3"/>
  <c r="AW36" i="3"/>
  <c r="AW37" i="3"/>
  <c r="AW38" i="3"/>
  <c r="AW39" i="3"/>
  <c r="AW34" i="3"/>
  <c r="AW28" i="3"/>
  <c r="AW29" i="3"/>
  <c r="AW30" i="3"/>
  <c r="AW31" i="3"/>
  <c r="AW32" i="3"/>
  <c r="AW33" i="3"/>
  <c r="AW27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9" i="3"/>
  <c r="AF50" i="3"/>
  <c r="AF51" i="3"/>
  <c r="AF52" i="3"/>
  <c r="AF53" i="3"/>
  <c r="AF54" i="3"/>
  <c r="AF55" i="3"/>
  <c r="AF56" i="3"/>
  <c r="AF57" i="3"/>
  <c r="AF58" i="3"/>
  <c r="AF59" i="3"/>
  <c r="AF60" i="3"/>
  <c r="AF49" i="3"/>
  <c r="AF41" i="3"/>
  <c r="AF42" i="3"/>
  <c r="AF43" i="3"/>
  <c r="AF44" i="3"/>
  <c r="AF45" i="3"/>
  <c r="AF40" i="3"/>
  <c r="AF35" i="3"/>
  <c r="AF36" i="3"/>
  <c r="AF37" i="3"/>
  <c r="AF38" i="3"/>
  <c r="AF39" i="3"/>
  <c r="AF28" i="3"/>
  <c r="AF29" i="3"/>
  <c r="AF30" i="3"/>
  <c r="AF31" i="3"/>
  <c r="AF32" i="3"/>
  <c r="AF33" i="3"/>
  <c r="AF27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9" i="3"/>
  <c r="AD57" i="3"/>
  <c r="AD58" i="3"/>
  <c r="AD59" i="3"/>
  <c r="AD60" i="3"/>
  <c r="AU60" i="3" s="1"/>
  <c r="AD51" i="3"/>
  <c r="AD52" i="3"/>
  <c r="AD53" i="3"/>
  <c r="AU53" i="3" s="1"/>
  <c r="AD54" i="3"/>
  <c r="AU54" i="3" s="1"/>
  <c r="AD42" i="3"/>
  <c r="AD43" i="3"/>
  <c r="AD44" i="3"/>
  <c r="AD45" i="3"/>
  <c r="AU45" i="3" s="1"/>
  <c r="AD35" i="3"/>
  <c r="AD36" i="3"/>
  <c r="AD37" i="3"/>
  <c r="AD38" i="3"/>
  <c r="AD39" i="3"/>
  <c r="AD56" i="3"/>
  <c r="AD55" i="3"/>
  <c r="AD50" i="3"/>
  <c r="AU50" i="3" s="1"/>
  <c r="AD49" i="3"/>
  <c r="AD34" i="3"/>
  <c r="AD41" i="3"/>
  <c r="AU41" i="3" s="1"/>
  <c r="AD40" i="3"/>
  <c r="AX60" i="3"/>
  <c r="AX59" i="3"/>
  <c r="AX58" i="3"/>
  <c r="AX57" i="3"/>
  <c r="AX56" i="3"/>
  <c r="AX55" i="3"/>
  <c r="AX54" i="3"/>
  <c r="AX53" i="3"/>
  <c r="AX52" i="3"/>
  <c r="AX51" i="3"/>
  <c r="AX50" i="3"/>
  <c r="AX49" i="3"/>
  <c r="AX45" i="3"/>
  <c r="AX44" i="3"/>
  <c r="AX43" i="3"/>
  <c r="AX42" i="3"/>
  <c r="AX41" i="3"/>
  <c r="AX40" i="3"/>
  <c r="AX39" i="3"/>
  <c r="AX38" i="3"/>
  <c r="AX37" i="3"/>
  <c r="AX36" i="3"/>
  <c r="AX35" i="3"/>
  <c r="AX34" i="3"/>
  <c r="AX33" i="3"/>
  <c r="AX32" i="3"/>
  <c r="AX31" i="3"/>
  <c r="AX30" i="3"/>
  <c r="AX29" i="3"/>
  <c r="AX28" i="3"/>
  <c r="AX27" i="3"/>
  <c r="AX23" i="3"/>
  <c r="AX22" i="3"/>
  <c r="AX21" i="3"/>
  <c r="AX20" i="3"/>
  <c r="AX19" i="3"/>
  <c r="AX18" i="3"/>
  <c r="AX17" i="3"/>
  <c r="AX16" i="3"/>
  <c r="AX15" i="3"/>
  <c r="AX14" i="3"/>
  <c r="AX13" i="3"/>
  <c r="AX12" i="3"/>
  <c r="AX11" i="3"/>
  <c r="AX10" i="3"/>
  <c r="AX9" i="3"/>
  <c r="AG9" i="3"/>
  <c r="N39" i="3"/>
  <c r="N40" i="3"/>
  <c r="N42" i="3"/>
  <c r="N43" i="3"/>
  <c r="N44" i="3"/>
  <c r="N45" i="3"/>
  <c r="N37" i="3"/>
  <c r="N24" i="3"/>
  <c r="N25" i="3"/>
  <c r="N26" i="3"/>
  <c r="N27" i="3"/>
  <c r="N29" i="3"/>
  <c r="N30" i="3"/>
  <c r="N31" i="3"/>
  <c r="N32" i="3"/>
  <c r="N23" i="3"/>
  <c r="N7" i="3"/>
  <c r="AU51" i="3"/>
  <c r="AU52" i="3"/>
  <c r="AU55" i="3"/>
  <c r="AU56" i="3"/>
  <c r="AU57" i="3"/>
  <c r="AU58" i="3"/>
  <c r="AU59" i="3"/>
  <c r="AU49" i="3"/>
  <c r="AU35" i="3"/>
  <c r="AU36" i="3"/>
  <c r="AU37" i="3"/>
  <c r="AU39" i="3"/>
  <c r="AU42" i="3"/>
  <c r="AU43" i="3"/>
  <c r="AG58" i="3"/>
  <c r="AG60" i="3"/>
  <c r="AG59" i="3"/>
  <c r="AG57" i="3"/>
  <c r="AG56" i="3"/>
  <c r="AG55" i="3"/>
  <c r="AG54" i="3"/>
  <c r="AG53" i="3"/>
  <c r="AG52" i="3"/>
  <c r="AG51" i="3"/>
  <c r="AG50" i="3"/>
  <c r="AG49" i="3"/>
  <c r="AG35" i="3"/>
  <c r="AG36" i="3"/>
  <c r="AG37" i="3"/>
  <c r="AG38" i="3"/>
  <c r="AG39" i="3"/>
  <c r="AG40" i="3"/>
  <c r="AG41" i="3"/>
  <c r="AG42" i="3"/>
  <c r="AG43" i="3"/>
  <c r="AG44" i="3"/>
  <c r="AG45" i="3"/>
  <c r="AG34" i="3"/>
  <c r="AG23" i="3"/>
  <c r="AG27" i="3"/>
  <c r="AG28" i="3"/>
  <c r="AG29" i="3"/>
  <c r="AG30" i="3"/>
  <c r="AG31" i="3"/>
  <c r="AG32" i="3"/>
  <c r="AG33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D28" i="3"/>
  <c r="AD29" i="3"/>
  <c r="AD30" i="3"/>
  <c r="AD31" i="3"/>
  <c r="AD32" i="3"/>
  <c r="AD33" i="3"/>
  <c r="AD27" i="3"/>
  <c r="AD21" i="3"/>
  <c r="AD22" i="3"/>
  <c r="AD23" i="3"/>
  <c r="AD20" i="3"/>
  <c r="AD14" i="3"/>
  <c r="AD15" i="3"/>
  <c r="AD16" i="3"/>
  <c r="AD17" i="3"/>
  <c r="AD18" i="3"/>
  <c r="AD19" i="3"/>
  <c r="AD13" i="3"/>
  <c r="AD10" i="3"/>
  <c r="AD11" i="3"/>
  <c r="AD12" i="3"/>
  <c r="AD9" i="3"/>
  <c r="N8" i="3"/>
  <c r="N9" i="3"/>
  <c r="N10" i="3"/>
  <c r="N11" i="3"/>
  <c r="N12" i="3"/>
  <c r="N13" i="3"/>
  <c r="N14" i="3"/>
  <c r="N15" i="3"/>
  <c r="N16" i="3"/>
  <c r="N17" i="3"/>
  <c r="N18" i="3"/>
  <c r="P38" i="3"/>
  <c r="P39" i="3"/>
  <c r="P40" i="3"/>
  <c r="P41" i="3"/>
  <c r="P42" i="3"/>
  <c r="P43" i="3"/>
  <c r="P44" i="3"/>
  <c r="P45" i="3"/>
  <c r="P24" i="3"/>
  <c r="P25" i="3"/>
  <c r="P26" i="3"/>
  <c r="P27" i="3"/>
  <c r="P28" i="3"/>
  <c r="P29" i="3"/>
  <c r="P30" i="3"/>
  <c r="P31" i="3"/>
  <c r="P32" i="3"/>
  <c r="P8" i="3"/>
  <c r="P9" i="3"/>
  <c r="P10" i="3"/>
  <c r="P11" i="3"/>
  <c r="P12" i="3"/>
  <c r="P13" i="3"/>
  <c r="P14" i="3"/>
  <c r="P15" i="3"/>
  <c r="P16" i="3"/>
  <c r="P17" i="3"/>
  <c r="P18" i="3"/>
  <c r="I4" i="3"/>
  <c r="J4" i="3" s="1"/>
  <c r="L1" i="3" s="1"/>
  <c r="Q27" i="3" s="1"/>
  <c r="J3" i="3"/>
  <c r="J2" i="3"/>
  <c r="H82" i="3"/>
  <c r="H83" i="3"/>
  <c r="H84" i="3"/>
  <c r="H85" i="3"/>
  <c r="H86" i="3"/>
  <c r="H87" i="3"/>
  <c r="H88" i="3"/>
  <c r="H90" i="3"/>
  <c r="H91" i="3"/>
  <c r="H92" i="3"/>
  <c r="H93" i="3"/>
  <c r="H94" i="3"/>
  <c r="H97" i="3"/>
  <c r="H98" i="3"/>
  <c r="H99" i="3"/>
  <c r="H100" i="3"/>
  <c r="H44" i="3"/>
  <c r="H46" i="3"/>
  <c r="H47" i="3"/>
  <c r="H48" i="3"/>
  <c r="H49" i="3"/>
  <c r="H52" i="3"/>
  <c r="H53" i="3"/>
  <c r="H54" i="3"/>
  <c r="H55" i="3"/>
  <c r="H56" i="3"/>
  <c r="H57" i="3"/>
  <c r="H58" i="3"/>
  <c r="H59" i="3"/>
  <c r="H60" i="3"/>
  <c r="H62" i="3"/>
  <c r="H63" i="3"/>
  <c r="H64" i="3"/>
  <c r="H65" i="3"/>
  <c r="H67" i="3"/>
  <c r="H68" i="3"/>
  <c r="H69" i="3"/>
  <c r="H70" i="3"/>
  <c r="H9" i="3"/>
  <c r="H10" i="3"/>
  <c r="H11" i="3"/>
  <c r="H12" i="3"/>
  <c r="H13" i="3"/>
  <c r="H14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P37" i="3"/>
  <c r="P23" i="3"/>
  <c r="X7" i="3"/>
  <c r="X13" i="3" s="1"/>
  <c r="V7" i="3"/>
  <c r="V13" i="3" s="1"/>
  <c r="P7" i="3"/>
  <c r="W6" i="3"/>
  <c r="W7" i="3" s="1"/>
  <c r="W13" i="3" s="1"/>
  <c r="X5" i="3"/>
  <c r="W5" i="3"/>
  <c r="V5" i="3"/>
  <c r="AY58" i="3" l="1"/>
  <c r="AH49" i="3"/>
  <c r="AH50" i="3"/>
  <c r="AU40" i="3"/>
  <c r="AY40" i="3" s="1"/>
  <c r="AU34" i="3"/>
  <c r="AY37" i="3"/>
  <c r="AU23" i="3"/>
  <c r="AU19" i="3"/>
  <c r="AU15" i="3"/>
  <c r="AU11" i="3"/>
  <c r="AU30" i="3"/>
  <c r="AH9" i="3"/>
  <c r="AU22" i="3"/>
  <c r="AU18" i="3"/>
  <c r="AU14" i="3"/>
  <c r="AU10" i="3"/>
  <c r="AU33" i="3"/>
  <c r="AU29" i="3"/>
  <c r="AU21" i="3"/>
  <c r="AU17" i="3"/>
  <c r="AU13" i="3"/>
  <c r="AU9" i="3"/>
  <c r="AU32" i="3"/>
  <c r="AU28" i="3"/>
  <c r="AU20" i="3"/>
  <c r="AU16" i="3"/>
  <c r="AU12" i="3"/>
  <c r="AU27" i="3"/>
  <c r="AU31" i="3"/>
  <c r="AY60" i="3"/>
  <c r="AY59" i="3"/>
  <c r="AY57" i="3"/>
  <c r="AI60" i="3"/>
  <c r="AJ60" i="3" s="1"/>
  <c r="AY51" i="3"/>
  <c r="AY52" i="3"/>
  <c r="AY54" i="3"/>
  <c r="AY53" i="3"/>
  <c r="AH54" i="3"/>
  <c r="AY45" i="3"/>
  <c r="AY43" i="3"/>
  <c r="AY44" i="3"/>
  <c r="AH45" i="3"/>
  <c r="AY36" i="3"/>
  <c r="AY39" i="3"/>
  <c r="AU38" i="3"/>
  <c r="AY42" i="3"/>
  <c r="AY56" i="3"/>
  <c r="AY55" i="3"/>
  <c r="AY50" i="3"/>
  <c r="AY49" i="3"/>
  <c r="AY35" i="3"/>
  <c r="AY41" i="3"/>
  <c r="AY34" i="3"/>
  <c r="AI2" i="3"/>
  <c r="AZ2" i="3" s="1"/>
  <c r="AH40" i="3"/>
  <c r="AH19" i="3"/>
  <c r="AH32" i="3"/>
  <c r="AH28" i="3"/>
  <c r="AH38" i="3"/>
  <c r="AH41" i="3"/>
  <c r="AH52" i="3"/>
  <c r="AH60" i="3"/>
  <c r="AH56" i="3"/>
  <c r="AH34" i="3"/>
  <c r="AH37" i="3"/>
  <c r="AH44" i="3"/>
  <c r="AH18" i="3"/>
  <c r="AH51" i="3"/>
  <c r="AH12" i="3"/>
  <c r="AH14" i="3"/>
  <c r="AH31" i="3"/>
  <c r="AH59" i="3"/>
  <c r="AH10" i="3"/>
  <c r="AH17" i="3"/>
  <c r="AH20" i="3"/>
  <c r="AH27" i="3"/>
  <c r="AH30" i="3"/>
  <c r="AH35" i="3"/>
  <c r="AH43" i="3"/>
  <c r="AH58" i="3"/>
  <c r="AH22" i="3"/>
  <c r="AH11" i="3"/>
  <c r="AH21" i="3"/>
  <c r="AH13" i="3"/>
  <c r="AH16" i="3"/>
  <c r="AH33" i="3"/>
  <c r="AH29" i="3"/>
  <c r="AH39" i="3"/>
  <c r="AH42" i="3"/>
  <c r="AH53" i="3"/>
  <c r="AH55" i="3"/>
  <c r="AH57" i="3"/>
  <c r="AH36" i="3"/>
  <c r="AH23" i="3"/>
  <c r="AH15" i="3"/>
  <c r="AI31" i="3"/>
  <c r="AJ31" i="3" s="1"/>
  <c r="AI27" i="3"/>
  <c r="AJ27" i="3" s="1"/>
  <c r="AI33" i="3"/>
  <c r="AJ33" i="3" s="1"/>
  <c r="AI32" i="3"/>
  <c r="AJ32" i="3" s="1"/>
  <c r="AI13" i="3"/>
  <c r="AJ13" i="3" s="1"/>
  <c r="R27" i="3"/>
  <c r="S27" i="3" s="1"/>
  <c r="Q26" i="3"/>
  <c r="R26" i="3" s="1"/>
  <c r="S26" i="3" s="1"/>
  <c r="Q44" i="3"/>
  <c r="R44" i="3" s="1"/>
  <c r="S44" i="3" s="1"/>
  <c r="Q40" i="3"/>
  <c r="R40" i="3" s="1"/>
  <c r="S40" i="3" s="1"/>
  <c r="Q30" i="3"/>
  <c r="R30" i="3" s="1"/>
  <c r="S30" i="3" s="1"/>
  <c r="Q43" i="3"/>
  <c r="R43" i="3" s="1"/>
  <c r="S43" i="3" s="1"/>
  <c r="Q39" i="3"/>
  <c r="R39" i="3" s="1"/>
  <c r="S39" i="3" s="1"/>
  <c r="Q29" i="3"/>
  <c r="R29" i="3" s="1"/>
  <c r="S29" i="3" s="1"/>
  <c r="Q25" i="3"/>
  <c r="R25" i="3" s="1"/>
  <c r="S25" i="3" s="1"/>
  <c r="Q42" i="3"/>
  <c r="R42" i="3" s="1"/>
  <c r="S42" i="3" s="1"/>
  <c r="Q38" i="3"/>
  <c r="R38" i="3" s="1"/>
  <c r="S38" i="3" s="1"/>
  <c r="Q32" i="3"/>
  <c r="R32" i="3" s="1"/>
  <c r="S32" i="3" s="1"/>
  <c r="Q28" i="3"/>
  <c r="R28" i="3" s="1"/>
  <c r="S28" i="3" s="1"/>
  <c r="Q24" i="3"/>
  <c r="R24" i="3" s="1"/>
  <c r="S24" i="3" s="1"/>
  <c r="Q45" i="3"/>
  <c r="R45" i="3" s="1"/>
  <c r="S45" i="3" s="1"/>
  <c r="Q41" i="3"/>
  <c r="R41" i="3" s="1"/>
  <c r="S41" i="3" s="1"/>
  <c r="Q31" i="3"/>
  <c r="R31" i="3" s="1"/>
  <c r="S31" i="3" s="1"/>
  <c r="Q10" i="3"/>
  <c r="R10" i="3" s="1"/>
  <c r="S10" i="3" s="1"/>
  <c r="Q14" i="3"/>
  <c r="R14" i="3" s="1"/>
  <c r="S14" i="3" s="1"/>
  <c r="Q18" i="3"/>
  <c r="R18" i="3" s="1"/>
  <c r="S18" i="3" s="1"/>
  <c r="Q12" i="3"/>
  <c r="R12" i="3" s="1"/>
  <c r="S12" i="3" s="1"/>
  <c r="Q9" i="3"/>
  <c r="R9" i="3" s="1"/>
  <c r="S9" i="3" s="1"/>
  <c r="Q17" i="3"/>
  <c r="R17" i="3" s="1"/>
  <c r="S17" i="3" s="1"/>
  <c r="Q11" i="3"/>
  <c r="R11" i="3" s="1"/>
  <c r="S11" i="3" s="1"/>
  <c r="Q15" i="3"/>
  <c r="R15" i="3" s="1"/>
  <c r="S15" i="3" s="1"/>
  <c r="Q8" i="3"/>
  <c r="R8" i="3" s="1"/>
  <c r="S8" i="3" s="1"/>
  <c r="Q16" i="3"/>
  <c r="R16" i="3" s="1"/>
  <c r="S16" i="3" s="1"/>
  <c r="Q37" i="3"/>
  <c r="R37" i="3" s="1"/>
  <c r="S37" i="3" s="1"/>
  <c r="Q13" i="3"/>
  <c r="R13" i="3" s="1"/>
  <c r="S13" i="3" s="1"/>
  <c r="Q7" i="3"/>
  <c r="R7" i="3" s="1"/>
  <c r="S7" i="3" s="1"/>
  <c r="X8" i="3"/>
  <c r="X9" i="3" s="1"/>
  <c r="V8" i="3"/>
  <c r="V9" i="3" s="1"/>
  <c r="Q23" i="3"/>
  <c r="R23" i="3" s="1"/>
  <c r="S23" i="3" s="1"/>
  <c r="W8" i="3"/>
  <c r="W9" i="3" s="1"/>
  <c r="AI35" i="3" l="1"/>
  <c r="AJ35" i="3" s="1"/>
  <c r="AL35" i="3" s="1"/>
  <c r="AP35" i="3" s="1"/>
  <c r="AI11" i="3"/>
  <c r="AJ11" i="3" s="1"/>
  <c r="AI14" i="3"/>
  <c r="AJ14" i="3" s="1"/>
  <c r="AK14" i="3" s="1"/>
  <c r="AO14" i="3" s="1"/>
  <c r="AI59" i="3"/>
  <c r="AJ59" i="3" s="1"/>
  <c r="AL59" i="3" s="1"/>
  <c r="AP59" i="3" s="1"/>
  <c r="AI38" i="3"/>
  <c r="AJ38" i="3" s="1"/>
  <c r="AI17" i="3"/>
  <c r="AJ17" i="3" s="1"/>
  <c r="AI49" i="3"/>
  <c r="AJ49" i="3" s="1"/>
  <c r="AM49" i="3" s="1"/>
  <c r="AQ49" i="3" s="1"/>
  <c r="AI39" i="3"/>
  <c r="AJ39" i="3" s="1"/>
  <c r="AM39" i="3" s="1"/>
  <c r="AQ39" i="3" s="1"/>
  <c r="AI18" i="3"/>
  <c r="AJ18" i="3" s="1"/>
  <c r="AI55" i="3"/>
  <c r="AJ55" i="3" s="1"/>
  <c r="AI50" i="3"/>
  <c r="AJ50" i="3" s="1"/>
  <c r="AK50" i="3" s="1"/>
  <c r="AO50" i="3" s="1"/>
  <c r="AI19" i="3"/>
  <c r="AJ19" i="3" s="1"/>
  <c r="AK19" i="3" s="1"/>
  <c r="AO19" i="3" s="1"/>
  <c r="AI41" i="3"/>
  <c r="AJ41" i="3" s="1"/>
  <c r="AI54" i="3"/>
  <c r="AJ54" i="3" s="1"/>
  <c r="AI52" i="3"/>
  <c r="AJ52" i="3" s="1"/>
  <c r="AM52" i="3" s="1"/>
  <c r="AQ52" i="3" s="1"/>
  <c r="AI42" i="3"/>
  <c r="AJ42" i="3" s="1"/>
  <c r="AN42" i="3" s="1"/>
  <c r="AR42" i="3" s="1"/>
  <c r="AI21" i="3"/>
  <c r="AJ21" i="3" s="1"/>
  <c r="AI53" i="3"/>
  <c r="AJ53" i="3" s="1"/>
  <c r="AI43" i="3"/>
  <c r="AJ43" i="3" s="1"/>
  <c r="AN43" i="3" s="1"/>
  <c r="AR43" i="3" s="1"/>
  <c r="AI22" i="3"/>
  <c r="AJ22" i="3" s="1"/>
  <c r="AK22" i="3" s="1"/>
  <c r="AO22" i="3" s="1"/>
  <c r="AI37" i="3"/>
  <c r="AJ37" i="3" s="1"/>
  <c r="AI58" i="3"/>
  <c r="AJ58" i="3" s="1"/>
  <c r="AI30" i="3"/>
  <c r="AJ30" i="3" s="1"/>
  <c r="AM30" i="3" s="1"/>
  <c r="AQ30" i="3" s="1"/>
  <c r="AI12" i="3"/>
  <c r="AJ12" i="3" s="1"/>
  <c r="AK12" i="3" s="1"/>
  <c r="AO12" i="3" s="1"/>
  <c r="AI56" i="3"/>
  <c r="AJ56" i="3" s="1"/>
  <c r="AI34" i="3"/>
  <c r="AJ34" i="3" s="1"/>
  <c r="AI28" i="3"/>
  <c r="AJ28" i="3" s="1"/>
  <c r="AL28" i="3" s="1"/>
  <c r="AP28" i="3" s="1"/>
  <c r="AI57" i="3"/>
  <c r="AJ57" i="3" s="1"/>
  <c r="AK57" i="3" s="1"/>
  <c r="AO57" i="3" s="1"/>
  <c r="AI10" i="3"/>
  <c r="AI29" i="3"/>
  <c r="AJ29" i="3" s="1"/>
  <c r="AI16" i="3"/>
  <c r="AJ16" i="3" s="1"/>
  <c r="AN16" i="3" s="1"/>
  <c r="AR16" i="3" s="1"/>
  <c r="AI40" i="3"/>
  <c r="AJ40" i="3" s="1"/>
  <c r="AL40" i="3" s="1"/>
  <c r="AP40" i="3" s="1"/>
  <c r="AI51" i="3"/>
  <c r="AJ51" i="3" s="1"/>
  <c r="AI20" i="3"/>
  <c r="AJ20" i="3" s="1"/>
  <c r="AI44" i="3"/>
  <c r="AJ44" i="3" s="1"/>
  <c r="AL44" i="3" s="1"/>
  <c r="AP44" i="3" s="1"/>
  <c r="AI36" i="3"/>
  <c r="AJ36" i="3" s="1"/>
  <c r="AK36" i="3" s="1"/>
  <c r="AO36" i="3" s="1"/>
  <c r="AI23" i="3"/>
  <c r="AJ23" i="3" s="1"/>
  <c r="AI15" i="3"/>
  <c r="AJ15" i="3" s="1"/>
  <c r="AZ37" i="3"/>
  <c r="BA37" i="3" s="1"/>
  <c r="AZ36" i="3"/>
  <c r="BA36" i="3" s="1"/>
  <c r="AZ44" i="3"/>
  <c r="BD44" i="3" s="1"/>
  <c r="BH44" i="3" s="1"/>
  <c r="AZ45" i="3"/>
  <c r="AZ60" i="3"/>
  <c r="BA60" i="3" s="1"/>
  <c r="AZ12" i="3"/>
  <c r="AY12" i="3"/>
  <c r="AZ13" i="3"/>
  <c r="AY13" i="3"/>
  <c r="AY14" i="3"/>
  <c r="AZ14" i="3"/>
  <c r="AZ11" i="3"/>
  <c r="AY11" i="3"/>
  <c r="AJ10" i="3"/>
  <c r="AK10" i="3" s="1"/>
  <c r="AO10" i="3" s="1"/>
  <c r="AZ35" i="3"/>
  <c r="AZ50" i="3"/>
  <c r="AZ56" i="3"/>
  <c r="BD56" i="3" s="1"/>
  <c r="BH56" i="3" s="1"/>
  <c r="AZ54" i="3"/>
  <c r="BA54" i="3" s="1"/>
  <c r="AZ51" i="3"/>
  <c r="AZ57" i="3"/>
  <c r="BA57" i="3" s="1"/>
  <c r="AZ16" i="3"/>
  <c r="AY16" i="3"/>
  <c r="AY28" i="3"/>
  <c r="AZ28" i="3"/>
  <c r="AZ17" i="3"/>
  <c r="AY17" i="3"/>
  <c r="AZ29" i="3"/>
  <c r="AY29" i="3"/>
  <c r="AY18" i="3"/>
  <c r="AZ18" i="3"/>
  <c r="AZ15" i="3"/>
  <c r="AY15" i="3"/>
  <c r="AI9" i="3"/>
  <c r="AJ9" i="3" s="1"/>
  <c r="AK9" i="3" s="1"/>
  <c r="AZ34" i="3"/>
  <c r="BB34" i="3" s="1"/>
  <c r="AI45" i="3"/>
  <c r="AJ45" i="3" s="1"/>
  <c r="AZ43" i="3"/>
  <c r="BB43" i="3" s="1"/>
  <c r="BF43" i="3" s="1"/>
  <c r="AZ52" i="3"/>
  <c r="BC52" i="3" s="1"/>
  <c r="BG52" i="3" s="1"/>
  <c r="AZ58" i="3"/>
  <c r="BC58" i="3" s="1"/>
  <c r="BG58" i="3" s="1"/>
  <c r="AZ31" i="3"/>
  <c r="AY31" i="3"/>
  <c r="AZ20" i="3"/>
  <c r="AY20" i="3"/>
  <c r="AY32" i="3"/>
  <c r="AZ32" i="3"/>
  <c r="AZ21" i="3"/>
  <c r="AY21" i="3"/>
  <c r="AZ33" i="3"/>
  <c r="AY33" i="3"/>
  <c r="AY22" i="3"/>
  <c r="AZ22" i="3"/>
  <c r="AY30" i="3"/>
  <c r="AZ30" i="3"/>
  <c r="AZ19" i="3"/>
  <c r="AY19" i="3"/>
  <c r="AZ41" i="3"/>
  <c r="AZ49" i="3"/>
  <c r="AZ55" i="3"/>
  <c r="BE55" i="3" s="1"/>
  <c r="BI55" i="3" s="1"/>
  <c r="AZ42" i="3"/>
  <c r="BE42" i="3" s="1"/>
  <c r="BI42" i="3" s="1"/>
  <c r="AZ39" i="3"/>
  <c r="AZ53" i="3"/>
  <c r="BC53" i="3" s="1"/>
  <c r="BG53" i="3" s="1"/>
  <c r="AZ59" i="3"/>
  <c r="BB59" i="3" s="1"/>
  <c r="BF59" i="3" s="1"/>
  <c r="AZ27" i="3"/>
  <c r="AY27" i="3"/>
  <c r="AZ9" i="3"/>
  <c r="AY9" i="3"/>
  <c r="AY10" i="3"/>
  <c r="AZ40" i="3"/>
  <c r="AY23" i="3"/>
  <c r="AZ23" i="3"/>
  <c r="BD60" i="3"/>
  <c r="BH60" i="3" s="1"/>
  <c r="BB57" i="3"/>
  <c r="BF57" i="3" s="1"/>
  <c r="BC57" i="3"/>
  <c r="BG57" i="3" s="1"/>
  <c r="BE57" i="3"/>
  <c r="BI57" i="3" s="1"/>
  <c r="BD57" i="3"/>
  <c r="BH57" i="3" s="1"/>
  <c r="BB52" i="3"/>
  <c r="BF52" i="3" s="1"/>
  <c r="BE52" i="3"/>
  <c r="BA52" i="3"/>
  <c r="BB53" i="3"/>
  <c r="BF53" i="3" s="1"/>
  <c r="BD53" i="3"/>
  <c r="BH53" i="3" s="1"/>
  <c r="BA53" i="3"/>
  <c r="BE53" i="3"/>
  <c r="BI53" i="3" s="1"/>
  <c r="BB51" i="3"/>
  <c r="BF51" i="3" s="1"/>
  <c r="BA51" i="3"/>
  <c r="BC51" i="3"/>
  <c r="BG51" i="3" s="1"/>
  <c r="BE51" i="3"/>
  <c r="BI51" i="3" s="1"/>
  <c r="BD51" i="3"/>
  <c r="BH51" i="3" s="1"/>
  <c r="BD43" i="3"/>
  <c r="BH43" i="3" s="1"/>
  <c r="BC43" i="3"/>
  <c r="BG43" i="3" s="1"/>
  <c r="BE43" i="3"/>
  <c r="BI43" i="3" s="1"/>
  <c r="BB45" i="3"/>
  <c r="BF45" i="3" s="1"/>
  <c r="BD45" i="3"/>
  <c r="BH45" i="3" s="1"/>
  <c r="BC45" i="3"/>
  <c r="BG45" i="3" s="1"/>
  <c r="BA45" i="3"/>
  <c r="BE45" i="3"/>
  <c r="BI45" i="3" s="1"/>
  <c r="BE39" i="3"/>
  <c r="BI39" i="3" s="1"/>
  <c r="BD39" i="3"/>
  <c r="BB39" i="3"/>
  <c r="BF39" i="3" s="1"/>
  <c r="BA39" i="3"/>
  <c r="BC39" i="3"/>
  <c r="BG39" i="3" s="1"/>
  <c r="BH39" i="3"/>
  <c r="BD37" i="3"/>
  <c r="BH37" i="3" s="1"/>
  <c r="BB37" i="3"/>
  <c r="BF37" i="3" s="1"/>
  <c r="AZ38" i="3"/>
  <c r="AY38" i="3"/>
  <c r="BA56" i="3"/>
  <c r="BB56" i="3"/>
  <c r="BF56" i="3" s="1"/>
  <c r="BD55" i="3"/>
  <c r="BH55" i="3" s="1"/>
  <c r="BE50" i="3"/>
  <c r="BI50" i="3" s="1"/>
  <c r="BA50" i="3"/>
  <c r="BB50" i="3"/>
  <c r="BF50" i="3" s="1"/>
  <c r="BC50" i="3"/>
  <c r="BG50" i="3" s="1"/>
  <c r="BD50" i="3"/>
  <c r="BH50" i="3" s="1"/>
  <c r="BE49" i="3"/>
  <c r="BI49" i="3" s="1"/>
  <c r="BA49" i="3"/>
  <c r="BD49" i="3"/>
  <c r="BH49" i="3" s="1"/>
  <c r="BC49" i="3"/>
  <c r="BG49" i="3" s="1"/>
  <c r="BB49" i="3"/>
  <c r="BF49" i="3" s="1"/>
  <c r="BC35" i="3"/>
  <c r="BG35" i="3" s="1"/>
  <c r="BA35" i="3"/>
  <c r="BD35" i="3"/>
  <c r="BH35" i="3" s="1"/>
  <c r="BE35" i="3"/>
  <c r="BI35" i="3" s="1"/>
  <c r="BB35" i="3"/>
  <c r="BF35" i="3" s="1"/>
  <c r="BE41" i="3"/>
  <c r="BI41" i="3" s="1"/>
  <c r="BD41" i="3"/>
  <c r="BH41" i="3" s="1"/>
  <c r="BB41" i="3"/>
  <c r="BF41" i="3" s="1"/>
  <c r="BC41" i="3"/>
  <c r="BG41" i="3" s="1"/>
  <c r="BA41" i="3"/>
  <c r="AM60" i="3"/>
  <c r="AQ60" i="3" s="1"/>
  <c r="AL60" i="3"/>
  <c r="AP60" i="3" s="1"/>
  <c r="AN60" i="3"/>
  <c r="AR60" i="3" s="1"/>
  <c r="AK60" i="3"/>
  <c r="AO60" i="3" s="1"/>
  <c r="AL13" i="3"/>
  <c r="AP13" i="3" s="1"/>
  <c r="AM13" i="3"/>
  <c r="AQ13" i="3" s="1"/>
  <c r="AN13" i="3"/>
  <c r="AR13" i="3" s="1"/>
  <c r="AK13" i="3"/>
  <c r="AO13" i="3" s="1"/>
  <c r="AN32" i="3"/>
  <c r="AR32" i="3" s="1"/>
  <c r="AL32" i="3"/>
  <c r="AP32" i="3" s="1"/>
  <c r="AM32" i="3"/>
  <c r="AQ32" i="3" s="1"/>
  <c r="AK32" i="3"/>
  <c r="AO32" i="3" s="1"/>
  <c r="AN35" i="3"/>
  <c r="AR35" i="3" s="1"/>
  <c r="AK35" i="3"/>
  <c r="AO35" i="3" s="1"/>
  <c r="AM14" i="3"/>
  <c r="AQ14" i="3" s="1"/>
  <c r="AN14" i="3"/>
  <c r="AR14" i="3" s="1"/>
  <c r="AL33" i="3"/>
  <c r="AP33" i="3" s="1"/>
  <c r="AM33" i="3"/>
  <c r="AQ33" i="3" s="1"/>
  <c r="AK33" i="3"/>
  <c r="AO33" i="3" s="1"/>
  <c r="AN33" i="3"/>
  <c r="AR33" i="3" s="1"/>
  <c r="AL16" i="3"/>
  <c r="AP16" i="3" s="1"/>
  <c r="AK16" i="3"/>
  <c r="AO16" i="3" s="1"/>
  <c r="AL51" i="3"/>
  <c r="AP51" i="3" s="1"/>
  <c r="AM51" i="3"/>
  <c r="AQ51" i="3" s="1"/>
  <c r="AK51" i="3"/>
  <c r="AO51" i="3" s="1"/>
  <c r="AN51" i="3"/>
  <c r="AR51" i="3" s="1"/>
  <c r="AL20" i="3"/>
  <c r="AP20" i="3" s="1"/>
  <c r="AN20" i="3"/>
  <c r="AR20" i="3" s="1"/>
  <c r="AM20" i="3"/>
  <c r="AQ20" i="3" s="1"/>
  <c r="AK20" i="3"/>
  <c r="AO20" i="3" s="1"/>
  <c r="AN44" i="3"/>
  <c r="AR44" i="3" s="1"/>
  <c r="AM44" i="3"/>
  <c r="AQ44" i="3" s="1"/>
  <c r="AK54" i="3"/>
  <c r="AO54" i="3" s="1"/>
  <c r="AN54" i="3"/>
  <c r="AR54" i="3" s="1"/>
  <c r="AL54" i="3"/>
  <c r="AP54" i="3" s="1"/>
  <c r="AM54" i="3"/>
  <c r="AQ54" i="3" s="1"/>
  <c r="AN23" i="3"/>
  <c r="AR23" i="3" s="1"/>
  <c r="AK23" i="3"/>
  <c r="AO23" i="3" s="1"/>
  <c r="AL23" i="3"/>
  <c r="AP23" i="3" s="1"/>
  <c r="AM23" i="3"/>
  <c r="AQ23" i="3" s="1"/>
  <c r="AL52" i="3"/>
  <c r="AP52" i="3" s="1"/>
  <c r="AK52" i="3"/>
  <c r="AO52" i="3" s="1"/>
  <c r="AL21" i="3"/>
  <c r="AP21" i="3" s="1"/>
  <c r="AM21" i="3"/>
  <c r="AQ21" i="3" s="1"/>
  <c r="AN21" i="3"/>
  <c r="AR21" i="3" s="1"/>
  <c r="AK21" i="3"/>
  <c r="AO21" i="3" s="1"/>
  <c r="AN53" i="3"/>
  <c r="AR53" i="3" s="1"/>
  <c r="AM53" i="3"/>
  <c r="AQ53" i="3" s="1"/>
  <c r="AK53" i="3"/>
  <c r="AO53" i="3" s="1"/>
  <c r="AL53" i="3"/>
  <c r="AP53" i="3" s="1"/>
  <c r="AM43" i="3"/>
  <c r="AQ43" i="3" s="1"/>
  <c r="AL43" i="3"/>
  <c r="AP43" i="3" s="1"/>
  <c r="AL37" i="3"/>
  <c r="AP37" i="3" s="1"/>
  <c r="AM37" i="3"/>
  <c r="AQ37" i="3" s="1"/>
  <c r="AN37" i="3"/>
  <c r="AR37" i="3" s="1"/>
  <c r="AK37" i="3"/>
  <c r="AO37" i="3" s="1"/>
  <c r="AM50" i="3"/>
  <c r="AQ50" i="3" s="1"/>
  <c r="AN50" i="3"/>
  <c r="AR50" i="3" s="1"/>
  <c r="AL41" i="3"/>
  <c r="AP41" i="3" s="1"/>
  <c r="AM41" i="3"/>
  <c r="AQ41" i="3" s="1"/>
  <c r="AN41" i="3"/>
  <c r="AR41" i="3" s="1"/>
  <c r="AK41" i="3"/>
  <c r="AO41" i="3" s="1"/>
  <c r="AN9" i="3"/>
  <c r="AR9" i="3" s="1"/>
  <c r="AM56" i="3"/>
  <c r="AQ56" i="3" s="1"/>
  <c r="AN56" i="3"/>
  <c r="AR56" i="3" s="1"/>
  <c r="AK56" i="3"/>
  <c r="AO56" i="3" s="1"/>
  <c r="AL56" i="3"/>
  <c r="AP56" i="3" s="1"/>
  <c r="AL34" i="3"/>
  <c r="AP34" i="3" s="1"/>
  <c r="AK34" i="3"/>
  <c r="AO34" i="3" s="1"/>
  <c r="AN34" i="3"/>
  <c r="AR34" i="3" s="1"/>
  <c r="AM34" i="3"/>
  <c r="AQ34" i="3" s="1"/>
  <c r="AN28" i="3"/>
  <c r="AR28" i="3" s="1"/>
  <c r="AM57" i="3"/>
  <c r="AQ57" i="3" s="1"/>
  <c r="AL29" i="3"/>
  <c r="AP29" i="3" s="1"/>
  <c r="AK29" i="3"/>
  <c r="AO29" i="3" s="1"/>
  <c r="AM29" i="3"/>
  <c r="AQ29" i="3" s="1"/>
  <c r="AN29" i="3"/>
  <c r="AR29" i="3" s="1"/>
  <c r="AL45" i="3"/>
  <c r="AP45" i="3" s="1"/>
  <c r="AM45" i="3"/>
  <c r="AQ45" i="3" s="1"/>
  <c r="AN45" i="3"/>
  <c r="AR45" i="3" s="1"/>
  <c r="AK45" i="3"/>
  <c r="AO45" i="3" s="1"/>
  <c r="AK58" i="3"/>
  <c r="AO58" i="3" s="1"/>
  <c r="AL58" i="3"/>
  <c r="AP58" i="3" s="1"/>
  <c r="AM58" i="3"/>
  <c r="AQ58" i="3" s="1"/>
  <c r="AN58" i="3"/>
  <c r="AR58" i="3" s="1"/>
  <c r="AN30" i="3"/>
  <c r="AR30" i="3" s="1"/>
  <c r="AL30" i="3"/>
  <c r="AP30" i="3" s="1"/>
  <c r="AM38" i="3"/>
  <c r="AQ38" i="3" s="1"/>
  <c r="AN38" i="3"/>
  <c r="AR38" i="3" s="1"/>
  <c r="AL38" i="3"/>
  <c r="AP38" i="3" s="1"/>
  <c r="AK38" i="3"/>
  <c r="AO38" i="3" s="1"/>
  <c r="AL17" i="3"/>
  <c r="AP17" i="3" s="1"/>
  <c r="AM17" i="3"/>
  <c r="AQ17" i="3" s="1"/>
  <c r="AK17" i="3"/>
  <c r="AO17" i="3" s="1"/>
  <c r="AN17" i="3"/>
  <c r="AR17" i="3" s="1"/>
  <c r="AL49" i="3"/>
  <c r="AP49" i="3" s="1"/>
  <c r="AN49" i="3"/>
  <c r="AR49" i="3" s="1"/>
  <c r="AM18" i="3"/>
  <c r="AQ18" i="3" s="1"/>
  <c r="AK18" i="3"/>
  <c r="AO18" i="3" s="1"/>
  <c r="AL18" i="3"/>
  <c r="AP18" i="3" s="1"/>
  <c r="AN18" i="3"/>
  <c r="AR18" i="3" s="1"/>
  <c r="AL55" i="3"/>
  <c r="AP55" i="3" s="1"/>
  <c r="AM55" i="3"/>
  <c r="AQ55" i="3" s="1"/>
  <c r="AK55" i="3"/>
  <c r="AO55" i="3" s="1"/>
  <c r="AN55" i="3"/>
  <c r="AR55" i="3" s="1"/>
  <c r="AN27" i="3"/>
  <c r="AR27" i="3" s="1"/>
  <c r="AK27" i="3"/>
  <c r="AO27" i="3" s="1"/>
  <c r="AL27" i="3"/>
  <c r="AP27" i="3" s="1"/>
  <c r="AM27" i="3"/>
  <c r="AQ27" i="3" s="1"/>
  <c r="AN11" i="3"/>
  <c r="AR11" i="3" s="1"/>
  <c r="AK11" i="3"/>
  <c r="AO11" i="3" s="1"/>
  <c r="AL11" i="3"/>
  <c r="AP11" i="3" s="1"/>
  <c r="AM11" i="3"/>
  <c r="AQ11" i="3" s="1"/>
  <c r="AN31" i="3"/>
  <c r="AR31" i="3" s="1"/>
  <c r="AK31" i="3"/>
  <c r="AO31" i="3" s="1"/>
  <c r="AL31" i="3"/>
  <c r="AP31" i="3" s="1"/>
  <c r="AM31" i="3"/>
  <c r="AQ31" i="3" s="1"/>
  <c r="AN15" i="3"/>
  <c r="AR15" i="3" s="1"/>
  <c r="AK15" i="3"/>
  <c r="AO15" i="3" s="1"/>
  <c r="AL15" i="3"/>
  <c r="AP15" i="3" s="1"/>
  <c r="AM15" i="3"/>
  <c r="AQ15" i="3" s="1"/>
  <c r="AD73" i="2"/>
  <c r="O76" i="2"/>
  <c r="Q76" i="2"/>
  <c r="T76" i="2" s="1"/>
  <c r="O75" i="2"/>
  <c r="P76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U107" i="2"/>
  <c r="AD75" i="2"/>
  <c r="AD77" i="2"/>
  <c r="AD78" i="2"/>
  <c r="AD79" i="2"/>
  <c r="AD80" i="2"/>
  <c r="AD81" i="2"/>
  <c r="AD82" i="2"/>
  <c r="AD83" i="2"/>
  <c r="AD84" i="2"/>
  <c r="AD74" i="2"/>
  <c r="AC66" i="2"/>
  <c r="AC67" i="2"/>
  <c r="AC68" i="2"/>
  <c r="AC69" i="2"/>
  <c r="AC71" i="2"/>
  <c r="AC72" i="2"/>
  <c r="AC70" i="2"/>
  <c r="T84" i="2"/>
  <c r="T83" i="2"/>
  <c r="T82" i="2"/>
  <c r="T81" i="2"/>
  <c r="T80" i="2"/>
  <c r="T79" i="2"/>
  <c r="T78" i="2"/>
  <c r="T77" i="2"/>
  <c r="T75" i="2"/>
  <c r="T74" i="2"/>
  <c r="T73" i="2"/>
  <c r="S67" i="2"/>
  <c r="S68" i="2"/>
  <c r="S69" i="2"/>
  <c r="S70" i="2"/>
  <c r="S71" i="2"/>
  <c r="S72" i="2"/>
  <c r="S66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25" i="2"/>
  <c r="U108" i="2"/>
  <c r="U109" i="2"/>
  <c r="U110" i="2"/>
  <c r="U111" i="2"/>
  <c r="U112" i="2"/>
  <c r="U113" i="2"/>
  <c r="U114" i="2"/>
  <c r="U115" i="2"/>
  <c r="U116" i="2"/>
  <c r="U117" i="2"/>
  <c r="U118" i="2"/>
  <c r="BC60" i="3" l="1"/>
  <c r="BB60" i="3"/>
  <c r="BF60" i="3" s="1"/>
  <c r="BC55" i="3"/>
  <c r="BG55" i="3" s="1"/>
  <c r="BA55" i="3"/>
  <c r="BC44" i="3"/>
  <c r="BG44" i="3" s="1"/>
  <c r="BA44" i="3"/>
  <c r="BB44" i="3"/>
  <c r="BF44" i="3" s="1"/>
  <c r="BE44" i="3"/>
  <c r="BI44" i="3" s="1"/>
  <c r="AN59" i="3"/>
  <c r="AR59" i="3" s="1"/>
  <c r="AN40" i="3"/>
  <c r="AR40" i="3" s="1"/>
  <c r="AK28" i="3"/>
  <c r="AO28" i="3" s="1"/>
  <c r="AM35" i="3"/>
  <c r="AQ35" i="3" s="1"/>
  <c r="AK59" i="3"/>
  <c r="AO59" i="3" s="1"/>
  <c r="AM59" i="3"/>
  <c r="AQ59" i="3" s="1"/>
  <c r="AK49" i="3"/>
  <c r="AO49" i="3" s="1"/>
  <c r="AK30" i="3"/>
  <c r="AO30" i="3" s="1"/>
  <c r="BM9" i="3" s="1"/>
  <c r="BN9" i="3" s="1"/>
  <c r="AM28" i="3"/>
  <c r="AQ28" i="3" s="1"/>
  <c r="BQ9" i="3" s="1"/>
  <c r="BR9" i="3" s="1"/>
  <c r="AL9" i="3"/>
  <c r="AP9" i="3" s="1"/>
  <c r="AL50" i="3"/>
  <c r="AP50" i="3" s="1"/>
  <c r="AK43" i="3"/>
  <c r="AO43" i="3" s="1"/>
  <c r="AN52" i="3"/>
  <c r="AR52" i="3" s="1"/>
  <c r="AK44" i="3"/>
  <c r="AO44" i="3" s="1"/>
  <c r="AM16" i="3"/>
  <c r="AQ16" i="3" s="1"/>
  <c r="AL14" i="3"/>
  <c r="AP14" i="3" s="1"/>
  <c r="BB55" i="3"/>
  <c r="BF55" i="3" s="1"/>
  <c r="BE56" i="3"/>
  <c r="BI56" i="3" s="1"/>
  <c r="BC56" i="3"/>
  <c r="BG56" i="3" s="1"/>
  <c r="BC37" i="3"/>
  <c r="BE37" i="3"/>
  <c r="BI37" i="3" s="1"/>
  <c r="BD52" i="3"/>
  <c r="BH52" i="3" s="1"/>
  <c r="BG60" i="3"/>
  <c r="BE60" i="3"/>
  <c r="BI60" i="3" s="1"/>
  <c r="BD59" i="3"/>
  <c r="BH59" i="3" s="1"/>
  <c r="BM13" i="3"/>
  <c r="BN13" i="3" s="1"/>
  <c r="AM9" i="3"/>
  <c r="AQ9" i="3" s="1"/>
  <c r="BG37" i="3"/>
  <c r="BA43" i="3"/>
  <c r="BI52" i="3"/>
  <c r="BC59" i="3"/>
  <c r="BG59" i="3" s="1"/>
  <c r="BO27" i="3" s="1"/>
  <c r="BP27" i="3" s="1"/>
  <c r="BC42" i="3"/>
  <c r="BG42" i="3" s="1"/>
  <c r="BC36" i="3"/>
  <c r="BG36" i="3" s="1"/>
  <c r="BE59" i="3"/>
  <c r="BI59" i="3" s="1"/>
  <c r="AL39" i="3"/>
  <c r="AP39" i="3" s="1"/>
  <c r="AL36" i="3"/>
  <c r="AP36" i="3" s="1"/>
  <c r="AN19" i="3"/>
  <c r="AR19" i="3" s="1"/>
  <c r="BA34" i="3"/>
  <c r="BE36" i="3"/>
  <c r="BI36" i="3" s="1"/>
  <c r="AM12" i="3"/>
  <c r="AQ12" i="3" s="1"/>
  <c r="AM22" i="3"/>
  <c r="AQ22" i="3" s="1"/>
  <c r="BC54" i="3"/>
  <c r="BG54" i="3" s="1"/>
  <c r="BO26" i="3" s="1"/>
  <c r="BP26" i="3" s="1"/>
  <c r="AL10" i="3"/>
  <c r="AP10" i="3" s="1"/>
  <c r="AM42" i="3"/>
  <c r="AQ42" i="3" s="1"/>
  <c r="BO12" i="3"/>
  <c r="BP12" i="3" s="1"/>
  <c r="BE58" i="3"/>
  <c r="BI58" i="3" s="1"/>
  <c r="BN7" i="3"/>
  <c r="BO9" i="3"/>
  <c r="BP9" i="3" s="1"/>
  <c r="AK39" i="3"/>
  <c r="AO39" i="3" s="1"/>
  <c r="AN12" i="3"/>
  <c r="AR12" i="3" s="1"/>
  <c r="AN57" i="3"/>
  <c r="AR57" i="3" s="1"/>
  <c r="BS13" i="3" s="1"/>
  <c r="BT13" i="3" s="1"/>
  <c r="BS9" i="3"/>
  <c r="BT9" i="3" s="1"/>
  <c r="AN36" i="3"/>
  <c r="AR36" i="3" s="1"/>
  <c r="AM19" i="3"/>
  <c r="AQ19" i="3" s="1"/>
  <c r="BQ8" i="3" s="1"/>
  <c r="BR8" i="3" s="1"/>
  <c r="AN22" i="3"/>
  <c r="AR22" i="3" s="1"/>
  <c r="AL42" i="3"/>
  <c r="AP42" i="3" s="1"/>
  <c r="BS12" i="3"/>
  <c r="BT12" i="3" s="1"/>
  <c r="AM40" i="3"/>
  <c r="AQ40" i="3" s="1"/>
  <c r="BS8" i="3"/>
  <c r="BT8" i="3" s="1"/>
  <c r="BD34" i="3"/>
  <c r="BH34" i="3" s="1"/>
  <c r="BA42" i="3"/>
  <c r="BD36" i="3"/>
  <c r="BH36" i="3" s="1"/>
  <c r="BE54" i="3"/>
  <c r="BI54" i="3" s="1"/>
  <c r="BS26" i="3" s="1"/>
  <c r="BT26" i="3" s="1"/>
  <c r="BD58" i="3"/>
  <c r="BH58" i="3" s="1"/>
  <c r="BB58" i="3"/>
  <c r="BF58" i="3" s="1"/>
  <c r="AN39" i="3"/>
  <c r="AR39" i="3" s="1"/>
  <c r="AL12" i="3"/>
  <c r="AP12" i="3" s="1"/>
  <c r="AL57" i="3"/>
  <c r="AP57" i="3" s="1"/>
  <c r="BO13" i="3" s="1"/>
  <c r="BP13" i="3" s="1"/>
  <c r="AM36" i="3"/>
  <c r="AQ36" i="3" s="1"/>
  <c r="AL19" i="3"/>
  <c r="AP19" i="3" s="1"/>
  <c r="AL22" i="3"/>
  <c r="AP22" i="3" s="1"/>
  <c r="AK42" i="3"/>
  <c r="AO42" i="3" s="1"/>
  <c r="BM12" i="3"/>
  <c r="BN12" i="3" s="1"/>
  <c r="AK40" i="3"/>
  <c r="AO40" i="3" s="1"/>
  <c r="BF34" i="3"/>
  <c r="BE34" i="3"/>
  <c r="BI34" i="3" s="1"/>
  <c r="BB42" i="3"/>
  <c r="BF42" i="3" s="1"/>
  <c r="BB36" i="3"/>
  <c r="BF36" i="3" s="1"/>
  <c r="BD54" i="3"/>
  <c r="BH54" i="3" s="1"/>
  <c r="BQ26" i="3" s="1"/>
  <c r="BR26" i="3" s="1"/>
  <c r="BB54" i="3"/>
  <c r="BF54" i="3" s="1"/>
  <c r="BM26" i="3" s="1"/>
  <c r="BN26" i="3" s="1"/>
  <c r="BA58" i="3"/>
  <c r="BQ13" i="3"/>
  <c r="BR13" i="3" s="1"/>
  <c r="AN10" i="3"/>
  <c r="AR10" i="3" s="1"/>
  <c r="BQ12" i="3"/>
  <c r="BR12" i="3" s="1"/>
  <c r="BM8" i="3"/>
  <c r="BN8" i="3" s="1"/>
  <c r="BC34" i="3"/>
  <c r="BG34" i="3" s="1"/>
  <c r="BD42" i="3"/>
  <c r="BH42" i="3" s="1"/>
  <c r="BA59" i="3"/>
  <c r="BQ27" i="3"/>
  <c r="BR27" i="3" s="1"/>
  <c r="BM27" i="3"/>
  <c r="BN27" i="3" s="1"/>
  <c r="BD40" i="3"/>
  <c r="BH40" i="3" s="1"/>
  <c r="BA40" i="3"/>
  <c r="BB40" i="3"/>
  <c r="BF40" i="3" s="1"/>
  <c r="BE40" i="3"/>
  <c r="BI40" i="3" s="1"/>
  <c r="BC40" i="3"/>
  <c r="BG40" i="3" s="1"/>
  <c r="BB9" i="3"/>
  <c r="BE9" i="3"/>
  <c r="BI9" i="3" s="1"/>
  <c r="BD9" i="3"/>
  <c r="BH9" i="3" s="1"/>
  <c r="BC9" i="3"/>
  <c r="BG9" i="3" s="1"/>
  <c r="BA9" i="3"/>
  <c r="BE30" i="3"/>
  <c r="BI30" i="3" s="1"/>
  <c r="BB30" i="3"/>
  <c r="BA30" i="3"/>
  <c r="BC30" i="3"/>
  <c r="BD30" i="3"/>
  <c r="BH30" i="3" s="1"/>
  <c r="BE32" i="3"/>
  <c r="BI32" i="3" s="1"/>
  <c r="BB32" i="3"/>
  <c r="BF32" i="3" s="1"/>
  <c r="BC32" i="3"/>
  <c r="BD32" i="3"/>
  <c r="BA32" i="3"/>
  <c r="BE28" i="3"/>
  <c r="BI28" i="3" s="1"/>
  <c r="BB28" i="3"/>
  <c r="BC28" i="3"/>
  <c r="BG28" i="3" s="1"/>
  <c r="BD28" i="3"/>
  <c r="BH28" i="3" s="1"/>
  <c r="BA28" i="3"/>
  <c r="BE10" i="3"/>
  <c r="BB10" i="3"/>
  <c r="BF10" i="3" s="1"/>
  <c r="BC10" i="3"/>
  <c r="BG10" i="3" s="1"/>
  <c r="BD10" i="3"/>
  <c r="BG30" i="3"/>
  <c r="BF30" i="3"/>
  <c r="BE33" i="3"/>
  <c r="BI33" i="3" s="1"/>
  <c r="BB33" i="3"/>
  <c r="BF33" i="3" s="1"/>
  <c r="BC33" i="3"/>
  <c r="BG33" i="3" s="1"/>
  <c r="BA33" i="3"/>
  <c r="BD33" i="3"/>
  <c r="BH33" i="3" s="1"/>
  <c r="BG32" i="3"/>
  <c r="BH32" i="3"/>
  <c r="BE31" i="3"/>
  <c r="BI31" i="3" s="1"/>
  <c r="BA31" i="3"/>
  <c r="BB31" i="3"/>
  <c r="BF31" i="3" s="1"/>
  <c r="BC31" i="3"/>
  <c r="BG31" i="3" s="1"/>
  <c r="BD31" i="3"/>
  <c r="BH31" i="3" s="1"/>
  <c r="BE15" i="3"/>
  <c r="BI15" i="3" s="1"/>
  <c r="BB15" i="3"/>
  <c r="BF15" i="3" s="1"/>
  <c r="BA15" i="3"/>
  <c r="BC15" i="3"/>
  <c r="BG15" i="3" s="1"/>
  <c r="BD15" i="3"/>
  <c r="BH15" i="3" s="1"/>
  <c r="BE29" i="3"/>
  <c r="BI29" i="3" s="1"/>
  <c r="BB29" i="3"/>
  <c r="BF29" i="3" s="1"/>
  <c r="BC29" i="3"/>
  <c r="BG29" i="3" s="1"/>
  <c r="BA29" i="3"/>
  <c r="BD29" i="3"/>
  <c r="BH29" i="3" s="1"/>
  <c r="BF28" i="3"/>
  <c r="BE11" i="3"/>
  <c r="BI11" i="3" s="1"/>
  <c r="BB11" i="3"/>
  <c r="BF11" i="3" s="1"/>
  <c r="BA11" i="3"/>
  <c r="BC11" i="3"/>
  <c r="BG11" i="3" s="1"/>
  <c r="BD11" i="3"/>
  <c r="BH11" i="3" s="1"/>
  <c r="BE13" i="3"/>
  <c r="BI13" i="3" s="1"/>
  <c r="BB13" i="3"/>
  <c r="BF13" i="3" s="1"/>
  <c r="BC13" i="3"/>
  <c r="BG13" i="3" s="1"/>
  <c r="BD13" i="3"/>
  <c r="BH13" i="3" s="1"/>
  <c r="BA13" i="3"/>
  <c r="BE23" i="3"/>
  <c r="BI23" i="3" s="1"/>
  <c r="BB23" i="3"/>
  <c r="BF23" i="3" s="1"/>
  <c r="BA23" i="3"/>
  <c r="BC23" i="3"/>
  <c r="BD23" i="3"/>
  <c r="BH23" i="3" s="1"/>
  <c r="BI10" i="3"/>
  <c r="BH10" i="3"/>
  <c r="BE27" i="3"/>
  <c r="BI27" i="3" s="1"/>
  <c r="BA27" i="3"/>
  <c r="BB27" i="3"/>
  <c r="BF27" i="3" s="1"/>
  <c r="BC27" i="3"/>
  <c r="BG27" i="3" s="1"/>
  <c r="BD27" i="3"/>
  <c r="BH27" i="3" s="1"/>
  <c r="BE22" i="3"/>
  <c r="BI22" i="3" s="1"/>
  <c r="BB22" i="3"/>
  <c r="BC22" i="3"/>
  <c r="BG22" i="3" s="1"/>
  <c r="BA22" i="3"/>
  <c r="BD22" i="3"/>
  <c r="BH22" i="3" s="1"/>
  <c r="BE18" i="3"/>
  <c r="BB18" i="3"/>
  <c r="BF18" i="3" s="1"/>
  <c r="BC18" i="3"/>
  <c r="BG18" i="3" s="1"/>
  <c r="BA18" i="3"/>
  <c r="BD18" i="3"/>
  <c r="BH18" i="3" s="1"/>
  <c r="BE14" i="3"/>
  <c r="BI14" i="3" s="1"/>
  <c r="BB14" i="3"/>
  <c r="BF14" i="3" s="1"/>
  <c r="BC14" i="3"/>
  <c r="BA14" i="3"/>
  <c r="BD14" i="3"/>
  <c r="BG23" i="3"/>
  <c r="BF9" i="3"/>
  <c r="BE19" i="3"/>
  <c r="BI19" i="3" s="1"/>
  <c r="BB19" i="3"/>
  <c r="BF19" i="3" s="1"/>
  <c r="BA19" i="3"/>
  <c r="BC19" i="3"/>
  <c r="BG19" i="3" s="1"/>
  <c r="BD19" i="3"/>
  <c r="BH19" i="3" s="1"/>
  <c r="BF22" i="3"/>
  <c r="BE21" i="3"/>
  <c r="BI21" i="3" s="1"/>
  <c r="BB21" i="3"/>
  <c r="BF21" i="3" s="1"/>
  <c r="BC21" i="3"/>
  <c r="BG21" i="3" s="1"/>
  <c r="BD21" i="3"/>
  <c r="BH21" i="3" s="1"/>
  <c r="BA21" i="3"/>
  <c r="BE20" i="3"/>
  <c r="BI20" i="3" s="1"/>
  <c r="BA20" i="3"/>
  <c r="BB20" i="3"/>
  <c r="BF20" i="3" s="1"/>
  <c r="BC20" i="3"/>
  <c r="BG20" i="3" s="1"/>
  <c r="BD20" i="3"/>
  <c r="BH20" i="3" s="1"/>
  <c r="BI18" i="3"/>
  <c r="BE17" i="3"/>
  <c r="BI17" i="3" s="1"/>
  <c r="BB17" i="3"/>
  <c r="BF17" i="3" s="1"/>
  <c r="BC17" i="3"/>
  <c r="BG17" i="3" s="1"/>
  <c r="BD17" i="3"/>
  <c r="BH17" i="3" s="1"/>
  <c r="BA17" i="3"/>
  <c r="BE16" i="3"/>
  <c r="BI16" i="3" s="1"/>
  <c r="BA16" i="3"/>
  <c r="BB16" i="3"/>
  <c r="BF16" i="3" s="1"/>
  <c r="BC16" i="3"/>
  <c r="BG16" i="3" s="1"/>
  <c r="BD16" i="3"/>
  <c r="BH16" i="3" s="1"/>
  <c r="AM10" i="3"/>
  <c r="AQ10" i="3" s="1"/>
  <c r="BH14" i="3"/>
  <c r="BG14" i="3"/>
  <c r="BE12" i="3"/>
  <c r="BI12" i="3" s="1"/>
  <c r="BA12" i="3"/>
  <c r="BB12" i="3"/>
  <c r="BF12" i="3" s="1"/>
  <c r="BC12" i="3"/>
  <c r="BG12" i="3" s="1"/>
  <c r="BD12" i="3"/>
  <c r="BH12" i="3" s="1"/>
  <c r="AO9" i="3"/>
  <c r="BE38" i="3"/>
  <c r="BI38" i="3" s="1"/>
  <c r="BB38" i="3"/>
  <c r="BF38" i="3" s="1"/>
  <c r="BC38" i="3"/>
  <c r="BG38" i="3" s="1"/>
  <c r="BA38" i="3"/>
  <c r="BD38" i="3"/>
  <c r="BH38" i="3" s="1"/>
  <c r="M73" i="2"/>
  <c r="Z108" i="2"/>
  <c r="Z110" i="2"/>
  <c r="Z114" i="2"/>
  <c r="Z116" i="2"/>
  <c r="Z118" i="2"/>
  <c r="P108" i="2"/>
  <c r="P110" i="2"/>
  <c r="P112" i="2"/>
  <c r="P114" i="2"/>
  <c r="P116" i="2"/>
  <c r="P118" i="2"/>
  <c r="AA13" i="2"/>
  <c r="Z74" i="2" s="1"/>
  <c r="AB13" i="2"/>
  <c r="Z109" i="2" s="1"/>
  <c r="Z13" i="2"/>
  <c r="Z67" i="2" s="1"/>
  <c r="AB7" i="2"/>
  <c r="AA7" i="2"/>
  <c r="Z7" i="2"/>
  <c r="AA6" i="2"/>
  <c r="AB5" i="2"/>
  <c r="AB8" i="2" s="1"/>
  <c r="AB9" i="2" s="1"/>
  <c r="AA5" i="2"/>
  <c r="AA8" i="2" s="1"/>
  <c r="AA9" i="2" s="1"/>
  <c r="Z5" i="2"/>
  <c r="Z8" i="2" s="1"/>
  <c r="Z9" i="2" s="1"/>
  <c r="BS27" i="3" l="1"/>
  <c r="BT27" i="3" s="1"/>
  <c r="BO8" i="3"/>
  <c r="BP8" i="3" s="1"/>
  <c r="BO7" i="3"/>
  <c r="BP7" i="3" s="1"/>
  <c r="BS23" i="3"/>
  <c r="BT23" i="3" s="1"/>
  <c r="BM21" i="3"/>
  <c r="BN21" i="3" s="1"/>
  <c r="BO23" i="3"/>
  <c r="BP23" i="3" s="1"/>
  <c r="BO22" i="3"/>
  <c r="BP22" i="3" s="1"/>
  <c r="BM23" i="3"/>
  <c r="BN23" i="3" s="1"/>
  <c r="BQ22" i="3"/>
  <c r="BR22" i="3" s="1"/>
  <c r="BS22" i="3"/>
  <c r="BT22" i="3" s="1"/>
  <c r="BO21" i="3"/>
  <c r="BP21" i="3" s="1"/>
  <c r="BQ23" i="3"/>
  <c r="BR23" i="3" s="1"/>
  <c r="BS7" i="3"/>
  <c r="BT7" i="3" s="1"/>
  <c r="BQ7" i="3"/>
  <c r="BR7" i="3" s="1"/>
  <c r="BS21" i="3"/>
  <c r="BT21" i="3" s="1"/>
  <c r="BM22" i="3"/>
  <c r="BN22" i="3"/>
  <c r="BQ21" i="3"/>
  <c r="BR21" i="3" s="1"/>
  <c r="Z112" i="2"/>
  <c r="P107" i="2"/>
  <c r="P115" i="2"/>
  <c r="P111" i="2"/>
  <c r="Z107" i="2"/>
  <c r="Z115" i="2"/>
  <c r="Z111" i="2"/>
  <c r="P117" i="2"/>
  <c r="P113" i="2"/>
  <c r="P109" i="2"/>
  <c r="Z117" i="2"/>
  <c r="Z113" i="2"/>
  <c r="P81" i="2"/>
  <c r="P77" i="2"/>
  <c r="Z81" i="2"/>
  <c r="Z77" i="2"/>
  <c r="P84" i="2"/>
  <c r="P80" i="2"/>
  <c r="Z84" i="2"/>
  <c r="Z80" i="2"/>
  <c r="Z76" i="2"/>
  <c r="P83" i="2"/>
  <c r="P79" i="2"/>
  <c r="P75" i="2"/>
  <c r="Z83" i="2"/>
  <c r="Z79" i="2"/>
  <c r="Z75" i="2"/>
  <c r="P82" i="2"/>
  <c r="P78" i="2"/>
  <c r="P74" i="2"/>
  <c r="Z82" i="2"/>
  <c r="Z78" i="2"/>
  <c r="P26" i="2"/>
  <c r="P36" i="2"/>
  <c r="P32" i="2"/>
  <c r="P28" i="2"/>
  <c r="P71" i="2"/>
  <c r="P67" i="2"/>
  <c r="Z37" i="2"/>
  <c r="Z33" i="2"/>
  <c r="Z29" i="2"/>
  <c r="Z39" i="2"/>
  <c r="Z70" i="2"/>
  <c r="P39" i="2"/>
  <c r="P35" i="2"/>
  <c r="P31" i="2"/>
  <c r="P27" i="2"/>
  <c r="P70" i="2"/>
  <c r="P25" i="2"/>
  <c r="Z36" i="2"/>
  <c r="Z32" i="2"/>
  <c r="Z28" i="2"/>
  <c r="Z66" i="2"/>
  <c r="Z69" i="2"/>
  <c r="P38" i="2"/>
  <c r="P34" i="2"/>
  <c r="P30" i="2"/>
  <c r="P66" i="2"/>
  <c r="P69" i="2"/>
  <c r="Z25" i="2"/>
  <c r="Z35" i="2"/>
  <c r="Z31" i="2"/>
  <c r="Z27" i="2"/>
  <c r="Z72" i="2"/>
  <c r="Z68" i="2"/>
  <c r="P37" i="2"/>
  <c r="P33" i="2"/>
  <c r="P29" i="2"/>
  <c r="P72" i="2"/>
  <c r="P68" i="2"/>
  <c r="Z38" i="2"/>
  <c r="Z34" i="2"/>
  <c r="Z30" i="2"/>
  <c r="Z26" i="2"/>
  <c r="Z71" i="2"/>
  <c r="AF110" i="2" l="1"/>
  <c r="AG110" i="2" s="1"/>
  <c r="AF113" i="2"/>
  <c r="AG113" i="2" s="1"/>
  <c r="AF116" i="2"/>
  <c r="AG116" i="2" s="1"/>
  <c r="AF69" i="2"/>
  <c r="AG69" i="2" s="1"/>
  <c r="AF66" i="2"/>
  <c r="AG66" i="2" s="1"/>
  <c r="AF108" i="2"/>
  <c r="AG108" i="2" s="1"/>
  <c r="AF109" i="2"/>
  <c r="AG109" i="2" s="1"/>
  <c r="AH112" i="2" s="1"/>
  <c r="AF111" i="2"/>
  <c r="AG111" i="2" s="1"/>
  <c r="AF112" i="2"/>
  <c r="AG112" i="2" s="1"/>
  <c r="AF114" i="2"/>
  <c r="AG114" i="2" s="1"/>
  <c r="AF115" i="2"/>
  <c r="AG115" i="2" s="1"/>
  <c r="AH118" i="2" s="1"/>
  <c r="AF117" i="2"/>
  <c r="AG117" i="2" s="1"/>
  <c r="AF118" i="2"/>
  <c r="AG118" i="2" s="1"/>
  <c r="AF107" i="2"/>
  <c r="AG107" i="2" s="1"/>
  <c r="AF74" i="2"/>
  <c r="AG74" i="2" s="1"/>
  <c r="AF75" i="2"/>
  <c r="AG75" i="2" s="1"/>
  <c r="AF77" i="2"/>
  <c r="AG77" i="2" s="1"/>
  <c r="AF78" i="2"/>
  <c r="AG78" i="2" s="1"/>
  <c r="AF79" i="2"/>
  <c r="AG79" i="2" s="1"/>
  <c r="AF80" i="2"/>
  <c r="AG80" i="2" s="1"/>
  <c r="AF81" i="2"/>
  <c r="AG81" i="2" s="1"/>
  <c r="AF82" i="2"/>
  <c r="AG82" i="2" s="1"/>
  <c r="AF83" i="2"/>
  <c r="AG83" i="2" s="1"/>
  <c r="AF84" i="2"/>
  <c r="AG84" i="2" s="1"/>
  <c r="AF67" i="2"/>
  <c r="AG67" i="2" s="1"/>
  <c r="AF68" i="2"/>
  <c r="AG68" i="2" s="1"/>
  <c r="AF70" i="2"/>
  <c r="AG70" i="2" s="1"/>
  <c r="AF71" i="2"/>
  <c r="AG71" i="2" s="1"/>
  <c r="AF72" i="2"/>
  <c r="AG72" i="2" s="1"/>
  <c r="AF29" i="2"/>
  <c r="AG29" i="2" s="1"/>
  <c r="AF33" i="2"/>
  <c r="AG33" i="2" s="1"/>
  <c r="AF37" i="2"/>
  <c r="AG37" i="2" s="1"/>
  <c r="V25" i="2"/>
  <c r="W25" i="2" s="1"/>
  <c r="AF39" i="2"/>
  <c r="AG39" i="2" s="1"/>
  <c r="AF26" i="2"/>
  <c r="AG26" i="2" s="1"/>
  <c r="AF27" i="2"/>
  <c r="AG27" i="2" s="1"/>
  <c r="AF28" i="2"/>
  <c r="AG28" i="2" s="1"/>
  <c r="AF30" i="2"/>
  <c r="AG30" i="2" s="1"/>
  <c r="AF31" i="2"/>
  <c r="AG31" i="2" s="1"/>
  <c r="AF32" i="2"/>
  <c r="AG32" i="2" s="1"/>
  <c r="AF34" i="2"/>
  <c r="AG34" i="2" s="1"/>
  <c r="AF35" i="2"/>
  <c r="AG35" i="2" s="1"/>
  <c r="AF36" i="2"/>
  <c r="AG36" i="2" s="1"/>
  <c r="AF38" i="2"/>
  <c r="AG38" i="2" s="1"/>
  <c r="AF25" i="2"/>
  <c r="AG25" i="2" s="1"/>
  <c r="AB25" i="2"/>
  <c r="AA25" i="2"/>
  <c r="Q25" i="2"/>
  <c r="V39" i="2"/>
  <c r="W39" i="2" s="1"/>
  <c r="V36" i="2"/>
  <c r="W36" i="2" s="1"/>
  <c r="V35" i="2"/>
  <c r="W35" i="2" s="1"/>
  <c r="V32" i="2"/>
  <c r="W32" i="2" s="1"/>
  <c r="V31" i="2"/>
  <c r="W31" i="2" s="1"/>
  <c r="V28" i="2"/>
  <c r="W28" i="2" s="1"/>
  <c r="V27" i="2"/>
  <c r="W27" i="2" s="1"/>
  <c r="V81" i="2"/>
  <c r="W81" i="2" s="1"/>
  <c r="V66" i="2"/>
  <c r="W66" i="2" s="1"/>
  <c r="V74" i="2"/>
  <c r="W74" i="2" s="1"/>
  <c r="V71" i="2"/>
  <c r="W71" i="2" s="1"/>
  <c r="V69" i="2"/>
  <c r="W69" i="2" s="1"/>
  <c r="V67" i="2"/>
  <c r="W67" i="2" s="1"/>
  <c r="V108" i="2"/>
  <c r="W108" i="2" s="1"/>
  <c r="V109" i="2"/>
  <c r="W109" i="2" s="1"/>
  <c r="V110" i="2"/>
  <c r="W110" i="2" s="1"/>
  <c r="V111" i="2"/>
  <c r="W111" i="2" s="1"/>
  <c r="V112" i="2"/>
  <c r="W112" i="2" s="1"/>
  <c r="V113" i="2"/>
  <c r="W113" i="2" s="1"/>
  <c r="V114" i="2"/>
  <c r="W114" i="2" s="1"/>
  <c r="V115" i="2"/>
  <c r="W115" i="2" s="1"/>
  <c r="V116" i="2"/>
  <c r="W116" i="2" s="1"/>
  <c r="V117" i="2"/>
  <c r="W117" i="2" s="1"/>
  <c r="V118" i="2"/>
  <c r="W118" i="2" s="1"/>
  <c r="V107" i="2"/>
  <c r="W107" i="2" s="1"/>
  <c r="V75" i="2"/>
  <c r="W75" i="2" s="1"/>
  <c r="V76" i="2"/>
  <c r="V77" i="2"/>
  <c r="W77" i="2" s="1"/>
  <c r="V78" i="2"/>
  <c r="W78" i="2" s="1"/>
  <c r="V79" i="2"/>
  <c r="W79" i="2" s="1"/>
  <c r="V80" i="2"/>
  <c r="W80" i="2" s="1"/>
  <c r="V82" i="2"/>
  <c r="W82" i="2" s="1"/>
  <c r="V83" i="2"/>
  <c r="W83" i="2" s="1"/>
  <c r="V84" i="2"/>
  <c r="W84" i="2" s="1"/>
  <c r="V68" i="2"/>
  <c r="W68" i="2" s="1"/>
  <c r="V70" i="2"/>
  <c r="W70" i="2" s="1"/>
  <c r="V72" i="2"/>
  <c r="W72" i="2" s="1"/>
  <c r="V29" i="2"/>
  <c r="W29" i="2" s="1"/>
  <c r="V30" i="2"/>
  <c r="W30" i="2" s="1"/>
  <c r="V33" i="2"/>
  <c r="W33" i="2" s="1"/>
  <c r="V34" i="2"/>
  <c r="W34" i="2" s="1"/>
  <c r="V37" i="2"/>
  <c r="W37" i="2" s="1"/>
  <c r="X39" i="2" s="1"/>
  <c r="V38" i="2"/>
  <c r="W38" i="2" s="1"/>
  <c r="V26" i="2"/>
  <c r="W26" i="2" s="1"/>
  <c r="X118" i="2" l="1"/>
  <c r="X112" i="2"/>
  <c r="X72" i="2"/>
  <c r="X84" i="2"/>
  <c r="AH72" i="2"/>
  <c r="AH84" i="2"/>
  <c r="AH35" i="2"/>
  <c r="AH39" i="2"/>
  <c r="AH28" i="2"/>
  <c r="X28" i="2"/>
  <c r="X35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118" i="2"/>
  <c r="AB117" i="2"/>
  <c r="AB115" i="2"/>
  <c r="AB114" i="2"/>
  <c r="AB113" i="2"/>
  <c r="AB111" i="2"/>
  <c r="AB110" i="2"/>
  <c r="AB109" i="2"/>
  <c r="AB107" i="2"/>
  <c r="AB67" i="2"/>
  <c r="AB68" i="2"/>
  <c r="AB69" i="2"/>
  <c r="AB70" i="2"/>
  <c r="AB71" i="2"/>
  <c r="AB72" i="2"/>
  <c r="AB74" i="2"/>
  <c r="AB75" i="2"/>
  <c r="AB77" i="2"/>
  <c r="AB78" i="2"/>
  <c r="AB79" i="2"/>
  <c r="AB80" i="2"/>
  <c r="AB81" i="2"/>
  <c r="AB82" i="2"/>
  <c r="AB83" i="2"/>
  <c r="AB84" i="2"/>
  <c r="AB66" i="2"/>
  <c r="R66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118" i="2"/>
  <c r="AA117" i="2"/>
  <c r="AA116" i="2"/>
  <c r="AB116" i="2" s="1"/>
  <c r="AA115" i="2"/>
  <c r="AA114" i="2"/>
  <c r="AA113" i="2"/>
  <c r="AA112" i="2"/>
  <c r="AB112" i="2" s="1"/>
  <c r="AA111" i="2"/>
  <c r="AA110" i="2"/>
  <c r="AA109" i="2"/>
  <c r="AA108" i="2"/>
  <c r="AB108" i="2" s="1"/>
  <c r="AA107" i="2"/>
  <c r="AA67" i="2"/>
  <c r="AA68" i="2"/>
  <c r="AA69" i="2"/>
  <c r="AA70" i="2"/>
  <c r="AA71" i="2"/>
  <c r="AA72" i="2"/>
  <c r="AA74" i="2"/>
  <c r="AA75" i="2"/>
  <c r="AA76" i="2"/>
  <c r="AD76" i="2" s="1"/>
  <c r="AF76" i="2" s="1"/>
  <c r="AA77" i="2"/>
  <c r="AA78" i="2"/>
  <c r="AA79" i="2"/>
  <c r="AA80" i="2"/>
  <c r="AA81" i="2"/>
  <c r="AA82" i="2"/>
  <c r="AA83" i="2"/>
  <c r="AA84" i="2"/>
  <c r="AA66" i="2"/>
  <c r="Q66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81" i="2"/>
  <c r="Y82" i="2"/>
  <c r="Y83" i="2"/>
  <c r="Y84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25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67" i="2"/>
  <c r="R68" i="2"/>
  <c r="R69" i="2"/>
  <c r="R70" i="2"/>
  <c r="R71" i="2"/>
  <c r="R72" i="2"/>
  <c r="R74" i="2"/>
  <c r="R75" i="2"/>
  <c r="R77" i="2"/>
  <c r="R78" i="2"/>
  <c r="R79" i="2"/>
  <c r="R80" i="2"/>
  <c r="R81" i="2"/>
  <c r="R82" i="2"/>
  <c r="R83" i="2"/>
  <c r="R84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81" i="2"/>
  <c r="Q82" i="2"/>
  <c r="Q83" i="2"/>
  <c r="Q84" i="2"/>
  <c r="Q67" i="2"/>
  <c r="Q80" i="2"/>
  <c r="Q79" i="2"/>
  <c r="Q78" i="2"/>
  <c r="Q77" i="2"/>
  <c r="Q75" i="2"/>
  <c r="Q74" i="2"/>
  <c r="Q73" i="2"/>
  <c r="V73" i="2" s="1"/>
  <c r="W73" i="2" s="1"/>
  <c r="Q72" i="2"/>
  <c r="Q71" i="2"/>
  <c r="Q70" i="2"/>
  <c r="Q69" i="2"/>
  <c r="Q68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O108" i="2"/>
  <c r="O109" i="2"/>
  <c r="O110" i="2"/>
  <c r="O111" i="2"/>
  <c r="O112" i="2"/>
  <c r="O113" i="2"/>
  <c r="O114" i="2"/>
  <c r="O115" i="2"/>
  <c r="O116" i="2"/>
  <c r="O117" i="2"/>
  <c r="O118" i="2"/>
  <c r="O107" i="2"/>
  <c r="O67" i="2"/>
  <c r="O68" i="2"/>
  <c r="O69" i="2"/>
  <c r="O70" i="2"/>
  <c r="O71" i="2"/>
  <c r="O72" i="2"/>
  <c r="O73" i="2"/>
  <c r="O74" i="2"/>
  <c r="R76" i="2"/>
  <c r="O77" i="2"/>
  <c r="O78" i="2"/>
  <c r="O79" i="2"/>
  <c r="O80" i="2"/>
  <c r="O81" i="2"/>
  <c r="O82" i="2"/>
  <c r="O83" i="2"/>
  <c r="O84" i="2"/>
  <c r="O66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25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M107" i="2"/>
  <c r="L107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P73" i="2" s="1"/>
  <c r="Z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M66" i="2"/>
  <c r="L66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25" i="2"/>
  <c r="M93" i="2"/>
  <c r="M94" i="2"/>
  <c r="M95" i="2"/>
  <c r="M96" i="2"/>
  <c r="M97" i="2"/>
  <c r="M98" i="2"/>
  <c r="M99" i="2"/>
  <c r="M100" i="2"/>
  <c r="M92" i="2"/>
  <c r="M51" i="2"/>
  <c r="M52" i="2"/>
  <c r="M53" i="2"/>
  <c r="M54" i="2"/>
  <c r="M55" i="2"/>
  <c r="M56" i="2"/>
  <c r="M57" i="2"/>
  <c r="M58" i="2"/>
  <c r="M59" i="2"/>
  <c r="M50" i="2"/>
  <c r="M8" i="2"/>
  <c r="M9" i="2"/>
  <c r="M10" i="2"/>
  <c r="M11" i="2"/>
  <c r="M12" i="2"/>
  <c r="M13" i="2"/>
  <c r="M14" i="2"/>
  <c r="M15" i="2"/>
  <c r="M16" i="2"/>
  <c r="M17" i="2"/>
  <c r="M18" i="2"/>
  <c r="M7" i="2"/>
  <c r="L93" i="2"/>
  <c r="N93" i="2" s="1"/>
  <c r="O93" i="2" s="1"/>
  <c r="L94" i="2"/>
  <c r="N94" i="2" s="1"/>
  <c r="O94" i="2" s="1"/>
  <c r="L95" i="2"/>
  <c r="N95" i="2" s="1"/>
  <c r="O95" i="2" s="1"/>
  <c r="L96" i="2"/>
  <c r="N96" i="2" s="1"/>
  <c r="O96" i="2" s="1"/>
  <c r="L97" i="2"/>
  <c r="N97" i="2" s="1"/>
  <c r="O97" i="2" s="1"/>
  <c r="L98" i="2"/>
  <c r="N98" i="2" s="1"/>
  <c r="O98" i="2" s="1"/>
  <c r="L99" i="2"/>
  <c r="N99" i="2" s="1"/>
  <c r="O99" i="2" s="1"/>
  <c r="L100" i="2"/>
  <c r="N100" i="2" s="1"/>
  <c r="O100" i="2" s="1"/>
  <c r="L92" i="2"/>
  <c r="N92" i="2" s="1"/>
  <c r="O92" i="2" s="1"/>
  <c r="L51" i="2"/>
  <c r="N51" i="2" s="1"/>
  <c r="O51" i="2" s="1"/>
  <c r="L52" i="2"/>
  <c r="N52" i="2" s="1"/>
  <c r="O52" i="2" s="1"/>
  <c r="L53" i="2"/>
  <c r="N53" i="2" s="1"/>
  <c r="O53" i="2" s="1"/>
  <c r="L54" i="2"/>
  <c r="N54" i="2" s="1"/>
  <c r="O54" i="2" s="1"/>
  <c r="L55" i="2"/>
  <c r="N55" i="2" s="1"/>
  <c r="O55" i="2" s="1"/>
  <c r="L56" i="2"/>
  <c r="N56" i="2" s="1"/>
  <c r="O56" i="2" s="1"/>
  <c r="L57" i="2"/>
  <c r="N57" i="2" s="1"/>
  <c r="O57" i="2" s="1"/>
  <c r="L58" i="2"/>
  <c r="N58" i="2" s="1"/>
  <c r="O58" i="2" s="1"/>
  <c r="L59" i="2"/>
  <c r="N59" i="2" s="1"/>
  <c r="O59" i="2" s="1"/>
  <c r="L50" i="2"/>
  <c r="N50" i="2" s="1"/>
  <c r="O50" i="2" s="1"/>
  <c r="L8" i="2"/>
  <c r="N8" i="2" s="1"/>
  <c r="O8" i="2" s="1"/>
  <c r="L9" i="2"/>
  <c r="N9" i="2" s="1"/>
  <c r="O9" i="2" s="1"/>
  <c r="L10" i="2"/>
  <c r="N10" i="2" s="1"/>
  <c r="O10" i="2" s="1"/>
  <c r="L11" i="2"/>
  <c r="N11" i="2" s="1"/>
  <c r="O11" i="2" s="1"/>
  <c r="L12" i="2"/>
  <c r="N12" i="2" s="1"/>
  <c r="O12" i="2" s="1"/>
  <c r="L13" i="2"/>
  <c r="N13" i="2" s="1"/>
  <c r="O13" i="2" s="1"/>
  <c r="L14" i="2"/>
  <c r="N14" i="2" s="1"/>
  <c r="O14" i="2" s="1"/>
  <c r="L15" i="2"/>
  <c r="N15" i="2" s="1"/>
  <c r="O15" i="2" s="1"/>
  <c r="L16" i="2"/>
  <c r="N16" i="2" s="1"/>
  <c r="O16" i="2" s="1"/>
  <c r="L17" i="2"/>
  <c r="N17" i="2" s="1"/>
  <c r="O17" i="2" s="1"/>
  <c r="L18" i="2"/>
  <c r="N18" i="2" s="1"/>
  <c r="O18" i="2" s="1"/>
  <c r="L7" i="2"/>
  <c r="N7" i="2" s="1"/>
  <c r="O7" i="2" s="1"/>
  <c r="AB76" i="2" l="1"/>
  <c r="W76" i="2"/>
  <c r="X78" i="2" s="1"/>
  <c r="AG76" i="2"/>
  <c r="AH78" i="2" s="1"/>
  <c r="AA73" i="2"/>
  <c r="AF73" i="2" s="1"/>
  <c r="AG73" i="2" s="1"/>
  <c r="R73" i="2"/>
  <c r="AB73" i="2" l="1"/>
  <c r="AC45" i="1" l="1"/>
  <c r="AC47" i="1"/>
  <c r="AC49" i="1"/>
  <c r="AC50" i="1"/>
  <c r="AC53" i="1"/>
  <c r="AC54" i="1"/>
  <c r="AC55" i="1"/>
  <c r="AC56" i="1"/>
  <c r="AC57" i="1"/>
  <c r="AC58" i="1"/>
  <c r="AC59" i="1"/>
  <c r="AC60" i="1"/>
  <c r="AC61" i="1"/>
  <c r="AC63" i="1"/>
  <c r="AC64" i="1"/>
  <c r="AC65" i="1"/>
  <c r="AC66" i="1"/>
  <c r="AC68" i="1"/>
  <c r="AC69" i="1"/>
  <c r="AC70" i="1"/>
  <c r="AC71" i="1"/>
  <c r="AC85" i="1"/>
  <c r="AC86" i="1"/>
  <c r="AC87" i="1"/>
  <c r="AC88" i="1"/>
  <c r="AC89" i="1"/>
  <c r="AC90" i="1"/>
  <c r="AC91" i="1"/>
  <c r="AC93" i="1"/>
  <c r="AC94" i="1"/>
  <c r="AC96" i="1"/>
  <c r="AC97" i="1"/>
  <c r="AC100" i="1"/>
  <c r="AC101" i="1"/>
  <c r="AC102" i="1"/>
  <c r="AC103" i="1"/>
  <c r="AC16" i="1"/>
  <c r="AC17" i="1"/>
  <c r="AC18" i="1"/>
  <c r="AC19" i="1"/>
  <c r="AC21" i="1"/>
  <c r="AC22" i="1"/>
  <c r="AC24" i="1"/>
  <c r="AC25" i="1"/>
  <c r="AC26" i="1"/>
  <c r="AC28" i="1"/>
  <c r="AC29" i="1"/>
  <c r="AC30" i="1"/>
  <c r="AC31" i="1"/>
  <c r="AC32" i="1"/>
  <c r="AC33" i="1"/>
  <c r="AC10" i="1"/>
  <c r="AC11" i="1"/>
  <c r="AC12" i="1"/>
  <c r="AC13" i="1"/>
  <c r="AC14" i="1"/>
  <c r="AD17" i="1"/>
  <c r="AD18" i="1"/>
  <c r="AD19" i="1"/>
  <c r="AD20" i="1"/>
  <c r="AD21" i="1"/>
  <c r="AD22" i="1"/>
  <c r="AD23" i="1"/>
  <c r="AD24" i="1"/>
  <c r="AD25" i="1"/>
  <c r="AD26" i="1"/>
  <c r="AD27" i="1"/>
  <c r="AD30" i="1"/>
  <c r="AD31" i="1"/>
  <c r="AD32" i="1"/>
  <c r="AD33" i="1"/>
  <c r="AD16" i="1"/>
  <c r="AD53" i="1"/>
  <c r="AD54" i="1"/>
  <c r="AD55" i="1"/>
  <c r="AD56" i="1"/>
  <c r="AD57" i="1"/>
  <c r="AD58" i="1"/>
  <c r="AD59" i="1"/>
  <c r="AD60" i="1"/>
  <c r="AD61" i="1"/>
  <c r="AD63" i="1"/>
  <c r="AD64" i="1"/>
  <c r="AD65" i="1"/>
  <c r="AD66" i="1"/>
  <c r="AD68" i="1"/>
  <c r="AD69" i="1"/>
  <c r="AD70" i="1"/>
  <c r="AD71" i="1"/>
  <c r="AD93" i="1"/>
  <c r="AD94" i="1"/>
  <c r="AD96" i="1"/>
  <c r="AD97" i="1"/>
  <c r="AD100" i="1"/>
  <c r="AD101" i="1"/>
  <c r="AD102" i="1"/>
  <c r="AD103" i="1"/>
  <c r="AD91" i="1"/>
</calcChain>
</file>

<file path=xl/sharedStrings.xml><?xml version="1.0" encoding="utf-8"?>
<sst xmlns="http://schemas.openxmlformats.org/spreadsheetml/2006/main" count="1161" uniqueCount="218">
  <si>
    <t>PE_C</t>
  </si>
  <si>
    <t>Method: PCE_T-Ramp_DHSI_SIM</t>
  </si>
  <si>
    <t xml:space="preserve">Integration by </t>
  </si>
  <si>
    <t>Samples</t>
  </si>
  <si>
    <t>PCE [ppm]</t>
  </si>
  <si>
    <t>Injection vol. 50ul</t>
  </si>
  <si>
    <t>m/z 95</t>
  </si>
  <si>
    <t>m/z 150</t>
  </si>
  <si>
    <t>m/z 152</t>
  </si>
  <si>
    <t>m/z 164</t>
  </si>
  <si>
    <t>m/z 166</t>
  </si>
  <si>
    <t>Theoret. Init. Conc</t>
  </si>
  <si>
    <t>Run no.</t>
  </si>
  <si>
    <t>Sample ID</t>
  </si>
  <si>
    <t>RT</t>
  </si>
  <si>
    <t>SIM_95</t>
  </si>
  <si>
    <t>SIM_150</t>
  </si>
  <si>
    <t>SIM_152</t>
  </si>
  <si>
    <t>SIM_164</t>
  </si>
  <si>
    <t>SIM_166</t>
  </si>
  <si>
    <t>SIM_166_auto</t>
  </si>
  <si>
    <t>aq.</t>
  </si>
  <si>
    <t>03.08.21 GC-MS Measurement</t>
  </si>
  <si>
    <t>IE_A from 27.07.21, C_Std and R_Std from 27.06.21</t>
  </si>
  <si>
    <t>IE_A_PCE_27.07.21_Blk.1</t>
  </si>
  <si>
    <t>IE_A_PCE_27.07.21_Blk.2</t>
  </si>
  <si>
    <t>IE_A_PCE_27.07.21_C_Std_2.1</t>
  </si>
  <si>
    <t>IE_A_PCE_27.07.21_C_Std_2.2</t>
  </si>
  <si>
    <t>IE_A_PCE_27.07.21_C_Std_3.1</t>
  </si>
  <si>
    <t>IE_A_PCE_27.07.21_C_Std_3.2</t>
  </si>
  <si>
    <t>IE_A_PCE_27.07.21_C_Std_4.1</t>
  </si>
  <si>
    <t>IE_A_PCE_27.07.21_C_Std_4.2</t>
  </si>
  <si>
    <t>IE_A_PCE_27.07.21_IE_1.1</t>
  </si>
  <si>
    <t>IE_A_PCE_27.07.21_IE_2.1</t>
  </si>
  <si>
    <t>IE_A_PCE_27.07.21_IE_3.1</t>
  </si>
  <si>
    <t>IE_A_PCE_27.07.21_IE_4.1</t>
  </si>
  <si>
    <t>IE_A_PCE_27.07.21_Blk.3</t>
  </si>
  <si>
    <t>IE_A_PCE_27.07.21_IE_5.1</t>
  </si>
  <si>
    <t>IE_A_PCE_27.07.21_IE_6.1</t>
  </si>
  <si>
    <t>IE_A_PCE_27.07.21_IE_6.2</t>
  </si>
  <si>
    <t>IE_A_PCE_27.07.21_IE_7.1</t>
  </si>
  <si>
    <t>IE_A_PCE_27.07.21_IE_7.2</t>
  </si>
  <si>
    <t>IE_A_PCE_27.07.21_IE_8.1</t>
  </si>
  <si>
    <t>IE_A_PCE_27.07.21_IE_8.2</t>
  </si>
  <si>
    <t>IE_A_PCE_27.07.21_Blk.4</t>
  </si>
  <si>
    <t>IE_A_PCE_27.07.21_C_Std_1.1</t>
  </si>
  <si>
    <t>IE_A_PCE_27.07.21_C_Std_1.2</t>
  </si>
  <si>
    <t>IE_A_PCE_27.07.21_IE_9.1</t>
  </si>
  <si>
    <t>IE_A_PCE_27.07.21_IE_10.1</t>
  </si>
  <si>
    <t>IE_A_PCE_27.07.21_IE_11.1</t>
  </si>
  <si>
    <t>IE_A_PCE_27.07.21_IE_12.1</t>
  </si>
  <si>
    <t>04.08.21 GC-MS Measurement</t>
  </si>
  <si>
    <t>IE_A_PCE_27.07.21_IE_13.1</t>
  </si>
  <si>
    <t>IE_A_PCE_27.07.21_IE_14.1</t>
  </si>
  <si>
    <t>IE_A_PCE_27.07.21_IE_14.2</t>
  </si>
  <si>
    <t>IE_A_PCE_27.07.21_IE_15.1</t>
  </si>
  <si>
    <t>IE_A_PCE_27.07.21_IE_15.2</t>
  </si>
  <si>
    <t>IE_A_PCE_27.07.21_IE_16.1</t>
  </si>
  <si>
    <t>IE_A_PCE_27.07.21_IE_16.2</t>
  </si>
  <si>
    <t>IE_A_PCE_27.07.21_IE_17.1</t>
  </si>
  <si>
    <t>IE_A_PCE_27.07.21_IE_18.1</t>
  </si>
  <si>
    <t>IE_A_PCE_27.07.21_IE_19.1</t>
  </si>
  <si>
    <t>IE_A_PCE_27.07.21_IE_20.1</t>
  </si>
  <si>
    <t>IE_A_PCE_27.07.21_IE_21.1</t>
  </si>
  <si>
    <t>IE_A_PCE_27.07.21_IE_19.2</t>
  </si>
  <si>
    <t>IE_A_PCE_27.07.21_IE_20.2</t>
  </si>
  <si>
    <t>IE_A_PCE_27.07.21_IE_22.1</t>
  </si>
  <si>
    <t>IE_A_PCE_27.07.21_IE_23.1</t>
  </si>
  <si>
    <t>IE_A_PCE_27.07.21_IE_23.2</t>
  </si>
  <si>
    <t>IE_A_PCE_27.07.21_IE_24.1</t>
  </si>
  <si>
    <t>IE_A_PCE_27.07.21_IE_24.2</t>
  </si>
  <si>
    <t>RTE</t>
  </si>
  <si>
    <t>Auto</t>
  </si>
  <si>
    <t>ChemStation, AutoIntegrator and RTE</t>
  </si>
  <si>
    <t>m/z 130</t>
  </si>
  <si>
    <t>m/z 131</t>
  </si>
  <si>
    <t>m/z 132</t>
  </si>
  <si>
    <t>IE_A_PCE_27.07.21_Blk.0</t>
  </si>
  <si>
    <t>05.08.21 GC-MS Measurement</t>
  </si>
  <si>
    <t>IE_A_PCE_27.07.21_IE_25.1</t>
  </si>
  <si>
    <t>IE_A_PCE_27.07.21_IE_26.1</t>
  </si>
  <si>
    <t>IE_A_PCE_27.07.21_IE_27.1</t>
  </si>
  <si>
    <t>IE_A_PCE_27.07.21_IE_27.2</t>
  </si>
  <si>
    <t>IE_A_PCE_27.07.21_IE_28.1</t>
  </si>
  <si>
    <t>IE_A_PCE_27.07.21_IE_28.2</t>
  </si>
  <si>
    <t>IE_A_PCE_27.07.21_IE_29.1</t>
  </si>
  <si>
    <t>IE_A_PCE_27.07.21_IE_30.1</t>
  </si>
  <si>
    <t>IE_A_PCE_27.07.21_IE_31.1</t>
  </si>
  <si>
    <t>IE_A_PCE_27.07.21_IE_31.2</t>
  </si>
  <si>
    <t>IE_A_PCE_27.07.21_IE_32.1</t>
  </si>
  <si>
    <t>IE_A_PCE_27.07.21_IE_32.2</t>
  </si>
  <si>
    <t>SIM_95_auto</t>
  </si>
  <si>
    <t>SIM_150_auto</t>
  </si>
  <si>
    <t>SIM_152_auto</t>
  </si>
  <si>
    <t>164/166</t>
  </si>
  <si>
    <t>Henry K_H</t>
  </si>
  <si>
    <t>Calibration Standards</t>
  </si>
  <si>
    <t>Area</t>
  </si>
  <si>
    <t xml:space="preserve">Init. Conc. Aq. </t>
  </si>
  <si>
    <t>Init. Mass Aq.</t>
  </si>
  <si>
    <t>Eq. Mass Aq.</t>
  </si>
  <si>
    <t>Eq. Mass Gas</t>
  </si>
  <si>
    <t>Eq. Conc. Gas.</t>
  </si>
  <si>
    <t>GC-MS meas. Single</t>
  </si>
  <si>
    <t>PCE [ug]</t>
  </si>
  <si>
    <t>Theoret Conc</t>
  </si>
  <si>
    <t>Measured Signal area</t>
  </si>
  <si>
    <t>aq [ppm]</t>
  </si>
  <si>
    <t>RTE_SIM_166</t>
  </si>
  <si>
    <t>Calc. Conc.</t>
  </si>
  <si>
    <t>Calc. Mass</t>
  </si>
  <si>
    <t>w/ Eq. Conc. Gas</t>
  </si>
  <si>
    <t>Incub. Conc</t>
  </si>
  <si>
    <t>by C_Stds. [ppm]</t>
  </si>
  <si>
    <t xml:space="preserve">Porewater </t>
  </si>
  <si>
    <t>GC-MS meas. averaged</t>
  </si>
  <si>
    <t>volume init.</t>
  </si>
  <si>
    <t>Total init. [ug]</t>
  </si>
  <si>
    <t>in Gas [ug]</t>
  </si>
  <si>
    <t>In Aq. [ug]</t>
  </si>
  <si>
    <t>Soil</t>
  </si>
  <si>
    <t>RTE_SIM_166_A</t>
  </si>
  <si>
    <t>RTE_SIM_166_B</t>
  </si>
  <si>
    <t>Loss [ug]</t>
  </si>
  <si>
    <t>Soil 1</t>
  </si>
  <si>
    <t>Emp. Kd</t>
  </si>
  <si>
    <t>Soil 2</t>
  </si>
  <si>
    <t>Soil 3</t>
  </si>
  <si>
    <t>Mass</t>
  </si>
  <si>
    <t>in Solid [ug]</t>
  </si>
  <si>
    <t>Comp.</t>
  </si>
  <si>
    <t>Sum</t>
  </si>
  <si>
    <t>Comp. Phases</t>
  </si>
  <si>
    <t>Init. - Comp.</t>
  </si>
  <si>
    <t>Mass Balance</t>
  </si>
  <si>
    <t>Clay-soil</t>
  </si>
  <si>
    <t>Core top</t>
  </si>
  <si>
    <t>Core bottom</t>
  </si>
  <si>
    <t>Bulk density [g/ml]</t>
  </si>
  <si>
    <t>Mass soil [g]</t>
  </si>
  <si>
    <t>Bulk Vol soil [ml]</t>
  </si>
  <si>
    <t>Volume Solid [ml]</t>
  </si>
  <si>
    <t>Porosity [%]</t>
  </si>
  <si>
    <t>Solid density [g/ml]</t>
  </si>
  <si>
    <t>Pore volume [ml]</t>
  </si>
  <si>
    <t>Total vol vial [ml]</t>
  </si>
  <si>
    <t>Porewater vol [ml]</t>
  </si>
  <si>
    <t>Gas volume [ml]</t>
  </si>
  <si>
    <t>Gas Volume</t>
  </si>
  <si>
    <t>Gas volume computed</t>
  </si>
  <si>
    <t>Blk</t>
  </si>
  <si>
    <t>Loss</t>
  </si>
  <si>
    <t>(Difference)</t>
  </si>
  <si>
    <t>Calibr. A</t>
  </si>
  <si>
    <t>Calibr. B</t>
  </si>
  <si>
    <t>Mean w/o Blk</t>
  </si>
  <si>
    <t>PE_C_Comp.</t>
  </si>
  <si>
    <t>PE_C_Graph.</t>
  </si>
  <si>
    <t>SIM_164_auto</t>
  </si>
  <si>
    <t>RTE_SIM_164</t>
  </si>
  <si>
    <t>(RTE/RTE)</t>
  </si>
  <si>
    <t>From DTSC</t>
  </si>
  <si>
    <t>H [Pa*m^3/mol]</t>
  </si>
  <si>
    <t>K_H</t>
  </si>
  <si>
    <t>Report</t>
  </si>
  <si>
    <t>Inst. Drift</t>
  </si>
  <si>
    <t>Correction</t>
  </si>
  <si>
    <t>Neglectable</t>
  </si>
  <si>
    <t>Correction:</t>
  </si>
  <si>
    <t>Here instru. Correction applied for both: samples and Calibration !!!</t>
  </si>
  <si>
    <t>Blank correction</t>
  </si>
  <si>
    <t>Maybe too much?</t>
  </si>
  <si>
    <t>Instr. Drift Correction</t>
  </si>
  <si>
    <t>Drift Corrected</t>
  </si>
  <si>
    <t>Calibration</t>
  </si>
  <si>
    <t>Blank</t>
  </si>
  <si>
    <t>Sorption to</t>
  </si>
  <si>
    <t>Solid [ug]</t>
  </si>
  <si>
    <t>ASSUMPTION</t>
  </si>
  <si>
    <t>Aq. Vol. assumed!</t>
  </si>
  <si>
    <t>PE_C_corr1</t>
  </si>
  <si>
    <t>PE_C_graph1</t>
  </si>
  <si>
    <t>PE_C_corr2</t>
  </si>
  <si>
    <t>PE_C_graph2</t>
  </si>
  <si>
    <t>K_d (Exp.)</t>
  </si>
  <si>
    <t>Calc Conc.</t>
  </si>
  <si>
    <t>Aq. [ppm]</t>
  </si>
  <si>
    <t>K_d A)</t>
  </si>
  <si>
    <t>K_d B)</t>
  </si>
  <si>
    <t>K_d C)</t>
  </si>
  <si>
    <t>K_d D)</t>
  </si>
  <si>
    <t>A)</t>
  </si>
  <si>
    <t>B)</t>
  </si>
  <si>
    <t>C)</t>
  </si>
  <si>
    <t>D)</t>
  </si>
  <si>
    <t>Loss (Biodegradation)</t>
  </si>
  <si>
    <t>Mass [ug]</t>
  </si>
  <si>
    <t>Set A)</t>
  </si>
  <si>
    <t>Set B)</t>
  </si>
  <si>
    <t>Set C)</t>
  </si>
  <si>
    <t>Set D)</t>
  </si>
  <si>
    <t>Sets from PE_C</t>
  </si>
  <si>
    <t xml:space="preserve">Correction for </t>
  </si>
  <si>
    <t>K_d Set</t>
  </si>
  <si>
    <t>w/o CH4</t>
  </si>
  <si>
    <t>w/ CH4 short</t>
  </si>
  <si>
    <t>w/ CH4 long</t>
  </si>
  <si>
    <t>w/ CH4</t>
  </si>
  <si>
    <t>Mean</t>
  </si>
  <si>
    <t>Condition</t>
  </si>
  <si>
    <t>RSD [%]</t>
  </si>
  <si>
    <t>Means</t>
  </si>
  <si>
    <t>Corrections</t>
  </si>
  <si>
    <t>Drift</t>
  </si>
  <si>
    <t>ASSUMPTION Vol.</t>
  </si>
  <si>
    <t>Maybe Vol. correction?!</t>
  </si>
  <si>
    <t>Max or Mean of Blank????</t>
  </si>
  <si>
    <t>Loss (Biodegrad)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</si>
</sst>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0" xfId="0" applyFill="1"/>
    <xf numFmtId="0" fontId="0" fillId="0" borderId="0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0" borderId="11" xfId="0" applyFill="1" applyBorder="1"/>
    <xf numFmtId="0" fontId="0" fillId="0" borderId="10" xfId="0" applyFill="1" applyBorder="1"/>
    <xf numFmtId="0" fontId="0" fillId="0" borderId="6" xfId="0" applyFill="1" applyBorder="1"/>
    <xf numFmtId="0" fontId="0" fillId="0" borderId="20" xfId="0" applyBorder="1"/>
    <xf numFmtId="0" fontId="1" fillId="0" borderId="0" xfId="0" applyFont="1"/>
    <xf numFmtId="14" fontId="0" fillId="0" borderId="0" xfId="0" applyNumberFormat="1"/>
    <xf numFmtId="0" fontId="0" fillId="0" borderId="19" xfId="0" applyFill="1" applyBorder="1"/>
    <xf numFmtId="0" fontId="0" fillId="0" borderId="18" xfId="0" applyFill="1" applyBorder="1"/>
    <xf numFmtId="0" fontId="0" fillId="0" borderId="13" xfId="0" applyFill="1" applyBorder="1"/>
    <xf numFmtId="0" fontId="0" fillId="0" borderId="16" xfId="0" applyBorder="1"/>
    <xf numFmtId="0" fontId="0" fillId="3" borderId="0" xfId="0" applyFill="1" applyBorder="1"/>
    <xf numFmtId="0" fontId="0" fillId="0" borderId="20" xfId="0" applyFill="1" applyBorder="1"/>
    <xf numFmtId="0" fontId="0" fillId="4" borderId="0" xfId="0" applyFill="1"/>
    <xf numFmtId="0" fontId="0" fillId="4" borderId="18" xfId="0" applyFill="1" applyBorder="1"/>
    <xf numFmtId="0" fontId="0" fillId="4" borderId="0" xfId="0" applyFill="1" applyBorder="1"/>
    <xf numFmtId="0" fontId="0" fillId="4" borderId="17" xfId="0" applyFill="1" applyBorder="1"/>
    <xf numFmtId="0" fontId="0" fillId="4" borderId="3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5" borderId="6" xfId="0" applyFont="1" applyFill="1" applyBorder="1"/>
    <xf numFmtId="0" fontId="0" fillId="5" borderId="3" xfId="0" applyFill="1" applyBorder="1"/>
    <xf numFmtId="0" fontId="0" fillId="5" borderId="7" xfId="0" applyFill="1" applyBorder="1"/>
    <xf numFmtId="0" fontId="0" fillId="5" borderId="12" xfId="0" applyFill="1" applyBorder="1"/>
    <xf numFmtId="0" fontId="0" fillId="5" borderId="0" xfId="0" applyFill="1" applyBorder="1"/>
    <xf numFmtId="0" fontId="0" fillId="5" borderId="13" xfId="0" applyFill="1" applyBorder="1"/>
    <xf numFmtId="2" fontId="0" fillId="5" borderId="0" xfId="0" applyNumberFormat="1" applyFill="1" applyBorder="1"/>
    <xf numFmtId="2" fontId="0" fillId="5" borderId="13" xfId="0" applyNumberFormat="1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6" borderId="0" xfId="0" applyFill="1"/>
    <xf numFmtId="0" fontId="0" fillId="6" borderId="13" xfId="0" applyFill="1" applyBorder="1"/>
    <xf numFmtId="0" fontId="0" fillId="2" borderId="18" xfId="0" applyFill="1" applyBorder="1"/>
    <xf numFmtId="0" fontId="0" fillId="2" borderId="17" xfId="0" applyFill="1" applyBorder="1"/>
    <xf numFmtId="0" fontId="0" fillId="2" borderId="10" xfId="0" applyFill="1" applyBorder="1"/>
    <xf numFmtId="0" fontId="0" fillId="2" borderId="19" xfId="0" applyFill="1" applyBorder="1"/>
    <xf numFmtId="0" fontId="0" fillId="3" borderId="0" xfId="0" applyFill="1"/>
    <xf numFmtId="0" fontId="0" fillId="7" borderId="0" xfId="0" applyFill="1"/>
    <xf numFmtId="0" fontId="0" fillId="6" borderId="0" xfId="0" applyFill="1" applyBorder="1"/>
    <xf numFmtId="0" fontId="0" fillId="0" borderId="0" xfId="0" applyFill="1"/>
    <xf numFmtId="0" fontId="1" fillId="0" borderId="27" xfId="0" applyFont="1" applyBorder="1"/>
    <xf numFmtId="0" fontId="1" fillId="2" borderId="28" xfId="0" applyFont="1" applyFill="1" applyBorder="1"/>
    <xf numFmtId="0" fontId="1" fillId="2" borderId="29" xfId="0" applyFont="1" applyFill="1" applyBorder="1"/>
    <xf numFmtId="0" fontId="1" fillId="7" borderId="28" xfId="0" applyFont="1" applyFill="1" applyBorder="1"/>
    <xf numFmtId="0" fontId="0" fillId="2" borderId="9" xfId="0" applyFill="1" applyBorder="1"/>
    <xf numFmtId="0" fontId="0" fillId="8" borderId="18" xfId="0" applyFill="1" applyBorder="1"/>
    <xf numFmtId="0" fontId="0" fillId="8" borderId="13" xfId="0" applyFill="1" applyBorder="1"/>
    <xf numFmtId="0" fontId="0" fillId="8" borderId="17" xfId="0" applyFill="1" applyBorder="1"/>
    <xf numFmtId="0" fontId="0" fillId="9" borderId="13" xfId="0" applyFill="1" applyBorder="1"/>
    <xf numFmtId="0" fontId="0" fillId="9" borderId="0" xfId="0" applyFill="1"/>
    <xf numFmtId="0" fontId="1" fillId="0" borderId="20" xfId="0" applyFont="1" applyBorder="1"/>
    <xf numFmtId="0" fontId="0" fillId="0" borderId="12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31" xfId="0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0" fillId="0" borderId="33" xfId="0" applyFill="1" applyBorder="1"/>
    <xf numFmtId="0" fontId="1" fillId="0" borderId="6" xfId="0" applyFont="1" applyBorder="1" applyAlignment="1">
      <alignment horizontal="right"/>
    </xf>
    <xf numFmtId="0" fontId="0" fillId="8" borderId="0" xfId="0" applyFill="1"/>
    <xf numFmtId="0" fontId="0" fillId="8" borderId="0" xfId="0" applyFill="1" applyBorder="1"/>
    <xf numFmtId="0" fontId="0" fillId="8" borderId="7" xfId="0" applyFill="1" applyBorder="1"/>
    <xf numFmtId="0" fontId="0" fillId="0" borderId="9" xfId="0" applyFill="1" applyBorder="1"/>
    <xf numFmtId="0" fontId="0" fillId="0" borderId="30" xfId="0" applyFill="1" applyBorder="1"/>
    <xf numFmtId="0" fontId="0" fillId="8" borderId="12" xfId="0" applyFill="1" applyBorder="1"/>
    <xf numFmtId="0" fontId="0" fillId="0" borderId="12" xfId="0" applyFill="1" applyBorder="1"/>
    <xf numFmtId="0" fontId="1" fillId="6" borderId="0" xfId="0" applyFont="1" applyFill="1"/>
    <xf numFmtId="164" fontId="0" fillId="0" borderId="13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0" fontId="1" fillId="0" borderId="0" xfId="0" applyFont="1" applyFill="1" applyBorder="1"/>
    <xf numFmtId="0" fontId="1" fillId="0" borderId="29" xfId="0" applyFont="1" applyBorder="1"/>
    <xf numFmtId="0" fontId="1" fillId="0" borderId="17" xfId="0" applyFont="1" applyBorder="1"/>
    <xf numFmtId="0" fontId="1" fillId="2" borderId="18" xfId="0" applyFont="1" applyFill="1" applyBorder="1"/>
    <xf numFmtId="0" fontId="1" fillId="7" borderId="19" xfId="0" applyFont="1" applyFill="1" applyBorder="1"/>
    <xf numFmtId="0" fontId="1" fillId="2" borderId="19" xfId="0" applyFont="1" applyFill="1" applyBorder="1"/>
    <xf numFmtId="0" fontId="0" fillId="0" borderId="31" xfId="0" applyFill="1" applyBorder="1"/>
    <xf numFmtId="0" fontId="2" fillId="0" borderId="1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C_Std</a:t>
            </a:r>
            <a:r>
              <a:rPr lang="en-US" baseline="0"/>
              <a:t> m/z 166 vs init. Conc. aq. [ppm]</a:t>
            </a:r>
          </a:p>
          <a:p>
            <a:pPr>
              <a:defRPr/>
            </a:pPr>
            <a:r>
              <a:rPr lang="en-US" baseline="0"/>
              <a:t>15.07.21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RTE_SIM_166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4470392618002606E-2"/>
                  <c:y val="0.18189190637082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033807727115124"/>
                  <c:y val="2.6667183914097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(Raw!$AB$9:$AB$12,Raw!$AB$28:$AB$29)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0.5</c:v>
                </c:pt>
                <c:pt idx="3">
                  <c:v>0.5</c:v>
                </c:pt>
                <c:pt idx="4">
                  <c:v>0.05</c:v>
                </c:pt>
                <c:pt idx="5">
                  <c:v>0.05</c:v>
                </c:pt>
              </c:numCache>
            </c:numRef>
          </c:xVal>
          <c:yVal>
            <c:numRef>
              <c:f>(Raw!$S$9:$S$12,Raw!$S$28:$S$29)</c:f>
              <c:numCache>
                <c:formatCode>General</c:formatCode>
                <c:ptCount val="6"/>
                <c:pt idx="0">
                  <c:v>1143</c:v>
                </c:pt>
                <c:pt idx="1">
                  <c:v>1980</c:v>
                </c:pt>
                <c:pt idx="2">
                  <c:v>7720</c:v>
                </c:pt>
                <c:pt idx="3">
                  <c:v>6702</c:v>
                </c:pt>
                <c:pt idx="4">
                  <c:v>909</c:v>
                </c:pt>
                <c:pt idx="5">
                  <c:v>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E3-42B3-BBF7-10C498360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6880"/>
        <c:axId val="47854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SIM_166_auto_C_Std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layout>
                      <c:manualLayout>
                        <c:x val="-0.39663840861486344"/>
                        <c:y val="0.10218722611357599"/>
                      </c:manualLayout>
                    </c:layout>
                    <c:numFmt formatCode="#,##0.000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'[1]raw data'!$O$8:$O$12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'[1]raw data'!$N$8:$N$12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43709</c:v>
                      </c:pt>
                      <c:pt idx="3">
                        <c:v>45897</c:v>
                      </c:pt>
                      <c:pt idx="4">
                        <c:v>218103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AE2-4072-908E-70AADD5A3EB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SIM_166_C_Std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'[1]raw data'!$O$8:$O$12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'[1]raw data'!$M$8:$M$12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217080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AE2-4072-908E-70AADD5A3EB7}"/>
                  </c:ext>
                </c:extLst>
              </c15:ser>
            </c15:filteredScatterSeries>
          </c:ext>
        </c:extLst>
      </c:scatterChart>
      <c:valAx>
        <c:axId val="47854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Init. Conc. aq.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47536"/>
        <c:crosses val="autoZero"/>
        <c:crossBetween val="midCat"/>
      </c:valAx>
      <c:valAx>
        <c:axId val="4785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4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RTE_SIM_166_A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7797878390201225"/>
                  <c:y val="-2.2328667249927093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Processing1!$K$92:$K$100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</c:numCache>
            </c:numRef>
          </c:xVal>
          <c:yVal>
            <c:numRef>
              <c:f>Processing1!$I$92:$I$100</c:f>
              <c:numCache>
                <c:formatCode>General</c:formatCode>
                <c:ptCount val="9"/>
                <c:pt idx="3">
                  <c:v>682</c:v>
                </c:pt>
                <c:pt idx="4">
                  <c:v>687</c:v>
                </c:pt>
                <c:pt idx="5">
                  <c:v>1550</c:v>
                </c:pt>
                <c:pt idx="6">
                  <c:v>1111</c:v>
                </c:pt>
                <c:pt idx="7">
                  <c:v>6550</c:v>
                </c:pt>
                <c:pt idx="8">
                  <c:v>6372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2E-4F80-B03A-204A98B1C5CB}"/>
            </c:ext>
          </c:extLst>
        </c:ser>
        <c:ser>
          <c:idx val="1"/>
          <c:order val="1"/>
          <c:tx>
            <c:v>RTE_SIM_166_B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452259784492717E-2"/>
                  <c:y val="0.3198019032087876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Processing1!$K$92:$K$100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</c:numCache>
            </c:numRef>
          </c:xVal>
          <c:yVal>
            <c:numRef>
              <c:f>Processing1!$I$92:$I$100</c:f>
              <c:numCache>
                <c:formatCode>General</c:formatCode>
                <c:ptCount val="9"/>
                <c:pt idx="3">
                  <c:v>682</c:v>
                </c:pt>
                <c:pt idx="4">
                  <c:v>687</c:v>
                </c:pt>
                <c:pt idx="5">
                  <c:v>1550</c:v>
                </c:pt>
                <c:pt idx="6">
                  <c:v>1111</c:v>
                </c:pt>
                <c:pt idx="7">
                  <c:v>6550</c:v>
                </c:pt>
                <c:pt idx="8">
                  <c:v>6372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2E-4F80-B03A-204A98B1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97240"/>
        <c:axId val="565088712"/>
      </c:scatterChart>
      <c:valAx>
        <c:axId val="56509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88712"/>
        <c:crosses val="autoZero"/>
        <c:crossBetween val="midCat"/>
      </c:valAx>
      <c:valAx>
        <c:axId val="56508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9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C_Std</a:t>
            </a:r>
            <a:r>
              <a:rPr lang="en-US" baseline="0"/>
              <a:t> m/z 166 vs init. Conc. aq. [ppm]</a:t>
            </a:r>
          </a:p>
          <a:p>
            <a:pPr>
              <a:defRPr/>
            </a:pPr>
            <a:r>
              <a:rPr lang="en-US" baseline="0"/>
              <a:t>15.07.21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RTE_SIM_166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3.345954037157615E-3"/>
                  <c:y val="0.17688415073821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033807727115124"/>
                  <c:y val="2.6667183914097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(Raw!$AB$45,Raw!$AB$47,Raw!$AB$49:$AB$50)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0.5</c:v>
                </c:pt>
              </c:numCache>
            </c:numRef>
          </c:xVal>
          <c:yVal>
            <c:numRef>
              <c:f>(Raw!$S$45,Raw!$S$47,Raw!$S$49:$S$50)</c:f>
              <c:numCache>
                <c:formatCode>General</c:formatCode>
                <c:ptCount val="4"/>
                <c:pt idx="0">
                  <c:v>911</c:v>
                </c:pt>
                <c:pt idx="1">
                  <c:v>1828</c:v>
                </c:pt>
                <c:pt idx="2">
                  <c:v>11925</c:v>
                </c:pt>
                <c:pt idx="3">
                  <c:v>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5F-47B4-84C5-1FE2560B7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6880"/>
        <c:axId val="478547536"/>
        <c:extLst/>
      </c:scatterChart>
      <c:valAx>
        <c:axId val="47854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Init. Conc. aq.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47536"/>
        <c:crosses val="autoZero"/>
        <c:crossBetween val="midCat"/>
      </c:valAx>
      <c:valAx>
        <c:axId val="4785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4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C_Std</a:t>
            </a:r>
            <a:r>
              <a:rPr lang="en-US" baseline="0"/>
              <a:t> m/z 166 vs init. Conc. aq. [ppm]</a:t>
            </a:r>
          </a:p>
          <a:p>
            <a:pPr>
              <a:defRPr/>
            </a:pPr>
            <a:r>
              <a:rPr lang="en-US" baseline="0"/>
              <a:t>15.07.21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RTE_SIM_166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897134017552558E-2"/>
                  <c:y val="0.19480338747805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033807727115124"/>
                  <c:y val="2.6667183914097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Raw!$AB$85:$AB$90</c:f>
              <c:numCache>
                <c:formatCode>General</c:formatCode>
                <c:ptCount val="6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0.1</c:v>
                </c:pt>
                <c:pt idx="4">
                  <c:v>0.5</c:v>
                </c:pt>
                <c:pt idx="5">
                  <c:v>0.5</c:v>
                </c:pt>
              </c:numCache>
            </c:numRef>
          </c:xVal>
          <c:yVal>
            <c:numRef>
              <c:f>Raw!$S$85:$S$90</c:f>
              <c:numCache>
                <c:formatCode>General</c:formatCode>
                <c:ptCount val="6"/>
                <c:pt idx="0">
                  <c:v>682</c:v>
                </c:pt>
                <c:pt idx="1">
                  <c:v>687</c:v>
                </c:pt>
                <c:pt idx="2">
                  <c:v>1550</c:v>
                </c:pt>
                <c:pt idx="3">
                  <c:v>1111</c:v>
                </c:pt>
                <c:pt idx="4">
                  <c:v>6550</c:v>
                </c:pt>
                <c:pt idx="5">
                  <c:v>6372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57-4B56-A80D-2F356C7A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46880"/>
        <c:axId val="478547536"/>
        <c:extLst/>
      </c:scatterChart>
      <c:valAx>
        <c:axId val="47854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Init. Conc. aq.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47536"/>
        <c:crosses val="autoZero"/>
        <c:crossBetween val="midCat"/>
      </c:valAx>
      <c:valAx>
        <c:axId val="4785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4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Instrumental Drift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Blk_SIM_150_03.08.21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32724136248252"/>
                  <c:y val="-4.3661342232585616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(Processing_final!$A$7:$A$8,Processing_final!$A$15,Processing_final!$A$27)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21</c:v>
                </c:pt>
              </c:numCache>
            </c:numRef>
          </c:xVal>
          <c:yVal>
            <c:numRef>
              <c:f>(Processing_final!$G$7:$G$8,Processing_final!$G$15,Processing_final!$G$27)</c:f>
              <c:numCache>
                <c:formatCode>General</c:formatCode>
                <c:ptCount val="4"/>
                <c:pt idx="0">
                  <c:v>150193</c:v>
                </c:pt>
                <c:pt idx="1">
                  <c:v>115846</c:v>
                </c:pt>
                <c:pt idx="2">
                  <c:v>164987</c:v>
                </c:pt>
                <c:pt idx="3">
                  <c:v>172923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F-4DB0-B0CF-85CE0F14EE22}"/>
            </c:ext>
          </c:extLst>
        </c:ser>
        <c:ser>
          <c:idx val="1"/>
          <c:order val="1"/>
          <c:tx>
            <c:v>Blk_SIM_150_04.08.21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(Processing_final!$A$42:$A$43,Processing_final!$A$50,Processing_final!$A$61)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20</c:v>
                </c:pt>
              </c:numCache>
            </c:numRef>
          </c:xVal>
          <c:yVal>
            <c:numRef>
              <c:f>(Processing_final!$G$42:$G$43,Processing_final!$G$50,Processing_final!$G$61)</c:f>
              <c:numCache>
                <c:formatCode>General</c:formatCode>
                <c:ptCount val="4"/>
                <c:pt idx="0">
                  <c:v>114248</c:v>
                </c:pt>
                <c:pt idx="1">
                  <c:v>139925</c:v>
                </c:pt>
                <c:pt idx="2">
                  <c:v>169430</c:v>
                </c:pt>
                <c:pt idx="3">
                  <c:v>122881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F-4DB0-B0CF-85CE0F14EE22}"/>
            </c:ext>
          </c:extLst>
        </c:ser>
        <c:ser>
          <c:idx val="2"/>
          <c:order val="2"/>
          <c:tx>
            <c:v>Blk_SIM_150_05.08.21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736430773917347E-2"/>
                  <c:y val="7.2965963134931283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(Processing_final!$A$80:$A$81,Processing_final!$A$92)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13</c:v>
                </c:pt>
              </c:numCache>
            </c:numRef>
          </c:xVal>
          <c:yVal>
            <c:numRef>
              <c:f>(Processing_final!$G$80:$G$81,Processing_final!$G$92)</c:f>
              <c:numCache>
                <c:formatCode>General</c:formatCode>
                <c:ptCount val="3"/>
                <c:pt idx="0">
                  <c:v>77246</c:v>
                </c:pt>
                <c:pt idx="1">
                  <c:v>94964</c:v>
                </c:pt>
                <c:pt idx="2">
                  <c:v>85961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2F-4DB0-B0CF-85CE0F14E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80664"/>
        <c:axId val="633581648"/>
      </c:scatterChart>
      <c:valAx>
        <c:axId val="63358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measurement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81648"/>
        <c:crosses val="autoZero"/>
        <c:crossBetween val="midCat"/>
      </c:valAx>
      <c:valAx>
        <c:axId val="6335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  <a:r>
                  <a:rPr lang="en-US" baseline="0"/>
                  <a:t> area m/z=150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80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Gas Conc [ppm] 04.08.21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SIM_166_RTE_04.08.21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572397200349958E-2"/>
                  <c:y val="4.1870807815689703E-3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(Processing_final!$S$23:$S$27,Processing_final!$S$29:$S$32)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8.2409181266846383E-3</c:v>
                </c:pt>
                <c:pt idx="3">
                  <c:v>8.2409181266846383E-3</c:v>
                </c:pt>
                <c:pt idx="4">
                  <c:v>1.6481836253369277E-2</c:v>
                </c:pt>
                <c:pt idx="5">
                  <c:v>8.2409181266846418E-2</c:v>
                </c:pt>
                <c:pt idx="6">
                  <c:v>8.2409181266846418E-2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(Processing_final!$M$23:$M$27,Processing_final!$M$29:$M$32)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911</c:v>
                </c:pt>
                <c:pt idx="3">
                  <c:v>0</c:v>
                </c:pt>
                <c:pt idx="4">
                  <c:v>1828</c:v>
                </c:pt>
                <c:pt idx="5">
                  <c:v>11925</c:v>
                </c:pt>
                <c:pt idx="6">
                  <c:v>9251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7E-4FF1-9B59-97852FEAC107}"/>
            </c:ext>
          </c:extLst>
        </c:ser>
        <c:ser>
          <c:idx val="1"/>
          <c:order val="1"/>
          <c:tx>
            <c:v>SIM_166_RTE_04.08.21_Drift-corr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468202480500462E-2"/>
                  <c:y val="0.27922514566007939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(Processing_final!$S$23:$S$27,Processing_final!$S$29:$S$32)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8.2409181266846383E-3</c:v>
                </c:pt>
                <c:pt idx="3">
                  <c:v>8.2409181266846383E-3</c:v>
                </c:pt>
                <c:pt idx="4">
                  <c:v>1.6481836253369277E-2</c:v>
                </c:pt>
                <c:pt idx="5">
                  <c:v>8.2409181266846418E-2</c:v>
                </c:pt>
                <c:pt idx="6">
                  <c:v>8.2409181266846418E-2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(Processing_final!$N$23:$N$27,Processing_final!$N$29:$N$32)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910.58952492562605</c:v>
                </c:pt>
                <c:pt idx="3">
                  <c:v>0</c:v>
                </c:pt>
                <c:pt idx="4">
                  <c:v>1826.6276562188266</c:v>
                </c:pt>
                <c:pt idx="5">
                  <c:v>11912.470239950013</c:v>
                </c:pt>
                <c:pt idx="6">
                  <c:v>9239.8929222789957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7E-4FF1-9B59-97852FEAC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99464"/>
        <c:axId val="570699792"/>
      </c:scatterChart>
      <c:valAx>
        <c:axId val="57069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PCE Gas Conc</a:t>
                </a:r>
                <a:r>
                  <a:rPr lang="en-US" baseline="0"/>
                  <a:t>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99792"/>
        <c:crosses val="autoZero"/>
        <c:crossBetween val="midCat"/>
      </c:valAx>
      <c:valAx>
        <c:axId val="5706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 m/z=166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9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Gas Conc [ppm] 05.08.21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SIM_166_RTE_05.08.21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972637795275587"/>
                  <c:y val="2.2475712915542255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Processing_final!$S$37:$S$45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8.2409181266846383E-3</c:v>
                </c:pt>
                <c:pt idx="3">
                  <c:v>8.2409181266846383E-3</c:v>
                </c:pt>
                <c:pt idx="4">
                  <c:v>1.6481836253369277E-2</c:v>
                </c:pt>
                <c:pt idx="5">
                  <c:v>1.6481836253369277E-2</c:v>
                </c:pt>
                <c:pt idx="6">
                  <c:v>8.2409181266846418E-2</c:v>
                </c:pt>
                <c:pt idx="7">
                  <c:v>8.2409181266846418E-2</c:v>
                </c:pt>
                <c:pt idx="8">
                  <c:v>0</c:v>
                </c:pt>
              </c:numCache>
            </c:numRef>
          </c:xVal>
          <c:yVal>
            <c:numRef>
              <c:f>Processing_final!$M$37:$M$45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682</c:v>
                </c:pt>
                <c:pt idx="3">
                  <c:v>687</c:v>
                </c:pt>
                <c:pt idx="4">
                  <c:v>1550</c:v>
                </c:pt>
                <c:pt idx="5">
                  <c:v>1111</c:v>
                </c:pt>
                <c:pt idx="6">
                  <c:v>6550</c:v>
                </c:pt>
                <c:pt idx="7">
                  <c:v>6372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7-4289-802D-7F1A3FD00A01}"/>
            </c:ext>
          </c:extLst>
        </c:ser>
        <c:ser>
          <c:idx val="1"/>
          <c:order val="1"/>
          <c:tx>
            <c:v>SIM_166_RTE_05.08.21_Drift-corr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10971182252839E-2"/>
                  <c:y val="0.28797293269180518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Processing_final!$S$37:$S$45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8.2409181266846383E-3</c:v>
                </c:pt>
                <c:pt idx="3">
                  <c:v>8.2409181266846383E-3</c:v>
                </c:pt>
                <c:pt idx="4">
                  <c:v>1.6481836253369277E-2</c:v>
                </c:pt>
                <c:pt idx="5">
                  <c:v>1.6481836253369277E-2</c:v>
                </c:pt>
                <c:pt idx="6">
                  <c:v>8.2409181266846418E-2</c:v>
                </c:pt>
                <c:pt idx="7">
                  <c:v>8.2409181266846418E-2</c:v>
                </c:pt>
                <c:pt idx="8">
                  <c:v>0</c:v>
                </c:pt>
              </c:numCache>
            </c:numRef>
          </c:xVal>
          <c:yVal>
            <c:numRef>
              <c:f>Processing_final!$N$37:$N$45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679.91565328238107</c:v>
                </c:pt>
                <c:pt idx="3">
                  <c:v>684.20334526788588</c:v>
                </c:pt>
                <c:pt idx="4">
                  <c:v>1542.1208010280952</c:v>
                </c:pt>
                <c:pt idx="5">
                  <c:v>1104.2297553236356</c:v>
                </c:pt>
                <c:pt idx="6">
                  <c:v>6503.4802327925245</c:v>
                </c:pt>
                <c:pt idx="7">
                  <c:v>6320.3317762393262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57-4289-802D-7F1A3FD00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99464"/>
        <c:axId val="570699792"/>
      </c:scatterChart>
      <c:valAx>
        <c:axId val="57069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PCE Gas Conc</a:t>
                </a:r>
                <a:r>
                  <a:rPr lang="en-US" baseline="0"/>
                  <a:t>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99792"/>
        <c:crosses val="autoZero"/>
        <c:crossBetween val="midCat"/>
      </c:valAx>
      <c:valAx>
        <c:axId val="5706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 m/z=166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9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Gas Conc [ppm] 03.08.21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SIM_166_RTE_03.08.21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572397200349958E-2"/>
                  <c:y val="4.1870807815689703E-3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Processing_final!$S$7:$S$18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1.6481836253369277E-2</c:v>
                </c:pt>
                <c:pt idx="3">
                  <c:v>1.6481836253369277E-2</c:v>
                </c:pt>
                <c:pt idx="4">
                  <c:v>8.2409181266846418E-2</c:v>
                </c:pt>
                <c:pt idx="5">
                  <c:v>8.2409181266846418E-2</c:v>
                </c:pt>
                <c:pt idx="6">
                  <c:v>0.16481836253369284</c:v>
                </c:pt>
                <c:pt idx="7">
                  <c:v>0.16481836253369284</c:v>
                </c:pt>
                <c:pt idx="8">
                  <c:v>0</c:v>
                </c:pt>
                <c:pt idx="9">
                  <c:v>0</c:v>
                </c:pt>
                <c:pt idx="10">
                  <c:v>8.2409181266846383E-3</c:v>
                </c:pt>
                <c:pt idx="11">
                  <c:v>8.2409181266846383E-3</c:v>
                </c:pt>
              </c:numCache>
            </c:numRef>
          </c:xVal>
          <c:yVal>
            <c:numRef>
              <c:f>Processing_final!$M$7:$M$18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1143</c:v>
                </c:pt>
                <c:pt idx="3">
                  <c:v>1980</c:v>
                </c:pt>
                <c:pt idx="4">
                  <c:v>7720</c:v>
                </c:pt>
                <c:pt idx="5">
                  <c:v>6702</c:v>
                </c:pt>
                <c:pt idx="6">
                  <c:v>14694</c:v>
                </c:pt>
                <c:pt idx="7">
                  <c:v>16948</c:v>
                </c:pt>
                <c:pt idx="8">
                  <c:v>0</c:v>
                </c:pt>
                <c:pt idx="9">
                  <c:v>821</c:v>
                </c:pt>
                <c:pt idx="10">
                  <c:v>909</c:v>
                </c:pt>
                <c:pt idx="11">
                  <c:v>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AA-4D2C-8CF7-CB2A966D5F6C}"/>
            </c:ext>
          </c:extLst>
        </c:ser>
        <c:ser>
          <c:idx val="1"/>
          <c:order val="1"/>
          <c:tx>
            <c:v>SIM_166_RTE_03.08.21_Drift-corr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427602799650043E-2"/>
                  <c:y val="0.24846201516477107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Processing_final!$S$7:$S$18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1.6481836253369277E-2</c:v>
                </c:pt>
                <c:pt idx="3">
                  <c:v>1.6481836253369277E-2</c:v>
                </c:pt>
                <c:pt idx="4">
                  <c:v>8.2409181266846418E-2</c:v>
                </c:pt>
                <c:pt idx="5">
                  <c:v>8.2409181266846418E-2</c:v>
                </c:pt>
                <c:pt idx="6">
                  <c:v>0.16481836253369284</c:v>
                </c:pt>
                <c:pt idx="7">
                  <c:v>0.16481836253369284</c:v>
                </c:pt>
                <c:pt idx="8">
                  <c:v>0</c:v>
                </c:pt>
                <c:pt idx="9">
                  <c:v>0</c:v>
                </c:pt>
                <c:pt idx="10">
                  <c:v>8.2409181266846383E-3</c:v>
                </c:pt>
                <c:pt idx="11">
                  <c:v>8.2409181266846383E-3</c:v>
                </c:pt>
              </c:numCache>
            </c:numRef>
          </c:xVal>
          <c:yVal>
            <c:numRef>
              <c:f>Processing_final!$N$7:$N$18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1093.5584071685437</c:v>
                </c:pt>
                <c:pt idx="3">
                  <c:v>1867.4273421660678</c:v>
                </c:pt>
                <c:pt idx="4">
                  <c:v>7179.0394911458488</c:v>
                </c:pt>
                <c:pt idx="5">
                  <c:v>6146.2368378486199</c:v>
                </c:pt>
                <c:pt idx="6">
                  <c:v>13291.796815459373</c:v>
                </c:pt>
                <c:pt idx="7">
                  <c:v>15124.520755131751</c:v>
                </c:pt>
                <c:pt idx="8">
                  <c:v>0</c:v>
                </c:pt>
                <c:pt idx="9">
                  <c:v>623.63194426516827</c:v>
                </c:pt>
                <c:pt idx="10">
                  <c:v>682.66194095856599</c:v>
                </c:pt>
                <c:pt idx="11">
                  <c:v>703.24076053369072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AA-4D2C-8CF7-CB2A966D5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99464"/>
        <c:axId val="570699792"/>
      </c:scatterChart>
      <c:valAx>
        <c:axId val="57069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PCE Gas Conc</a:t>
                </a:r>
                <a:r>
                  <a:rPr lang="en-US" baseline="0"/>
                  <a:t>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99792"/>
        <c:crosses val="autoZero"/>
        <c:crossBetween val="midCat"/>
      </c:valAx>
      <c:valAx>
        <c:axId val="5706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 m/z=166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9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RTE_SIM_166_A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7797878390201225"/>
                  <c:y val="-2.2328667249927093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(Processing1!$K$7:$K$9,Processing1!$K$11:$K$16)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</c:numCache>
            </c:numRef>
          </c:xVal>
          <c:yVal>
            <c:numRef>
              <c:f>(Processing1!$I$7:$I$9,Processing1!$I$11:$I$16)</c:f>
              <c:numCache>
                <c:formatCode>General</c:formatCode>
                <c:ptCount val="9"/>
                <c:pt idx="3">
                  <c:v>909</c:v>
                </c:pt>
                <c:pt idx="4">
                  <c:v>947</c:v>
                </c:pt>
                <c:pt idx="5">
                  <c:v>1143</c:v>
                </c:pt>
                <c:pt idx="6">
                  <c:v>1980</c:v>
                </c:pt>
                <c:pt idx="7">
                  <c:v>7720</c:v>
                </c:pt>
                <c:pt idx="8">
                  <c:v>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5-4FBF-B7DA-968769A59973}"/>
            </c:ext>
          </c:extLst>
        </c:ser>
        <c:ser>
          <c:idx val="1"/>
          <c:order val="1"/>
          <c:tx>
            <c:v>RTE_SIM_166_B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452259784492717E-2"/>
                  <c:y val="0.3198019032087876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(Processing1!$K$7:$K$9,Processing1!$K$11:$K$16)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</c:numCache>
            </c:numRef>
          </c:xVal>
          <c:yVal>
            <c:numRef>
              <c:f>(Processing1!$I$7:$I$9,Processing1!$I$11:$I$16)</c:f>
              <c:numCache>
                <c:formatCode>General</c:formatCode>
                <c:ptCount val="9"/>
                <c:pt idx="3">
                  <c:v>909</c:v>
                </c:pt>
                <c:pt idx="4">
                  <c:v>947</c:v>
                </c:pt>
                <c:pt idx="5">
                  <c:v>1143</c:v>
                </c:pt>
                <c:pt idx="6">
                  <c:v>1980</c:v>
                </c:pt>
                <c:pt idx="7">
                  <c:v>7720</c:v>
                </c:pt>
                <c:pt idx="8">
                  <c:v>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15-4FBF-B7DA-968769A5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97240"/>
        <c:axId val="565088712"/>
      </c:scatterChart>
      <c:valAx>
        <c:axId val="56509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88712"/>
        <c:crosses val="autoZero"/>
        <c:crossBetween val="midCat"/>
      </c:valAx>
      <c:valAx>
        <c:axId val="56508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9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RTE_SIM_166_A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7797878390201225"/>
                  <c:y val="-2.2328667249927093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(Processing1!$K$50:$K$54,Processing1!$K$56,Processing1!$K$58:$K$59)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0.5</c:v>
                </c:pt>
              </c:numCache>
            </c:numRef>
          </c:xVal>
          <c:yVal>
            <c:numRef>
              <c:f>(Processing1!$I$50:$I$53,Processing1!$I$54,Processing1!$I$56,Processing1!$I$58:$I$59)</c:f>
              <c:numCache>
                <c:formatCode>General</c:formatCode>
                <c:ptCount val="8"/>
                <c:pt idx="4">
                  <c:v>911</c:v>
                </c:pt>
                <c:pt idx="5">
                  <c:v>1828</c:v>
                </c:pt>
                <c:pt idx="6">
                  <c:v>11925</c:v>
                </c:pt>
                <c:pt idx="7">
                  <c:v>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8-4B16-B370-175234DBD9C3}"/>
            </c:ext>
          </c:extLst>
        </c:ser>
        <c:ser>
          <c:idx val="1"/>
          <c:order val="1"/>
          <c:tx>
            <c:v>RTE_SIM_166_B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452259784492717E-2"/>
                  <c:y val="0.3198019032087876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(Processing1!$K$50:$K$53,Processing1!$K$54,Processing1!$K$56,Processing1!$K$58:$K$59)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0.5</c:v>
                </c:pt>
              </c:numCache>
            </c:numRef>
          </c:xVal>
          <c:yVal>
            <c:numRef>
              <c:f>(Processing1!$I$50:$I$53,Processing1!$I$54,Processing1!$I$56,Processing1!$I$58:$I$59)</c:f>
              <c:numCache>
                <c:formatCode>General</c:formatCode>
                <c:ptCount val="8"/>
                <c:pt idx="4">
                  <c:v>911</c:v>
                </c:pt>
                <c:pt idx="5">
                  <c:v>1828</c:v>
                </c:pt>
                <c:pt idx="6">
                  <c:v>11925</c:v>
                </c:pt>
                <c:pt idx="7">
                  <c:v>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68-4B16-B370-175234DBD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97240"/>
        <c:axId val="565088712"/>
      </c:scatterChart>
      <c:valAx>
        <c:axId val="56509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88712"/>
        <c:crosses val="autoZero"/>
        <c:crossBetween val="midCat"/>
      </c:valAx>
      <c:valAx>
        <c:axId val="56508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9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391956</xdr:colOff>
      <xdr:row>3</xdr:row>
      <xdr:rowOff>26520</xdr:rowOff>
    </xdr:from>
    <xdr:to>
      <xdr:col>37</xdr:col>
      <xdr:colOff>532030</xdr:colOff>
      <xdr:row>20</xdr:row>
      <xdr:rowOff>35982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179A03-6011-4F8F-8101-ED3BA2F91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304800</xdr:colOff>
      <xdr:row>42</xdr:row>
      <xdr:rowOff>28575</xdr:rowOff>
    </xdr:from>
    <xdr:to>
      <xdr:col>37</xdr:col>
      <xdr:colOff>444874</xdr:colOff>
      <xdr:row>59</xdr:row>
      <xdr:rowOff>38037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E66D874-BC45-4B62-9AC9-498FB1972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114300</xdr:colOff>
      <xdr:row>79</xdr:row>
      <xdr:rowOff>161925</xdr:rowOff>
    </xdr:from>
    <xdr:to>
      <xdr:col>38</xdr:col>
      <xdr:colOff>254374</xdr:colOff>
      <xdr:row>96</xdr:row>
      <xdr:rowOff>171387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60E4DF5-2050-4629-8E73-4FE72282A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761998</xdr:colOff>
      <xdr:row>46</xdr:row>
      <xdr:rowOff>190499</xdr:rowOff>
    </xdr:from>
    <xdr:to>
      <xdr:col>17</xdr:col>
      <xdr:colOff>639535</xdr:colOff>
      <xdr:row>71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B5365A4-52C5-4F95-AA13-1BBA76883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33618</xdr:colOff>
      <xdr:row>31</xdr:row>
      <xdr:rowOff>0</xdr:rowOff>
    </xdr:from>
    <xdr:to>
      <xdr:col>25</xdr:col>
      <xdr:colOff>762000</xdr:colOff>
      <xdr:row>45</xdr:row>
      <xdr:rowOff>40182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9E96DD51-FFBA-4739-93E5-2FF1BCDBF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22412</xdr:colOff>
      <xdr:row>46</xdr:row>
      <xdr:rowOff>0</xdr:rowOff>
    </xdr:from>
    <xdr:to>
      <xdr:col>25</xdr:col>
      <xdr:colOff>762000</xdr:colOff>
      <xdr:row>60</xdr:row>
      <xdr:rowOff>62593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F7BC147-11EA-4966-BFE3-44ADD077A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22412</xdr:colOff>
      <xdr:row>16</xdr:row>
      <xdr:rowOff>0</xdr:rowOff>
    </xdr:from>
    <xdr:to>
      <xdr:col>25</xdr:col>
      <xdr:colOff>762000</xdr:colOff>
      <xdr:row>30</xdr:row>
      <xdr:rowOff>51387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FC2299FE-37BD-4111-8D2E-E497890F6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761999</xdr:colOff>
      <xdr:row>0</xdr:row>
      <xdr:rowOff>190499</xdr:rowOff>
    </xdr:from>
    <xdr:to>
      <xdr:col>22</xdr:col>
      <xdr:colOff>751417</xdr:colOff>
      <xdr:row>18</xdr:row>
      <xdr:rowOff>10583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7DF86E0-55D3-4C78-93A9-207C2DEA9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43</xdr:row>
      <xdr:rowOff>0</xdr:rowOff>
    </xdr:from>
    <xdr:to>
      <xdr:col>23</xdr:col>
      <xdr:colOff>10583</xdr:colOff>
      <xdr:row>60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9562EEB-217D-4E73-99FF-B842833F7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85</xdr:row>
      <xdr:rowOff>0</xdr:rowOff>
    </xdr:from>
    <xdr:to>
      <xdr:col>22</xdr:col>
      <xdr:colOff>751417</xdr:colOff>
      <xdr:row>100</xdr:row>
      <xdr:rowOff>179917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0C07D53-B6D2-4D5F-B949-E083AC518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Studium%20Geo/M.Sc/OSLO/MA_PFC/GC-MS/Part_Exp_C/PE_C_PCE_GC-MS_with_CORR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1st processing"/>
      <sheetName val="Processing_final"/>
    </sheetNames>
    <sheetDataSet>
      <sheetData sheetId="0">
        <row r="8">
          <cell r="M8">
            <v>0</v>
          </cell>
          <cell r="N8">
            <v>0</v>
          </cell>
          <cell r="O8">
            <v>0</v>
          </cell>
        </row>
        <row r="9">
          <cell r="M9">
            <v>0</v>
          </cell>
          <cell r="N9">
            <v>0</v>
          </cell>
          <cell r="O9">
            <v>0</v>
          </cell>
        </row>
        <row r="10">
          <cell r="M10">
            <v>0</v>
          </cell>
          <cell r="N10">
            <v>43709</v>
          </cell>
          <cell r="O10">
            <v>0.1</v>
          </cell>
        </row>
        <row r="11">
          <cell r="M11">
            <v>0</v>
          </cell>
          <cell r="N11">
            <v>45897</v>
          </cell>
          <cell r="O11">
            <v>0.1</v>
          </cell>
        </row>
        <row r="12">
          <cell r="M12">
            <v>217080</v>
          </cell>
          <cell r="N12">
            <v>218103</v>
          </cell>
          <cell r="O12">
            <v>0.5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8D95-1902-4306-B379-0A5158AF4CF3}">
  <dimension ref="A1:AD103"/>
  <sheetViews>
    <sheetView zoomScale="85" zoomScaleNormal="85" workbookViewId="0">
      <selection activeCell="AB28" sqref="AB28:AB30"/>
    </sheetView>
  </sheetViews>
  <sheetFormatPr baseColWidth="10" defaultRowHeight="15" x14ac:dyDescent="0.25"/>
  <cols>
    <col min="2" max="2" width="33.85546875" bestFit="1" customWidth="1"/>
    <col min="3" max="11" width="7.28515625" hidden="1" customWidth="1"/>
    <col min="18" max="18" width="13.140625" customWidth="1"/>
    <col min="19" max="19" width="14.28515625" customWidth="1"/>
    <col min="20" max="20" width="8.7109375" customWidth="1"/>
    <col min="21" max="21" width="8.5703125" bestFit="1" customWidth="1"/>
    <col min="22" max="25" width="11.42578125" customWidth="1"/>
    <col min="26" max="26" width="13" customWidth="1"/>
    <col min="27" max="27" width="6.85546875" customWidth="1"/>
    <col min="28" max="28" width="17.140625" customWidth="1"/>
  </cols>
  <sheetData>
    <row r="1" spans="1:30" x14ac:dyDescent="0.25">
      <c r="A1" t="s">
        <v>22</v>
      </c>
    </row>
    <row r="2" spans="1:30" x14ac:dyDescent="0.25">
      <c r="A2" t="s">
        <v>23</v>
      </c>
    </row>
    <row r="3" spans="1:30" x14ac:dyDescent="0.25">
      <c r="A3" t="s">
        <v>1</v>
      </c>
      <c r="C3" t="s">
        <v>2</v>
      </c>
    </row>
    <row r="4" spans="1:30" x14ac:dyDescent="0.25">
      <c r="A4" t="s">
        <v>5</v>
      </c>
      <c r="C4" t="s">
        <v>73</v>
      </c>
    </row>
    <row r="5" spans="1:30" x14ac:dyDescent="0.25">
      <c r="A5" s="4"/>
      <c r="B5" s="5"/>
      <c r="C5" s="6" t="s">
        <v>6</v>
      </c>
      <c r="D5" s="3"/>
      <c r="E5" s="13"/>
      <c r="F5" s="3" t="s">
        <v>7</v>
      </c>
      <c r="G5" s="3"/>
      <c r="I5" s="6" t="s">
        <v>8</v>
      </c>
      <c r="J5" s="3"/>
      <c r="K5" s="7"/>
      <c r="L5" s="6" t="s">
        <v>9</v>
      </c>
      <c r="M5" s="3"/>
      <c r="N5" s="3" t="s">
        <v>72</v>
      </c>
      <c r="O5" s="7" t="s">
        <v>71</v>
      </c>
      <c r="P5" s="6" t="s">
        <v>10</v>
      </c>
      <c r="Q5" s="3"/>
      <c r="R5" s="3" t="s">
        <v>72</v>
      </c>
      <c r="S5" s="3" t="s">
        <v>71</v>
      </c>
      <c r="T5" s="24" t="s">
        <v>7</v>
      </c>
      <c r="U5" s="3" t="s">
        <v>72</v>
      </c>
      <c r="V5" s="6" t="s">
        <v>74</v>
      </c>
      <c r="W5" s="7"/>
      <c r="X5" s="6" t="s">
        <v>75</v>
      </c>
      <c r="Y5" s="7"/>
      <c r="Z5" s="6" t="s">
        <v>76</v>
      </c>
      <c r="AA5" s="7"/>
      <c r="AB5" t="s">
        <v>11</v>
      </c>
    </row>
    <row r="6" spans="1:30" x14ac:dyDescent="0.25">
      <c r="A6" s="9" t="s">
        <v>12</v>
      </c>
      <c r="B6" s="10" t="s">
        <v>13</v>
      </c>
      <c r="C6" s="9" t="s">
        <v>14</v>
      </c>
      <c r="D6" s="10" t="s">
        <v>15</v>
      </c>
      <c r="E6" s="10" t="s">
        <v>91</v>
      </c>
      <c r="F6" s="10" t="s">
        <v>14</v>
      </c>
      <c r="G6" s="10" t="s">
        <v>16</v>
      </c>
      <c r="H6" s="10" t="s">
        <v>92</v>
      </c>
      <c r="I6" s="9" t="s">
        <v>14</v>
      </c>
      <c r="J6" s="11" t="s">
        <v>17</v>
      </c>
      <c r="K6" s="11" t="s">
        <v>93</v>
      </c>
      <c r="L6" s="9" t="s">
        <v>14</v>
      </c>
      <c r="M6" s="10" t="s">
        <v>18</v>
      </c>
      <c r="N6" s="10" t="s">
        <v>18</v>
      </c>
      <c r="O6" s="22" t="s">
        <v>18</v>
      </c>
      <c r="P6" s="9" t="s">
        <v>14</v>
      </c>
      <c r="Q6" s="10" t="s">
        <v>19</v>
      </c>
      <c r="R6" s="10" t="s">
        <v>19</v>
      </c>
      <c r="S6" s="23" t="s">
        <v>19</v>
      </c>
      <c r="T6" s="9" t="s">
        <v>14</v>
      </c>
      <c r="U6" s="11" t="s">
        <v>16</v>
      </c>
      <c r="V6" s="9"/>
      <c r="W6" s="11"/>
      <c r="X6" s="9"/>
      <c r="Y6" s="11"/>
      <c r="Z6" s="9"/>
      <c r="AA6" s="11"/>
      <c r="AB6" t="s">
        <v>21</v>
      </c>
      <c r="AC6" t="s">
        <v>94</v>
      </c>
    </row>
    <row r="7" spans="1:30" x14ac:dyDescent="0.25">
      <c r="A7">
        <v>1</v>
      </c>
      <c r="B7" t="s">
        <v>24</v>
      </c>
      <c r="C7" s="12">
        <v>3.5710000000000002</v>
      </c>
      <c r="D7" s="21">
        <v>598741</v>
      </c>
      <c r="E7" s="13">
        <v>600310</v>
      </c>
      <c r="F7">
        <v>13.166</v>
      </c>
      <c r="G7">
        <v>148175</v>
      </c>
      <c r="H7">
        <v>150193</v>
      </c>
      <c r="I7" s="12">
        <v>13.166</v>
      </c>
      <c r="J7" s="21"/>
      <c r="K7" s="13">
        <v>92281</v>
      </c>
      <c r="L7" s="17">
        <v>0</v>
      </c>
      <c r="M7" s="17">
        <v>0</v>
      </c>
      <c r="N7" s="17">
        <v>0</v>
      </c>
      <c r="P7" s="12">
        <v>0</v>
      </c>
      <c r="Q7" s="17">
        <v>0</v>
      </c>
      <c r="R7" s="21">
        <v>0</v>
      </c>
      <c r="S7" s="21"/>
      <c r="T7">
        <v>13.166</v>
      </c>
      <c r="U7">
        <v>150193</v>
      </c>
      <c r="AB7">
        <v>0</v>
      </c>
    </row>
    <row r="8" spans="1:30" x14ac:dyDescent="0.25">
      <c r="A8">
        <v>2</v>
      </c>
      <c r="B8" t="s">
        <v>25</v>
      </c>
      <c r="C8" s="12">
        <v>3.5739999999999998</v>
      </c>
      <c r="D8" s="21">
        <v>512585</v>
      </c>
      <c r="E8" s="13">
        <v>518244</v>
      </c>
      <c r="F8">
        <v>13.167999999999999</v>
      </c>
      <c r="G8">
        <v>115846</v>
      </c>
      <c r="H8">
        <v>115846</v>
      </c>
      <c r="I8" s="12">
        <v>13.169</v>
      </c>
      <c r="J8" s="21"/>
      <c r="K8" s="13">
        <v>74942</v>
      </c>
      <c r="L8">
        <v>0</v>
      </c>
      <c r="M8">
        <v>0</v>
      </c>
      <c r="N8">
        <v>0</v>
      </c>
      <c r="P8" s="12">
        <v>0</v>
      </c>
      <c r="Q8" s="17">
        <v>0</v>
      </c>
      <c r="R8" s="21">
        <v>0</v>
      </c>
      <c r="S8" s="21"/>
      <c r="T8">
        <v>13.167999999999999</v>
      </c>
      <c r="U8">
        <v>115846</v>
      </c>
      <c r="AB8">
        <v>0</v>
      </c>
    </row>
    <row r="9" spans="1:30" x14ac:dyDescent="0.25">
      <c r="A9">
        <v>3</v>
      </c>
      <c r="B9" t="s">
        <v>26</v>
      </c>
      <c r="C9" s="12">
        <v>3.5750000000000002</v>
      </c>
      <c r="D9" s="21">
        <v>574603</v>
      </c>
      <c r="E9" s="13">
        <v>581839</v>
      </c>
      <c r="F9">
        <v>13.169</v>
      </c>
      <c r="H9">
        <v>124817</v>
      </c>
      <c r="I9" s="12">
        <v>13.17</v>
      </c>
      <c r="J9" s="21"/>
      <c r="K9" s="13">
        <v>79173</v>
      </c>
      <c r="L9">
        <v>7.0010000000000003</v>
      </c>
      <c r="N9">
        <v>135943</v>
      </c>
      <c r="O9">
        <v>14514</v>
      </c>
      <c r="P9" s="12">
        <v>7.0039999999999996</v>
      </c>
      <c r="R9" s="21">
        <v>44469</v>
      </c>
      <c r="S9" s="21">
        <v>1143</v>
      </c>
      <c r="T9">
        <v>13.169</v>
      </c>
      <c r="U9">
        <v>124817</v>
      </c>
      <c r="AB9">
        <v>0.1</v>
      </c>
    </row>
    <row r="10" spans="1:30" x14ac:dyDescent="0.25">
      <c r="A10">
        <v>4</v>
      </c>
      <c r="B10" t="s">
        <v>27</v>
      </c>
      <c r="C10" s="12">
        <v>3.58</v>
      </c>
      <c r="D10" s="21">
        <v>898048</v>
      </c>
      <c r="E10" s="13">
        <v>899570</v>
      </c>
      <c r="F10">
        <v>13.169</v>
      </c>
      <c r="G10">
        <v>160317</v>
      </c>
      <c r="H10">
        <v>161205</v>
      </c>
      <c r="I10" s="12">
        <v>13.17</v>
      </c>
      <c r="J10" s="21"/>
      <c r="K10" s="13">
        <v>101829</v>
      </c>
      <c r="L10">
        <v>6.9980000000000002</v>
      </c>
      <c r="N10">
        <v>21527</v>
      </c>
      <c r="O10">
        <v>1890</v>
      </c>
      <c r="P10" s="12">
        <v>7.0010000000000003</v>
      </c>
      <c r="R10" s="21">
        <v>20953</v>
      </c>
      <c r="S10" s="21">
        <v>1980</v>
      </c>
      <c r="T10">
        <v>13.169</v>
      </c>
      <c r="U10">
        <v>161205</v>
      </c>
      <c r="AB10">
        <v>0.1</v>
      </c>
      <c r="AC10">
        <f t="shared" ref="AC10:AC33" si="0">O10/S10</f>
        <v>0.95454545454545459</v>
      </c>
    </row>
    <row r="11" spans="1:30" x14ac:dyDescent="0.25">
      <c r="A11">
        <v>5</v>
      </c>
      <c r="B11" t="s">
        <v>28</v>
      </c>
      <c r="C11" s="12">
        <v>3.5739999999999998</v>
      </c>
      <c r="D11" s="21">
        <v>963122</v>
      </c>
      <c r="E11" s="13">
        <v>966570</v>
      </c>
      <c r="F11">
        <v>13.17</v>
      </c>
      <c r="G11">
        <v>169555</v>
      </c>
      <c r="H11">
        <v>172944</v>
      </c>
      <c r="I11" s="12">
        <v>13.17</v>
      </c>
      <c r="J11" s="21"/>
      <c r="K11" s="13">
        <v>113496</v>
      </c>
      <c r="L11">
        <v>7</v>
      </c>
      <c r="N11">
        <v>70972</v>
      </c>
      <c r="O11">
        <v>5845</v>
      </c>
      <c r="P11" s="12">
        <v>7.0010000000000003</v>
      </c>
      <c r="R11" s="21">
        <v>83241</v>
      </c>
      <c r="S11" s="21">
        <v>7720</v>
      </c>
      <c r="T11">
        <v>13.17</v>
      </c>
      <c r="U11">
        <v>172944</v>
      </c>
      <c r="AB11">
        <v>0.5</v>
      </c>
      <c r="AC11">
        <f t="shared" si="0"/>
        <v>0.75712435233160624</v>
      </c>
    </row>
    <row r="12" spans="1:30" x14ac:dyDescent="0.25">
      <c r="A12">
        <v>6</v>
      </c>
      <c r="B12" t="s">
        <v>29</v>
      </c>
      <c r="C12" s="12">
        <v>3.581</v>
      </c>
      <c r="D12" s="21">
        <v>822218</v>
      </c>
      <c r="E12" s="13">
        <v>822359</v>
      </c>
      <c r="F12">
        <v>13.170999999999999</v>
      </c>
      <c r="G12">
        <v>149619</v>
      </c>
      <c r="H12">
        <v>150151</v>
      </c>
      <c r="I12" s="12">
        <v>13.172000000000001</v>
      </c>
      <c r="J12" s="21"/>
      <c r="K12" s="13">
        <v>100468</v>
      </c>
      <c r="L12">
        <v>7.0049999999999999</v>
      </c>
      <c r="N12">
        <v>53693</v>
      </c>
      <c r="O12">
        <v>5515</v>
      </c>
      <c r="P12" s="12">
        <v>7.0060000000000002</v>
      </c>
      <c r="R12" s="21">
        <v>64945</v>
      </c>
      <c r="S12" s="21">
        <v>6702</v>
      </c>
      <c r="T12">
        <v>13.170999999999999</v>
      </c>
      <c r="U12">
        <v>150151</v>
      </c>
      <c r="AB12">
        <v>0.5</v>
      </c>
      <c r="AC12">
        <f t="shared" si="0"/>
        <v>0.82288868994330056</v>
      </c>
    </row>
    <row r="13" spans="1:30" x14ac:dyDescent="0.25">
      <c r="A13">
        <v>7</v>
      </c>
      <c r="B13" t="s">
        <v>30</v>
      </c>
      <c r="C13" s="12">
        <v>3.5819999999999999</v>
      </c>
      <c r="D13" s="21">
        <v>771042</v>
      </c>
      <c r="E13" s="13">
        <v>771121</v>
      </c>
      <c r="F13">
        <v>13.170999999999999</v>
      </c>
      <c r="G13">
        <v>142701</v>
      </c>
      <c r="H13">
        <v>143355</v>
      </c>
      <c r="I13" s="12">
        <v>13.172000000000001</v>
      </c>
      <c r="J13" s="21"/>
      <c r="K13" s="13">
        <v>94705</v>
      </c>
      <c r="L13">
        <v>7.0049999999999999</v>
      </c>
      <c r="N13">
        <v>115745</v>
      </c>
      <c r="O13">
        <v>11653</v>
      </c>
      <c r="P13" s="12">
        <v>7.0060000000000002</v>
      </c>
      <c r="R13" s="21">
        <v>145847</v>
      </c>
      <c r="S13" s="21">
        <v>14694</v>
      </c>
      <c r="T13">
        <v>13.170999999999999</v>
      </c>
      <c r="U13">
        <v>143355</v>
      </c>
      <c r="AB13">
        <v>1</v>
      </c>
      <c r="AC13">
        <f t="shared" si="0"/>
        <v>0.79304478018238733</v>
      </c>
    </row>
    <row r="14" spans="1:30" x14ac:dyDescent="0.25">
      <c r="A14">
        <v>8</v>
      </c>
      <c r="B14" t="s">
        <v>31</v>
      </c>
      <c r="C14" s="12">
        <v>3.5830000000000002</v>
      </c>
      <c r="D14" s="21">
        <v>854072</v>
      </c>
      <c r="E14" s="13">
        <v>855415</v>
      </c>
      <c r="F14">
        <v>13.170999999999999</v>
      </c>
      <c r="G14">
        <v>156261</v>
      </c>
      <c r="H14">
        <v>158674</v>
      </c>
      <c r="I14" s="12">
        <v>13.172000000000001</v>
      </c>
      <c r="J14" s="21"/>
      <c r="K14" s="13">
        <v>103563</v>
      </c>
      <c r="L14">
        <v>7.0060000000000002</v>
      </c>
      <c r="N14">
        <v>131101</v>
      </c>
      <c r="O14">
        <v>13298</v>
      </c>
      <c r="P14" s="12">
        <v>7.0069999999999997</v>
      </c>
      <c r="R14" s="21">
        <v>167133</v>
      </c>
      <c r="S14" s="21">
        <v>16948</v>
      </c>
      <c r="T14">
        <v>13.170999999999999</v>
      </c>
      <c r="U14">
        <v>158674</v>
      </c>
      <c r="AB14">
        <v>1</v>
      </c>
      <c r="AC14">
        <f t="shared" si="0"/>
        <v>0.78463535520415384</v>
      </c>
    </row>
    <row r="15" spans="1:30" s="10" customFormat="1" x14ac:dyDescent="0.25">
      <c r="A15" s="10">
        <v>9</v>
      </c>
      <c r="B15" s="10" t="s">
        <v>36</v>
      </c>
      <c r="C15" s="9">
        <v>3.5790000000000002</v>
      </c>
      <c r="D15" s="10">
        <v>964461</v>
      </c>
      <c r="E15" s="11">
        <v>965888</v>
      </c>
      <c r="F15" s="10">
        <v>13.17</v>
      </c>
      <c r="G15" s="10">
        <v>164230</v>
      </c>
      <c r="H15" s="10">
        <v>164987</v>
      </c>
      <c r="I15" s="9">
        <v>13.172000000000001</v>
      </c>
      <c r="K15" s="11">
        <v>107081</v>
      </c>
      <c r="P15" s="9"/>
      <c r="T15" s="10">
        <v>13.17</v>
      </c>
      <c r="U15" s="10">
        <v>164987</v>
      </c>
      <c r="AC15"/>
    </row>
    <row r="16" spans="1:30" x14ac:dyDescent="0.25">
      <c r="A16">
        <v>10</v>
      </c>
      <c r="B16" s="19" t="s">
        <v>32</v>
      </c>
      <c r="C16" s="12"/>
      <c r="D16" s="21"/>
      <c r="E16" s="13"/>
      <c r="I16" s="12"/>
      <c r="J16" s="21"/>
      <c r="K16" s="13"/>
      <c r="L16">
        <v>7.0010000000000003</v>
      </c>
      <c r="O16">
        <v>268</v>
      </c>
      <c r="P16" s="12">
        <v>6.9889999999999999</v>
      </c>
      <c r="R16" s="21"/>
      <c r="S16" s="21">
        <v>370</v>
      </c>
      <c r="AC16">
        <f t="shared" si="0"/>
        <v>0.72432432432432436</v>
      </c>
      <c r="AD16">
        <f>(S16-194.93)/14024</f>
        <v>1.2483599543639475E-2</v>
      </c>
    </row>
    <row r="17" spans="1:30" x14ac:dyDescent="0.25">
      <c r="A17">
        <v>11</v>
      </c>
      <c r="B17" s="19" t="s">
        <v>33</v>
      </c>
      <c r="C17" s="12"/>
      <c r="D17" s="21"/>
      <c r="E17" s="13"/>
      <c r="I17" s="12"/>
      <c r="J17" s="21"/>
      <c r="K17" s="13"/>
      <c r="L17">
        <v>7.0010000000000003</v>
      </c>
      <c r="O17">
        <v>784</v>
      </c>
      <c r="P17" s="12">
        <v>7.0010000000000003</v>
      </c>
      <c r="R17" s="21"/>
      <c r="S17" s="21">
        <v>860</v>
      </c>
      <c r="AC17">
        <f t="shared" si="0"/>
        <v>0.91162790697674423</v>
      </c>
      <c r="AD17">
        <f t="shared" ref="AD17:AD33" si="1">(S17-194.93)/14024</f>
        <v>4.7423702224757551E-2</v>
      </c>
    </row>
    <row r="18" spans="1:30" x14ac:dyDescent="0.25">
      <c r="A18">
        <v>12</v>
      </c>
      <c r="B18" s="19" t="s">
        <v>34</v>
      </c>
      <c r="C18" s="12"/>
      <c r="D18" s="21"/>
      <c r="E18" s="13"/>
      <c r="I18" s="12"/>
      <c r="J18" s="21"/>
      <c r="K18" s="13"/>
      <c r="L18">
        <v>7.0010000000000003</v>
      </c>
      <c r="O18">
        <v>1230</v>
      </c>
      <c r="P18" s="12">
        <v>7.0060000000000002</v>
      </c>
      <c r="R18" s="21">
        <v>13164</v>
      </c>
      <c r="S18" s="21">
        <v>1443</v>
      </c>
      <c r="AC18">
        <f t="shared" si="0"/>
        <v>0.85239085239085244</v>
      </c>
      <c r="AD18">
        <f t="shared" si="1"/>
        <v>8.8995293782087842E-2</v>
      </c>
    </row>
    <row r="19" spans="1:30" s="10" customFormat="1" x14ac:dyDescent="0.25">
      <c r="A19" s="10">
        <v>13</v>
      </c>
      <c r="B19" s="20" t="s">
        <v>35</v>
      </c>
      <c r="C19" s="9"/>
      <c r="E19" s="11"/>
      <c r="I19" s="9"/>
      <c r="K19" s="11"/>
      <c r="L19" s="10">
        <v>7.0010000000000003</v>
      </c>
      <c r="O19" s="10">
        <v>940</v>
      </c>
      <c r="P19" s="9">
        <v>7.0010000000000003</v>
      </c>
      <c r="S19" s="10">
        <v>1042</v>
      </c>
      <c r="AC19">
        <f t="shared" si="0"/>
        <v>0.90211132437619956</v>
      </c>
      <c r="AD19">
        <f t="shared" si="1"/>
        <v>6.0401454649172841E-2</v>
      </c>
    </row>
    <row r="20" spans="1:30" x14ac:dyDescent="0.25">
      <c r="A20">
        <v>14</v>
      </c>
      <c r="B20" s="19" t="s">
        <v>37</v>
      </c>
      <c r="C20" s="12"/>
      <c r="D20" s="21"/>
      <c r="E20" s="13"/>
      <c r="I20" s="12"/>
      <c r="J20" s="21"/>
      <c r="K20" s="13"/>
      <c r="P20" s="12">
        <v>7.0129999999999999</v>
      </c>
      <c r="R20" s="21"/>
      <c r="S20" s="21">
        <v>361</v>
      </c>
      <c r="AD20">
        <f t="shared" si="1"/>
        <v>1.1841842555618938E-2</v>
      </c>
    </row>
    <row r="21" spans="1:30" x14ac:dyDescent="0.25">
      <c r="A21">
        <v>15</v>
      </c>
      <c r="B21" s="19" t="s">
        <v>38</v>
      </c>
      <c r="C21" s="12"/>
      <c r="D21" s="21"/>
      <c r="E21" s="13"/>
      <c r="I21" s="12"/>
      <c r="J21" s="21"/>
      <c r="K21" s="13"/>
      <c r="L21">
        <v>7.0010000000000003</v>
      </c>
      <c r="O21">
        <v>1190</v>
      </c>
      <c r="P21" s="12">
        <v>7.0049999999999999</v>
      </c>
      <c r="R21" s="21">
        <v>11655</v>
      </c>
      <c r="S21" s="21">
        <v>1247</v>
      </c>
      <c r="AC21">
        <f t="shared" si="0"/>
        <v>0.95429029671210908</v>
      </c>
      <c r="AD21">
        <f t="shared" si="1"/>
        <v>7.5019252709640605E-2</v>
      </c>
    </row>
    <row r="22" spans="1:30" x14ac:dyDescent="0.25">
      <c r="A22">
        <v>16</v>
      </c>
      <c r="B22" s="19" t="s">
        <v>39</v>
      </c>
      <c r="C22" s="21"/>
      <c r="D22" s="21"/>
      <c r="E22" s="13"/>
      <c r="I22" s="12"/>
      <c r="J22" s="21"/>
      <c r="K22" s="13"/>
      <c r="L22">
        <v>7.0010000000000003</v>
      </c>
      <c r="O22">
        <v>931</v>
      </c>
      <c r="P22" s="12">
        <v>7.0010000000000003</v>
      </c>
      <c r="R22" s="21"/>
      <c r="S22" s="21">
        <v>1266</v>
      </c>
      <c r="AC22">
        <f t="shared" si="0"/>
        <v>0.73538704581358605</v>
      </c>
      <c r="AD22">
        <f t="shared" si="1"/>
        <v>7.6374073017683966E-2</v>
      </c>
    </row>
    <row r="23" spans="1:30" x14ac:dyDescent="0.25">
      <c r="A23">
        <v>17</v>
      </c>
      <c r="B23" s="19" t="s">
        <v>40</v>
      </c>
      <c r="C23" s="12"/>
      <c r="D23" s="21"/>
      <c r="E23" s="13"/>
      <c r="I23" s="12"/>
      <c r="J23" s="21"/>
      <c r="K23" s="13"/>
      <c r="P23" s="12">
        <v>7.0010000000000003</v>
      </c>
      <c r="R23" s="21"/>
      <c r="S23" s="21">
        <v>1354</v>
      </c>
      <c r="AD23">
        <f t="shared" si="1"/>
        <v>8.2649030233884771E-2</v>
      </c>
    </row>
    <row r="24" spans="1:30" x14ac:dyDescent="0.25">
      <c r="A24">
        <v>18</v>
      </c>
      <c r="B24" s="19" t="s">
        <v>41</v>
      </c>
      <c r="C24" s="12"/>
      <c r="D24" s="21"/>
      <c r="E24" s="13"/>
      <c r="I24" s="12"/>
      <c r="J24" s="21"/>
      <c r="K24" s="13"/>
      <c r="L24">
        <v>7.0010000000000003</v>
      </c>
      <c r="O24">
        <v>1136</v>
      </c>
      <c r="P24" s="12">
        <v>7.0010000000000003</v>
      </c>
      <c r="R24" s="21"/>
      <c r="S24" s="21">
        <v>1158</v>
      </c>
      <c r="AC24">
        <f t="shared" si="0"/>
        <v>0.98100172711571676</v>
      </c>
      <c r="AD24">
        <f t="shared" si="1"/>
        <v>6.8672989161437534E-2</v>
      </c>
    </row>
    <row r="25" spans="1:30" x14ac:dyDescent="0.25">
      <c r="A25">
        <v>19</v>
      </c>
      <c r="B25" s="19" t="s">
        <v>42</v>
      </c>
      <c r="C25" s="12"/>
      <c r="D25" s="21"/>
      <c r="E25" s="13"/>
      <c r="I25" s="12"/>
      <c r="J25" s="21"/>
      <c r="K25" s="13"/>
      <c r="L25">
        <v>7.0010000000000003</v>
      </c>
      <c r="O25">
        <v>1039</v>
      </c>
      <c r="P25" s="12">
        <v>7.0010000000000003</v>
      </c>
      <c r="R25" s="21"/>
      <c r="S25" s="21">
        <v>1103</v>
      </c>
      <c r="AC25">
        <f t="shared" si="0"/>
        <v>0.94197642792384406</v>
      </c>
      <c r="AD25">
        <f t="shared" si="1"/>
        <v>6.4751140901312038E-2</v>
      </c>
    </row>
    <row r="26" spans="1:30" s="10" customFormat="1" x14ac:dyDescent="0.25">
      <c r="A26" s="10">
        <v>20</v>
      </c>
      <c r="B26" s="20" t="s">
        <v>43</v>
      </c>
      <c r="C26" s="9"/>
      <c r="E26" s="11"/>
      <c r="I26" s="9"/>
      <c r="K26" s="11"/>
      <c r="L26" s="10">
        <v>6.9889999999999999</v>
      </c>
      <c r="O26" s="10">
        <v>1235</v>
      </c>
      <c r="P26" s="10">
        <v>7.0010000000000003</v>
      </c>
      <c r="S26" s="10">
        <v>1402</v>
      </c>
      <c r="AC26">
        <f t="shared" si="0"/>
        <v>0.88088445078459343</v>
      </c>
      <c r="AD26">
        <f t="shared" si="1"/>
        <v>8.6071734169994293E-2</v>
      </c>
    </row>
    <row r="27" spans="1:30" x14ac:dyDescent="0.25">
      <c r="A27">
        <v>21</v>
      </c>
      <c r="B27" t="s">
        <v>44</v>
      </c>
      <c r="C27" s="12">
        <v>3.581</v>
      </c>
      <c r="D27" s="21">
        <v>1016540</v>
      </c>
      <c r="E27" s="13">
        <v>1016950</v>
      </c>
      <c r="F27">
        <v>13.170999999999999</v>
      </c>
      <c r="G27">
        <v>168397</v>
      </c>
      <c r="H27">
        <v>172923</v>
      </c>
      <c r="I27" s="12">
        <v>13.172000000000001</v>
      </c>
      <c r="J27" s="21"/>
      <c r="K27" s="13">
        <v>110325</v>
      </c>
      <c r="P27">
        <v>7.0250000000000004</v>
      </c>
      <c r="S27" s="21">
        <v>821</v>
      </c>
      <c r="T27">
        <v>13.170999999999999</v>
      </c>
      <c r="U27">
        <v>172923</v>
      </c>
      <c r="AD27">
        <f t="shared" si="1"/>
        <v>4.4642755276668562E-2</v>
      </c>
    </row>
    <row r="28" spans="1:30" x14ac:dyDescent="0.25">
      <c r="A28">
        <v>22</v>
      </c>
      <c r="B28" t="s">
        <v>45</v>
      </c>
      <c r="C28" s="12">
        <v>3.58</v>
      </c>
      <c r="D28" s="21">
        <v>784342</v>
      </c>
      <c r="E28" s="13">
        <v>786022</v>
      </c>
      <c r="F28">
        <v>13.172000000000001</v>
      </c>
      <c r="G28">
        <v>151930</v>
      </c>
      <c r="H28">
        <v>153571</v>
      </c>
      <c r="I28" s="12">
        <v>13.173</v>
      </c>
      <c r="J28" s="21"/>
      <c r="K28" s="13">
        <v>96586</v>
      </c>
      <c r="L28">
        <v>7.0010000000000003</v>
      </c>
      <c r="O28">
        <v>894</v>
      </c>
      <c r="P28">
        <v>7.0010000000000003</v>
      </c>
      <c r="S28" s="21">
        <v>909</v>
      </c>
      <c r="T28">
        <v>13.172000000000001</v>
      </c>
      <c r="U28">
        <v>153571</v>
      </c>
      <c r="AB28">
        <v>0.05</v>
      </c>
      <c r="AC28">
        <f t="shared" si="0"/>
        <v>0.98349834983498352</v>
      </c>
    </row>
    <row r="29" spans="1:30" s="10" customFormat="1" x14ac:dyDescent="0.25">
      <c r="A29" s="10">
        <v>23</v>
      </c>
      <c r="B29" s="10" t="s">
        <v>46</v>
      </c>
      <c r="C29" s="9">
        <v>3.5790000000000002</v>
      </c>
      <c r="D29" s="10">
        <v>855111</v>
      </c>
      <c r="E29" s="11">
        <v>855753</v>
      </c>
      <c r="F29" s="10">
        <v>13.170999999999999</v>
      </c>
      <c r="G29" s="10">
        <v>143991</v>
      </c>
      <c r="H29" s="10">
        <v>146348</v>
      </c>
      <c r="I29" s="9">
        <v>13.170999999999999</v>
      </c>
      <c r="K29" s="11">
        <v>95814</v>
      </c>
      <c r="L29" s="10">
        <v>7.0010000000000003</v>
      </c>
      <c r="O29" s="10">
        <v>709</v>
      </c>
      <c r="P29" s="10">
        <v>7.0010000000000003</v>
      </c>
      <c r="S29" s="10">
        <v>947</v>
      </c>
      <c r="T29" s="10">
        <v>13.170999999999999</v>
      </c>
      <c r="U29" s="10">
        <v>146348</v>
      </c>
      <c r="AB29" s="10">
        <v>0.05</v>
      </c>
      <c r="AC29">
        <f t="shared" si="0"/>
        <v>0.74868004223864837</v>
      </c>
      <c r="AD29"/>
    </row>
    <row r="30" spans="1:30" x14ac:dyDescent="0.25">
      <c r="A30">
        <v>24</v>
      </c>
      <c r="B30" s="19" t="s">
        <v>47</v>
      </c>
      <c r="L30">
        <v>7.0010000000000003</v>
      </c>
      <c r="O30">
        <v>259</v>
      </c>
      <c r="P30">
        <v>7.0010000000000003</v>
      </c>
      <c r="S30" s="21">
        <v>281</v>
      </c>
      <c r="AC30">
        <f t="shared" si="0"/>
        <v>0.92170818505338081</v>
      </c>
      <c r="AD30">
        <f t="shared" si="1"/>
        <v>6.1373359954363946E-3</v>
      </c>
    </row>
    <row r="31" spans="1:30" x14ac:dyDescent="0.25">
      <c r="A31">
        <v>25</v>
      </c>
      <c r="B31" s="19" t="s">
        <v>48</v>
      </c>
      <c r="L31">
        <v>7.0010000000000003</v>
      </c>
      <c r="O31">
        <v>1055</v>
      </c>
      <c r="P31">
        <v>7.0049999999999999</v>
      </c>
      <c r="R31">
        <v>10839</v>
      </c>
      <c r="S31" s="21">
        <v>1061</v>
      </c>
      <c r="AC31">
        <f t="shared" si="0"/>
        <v>0.99434495758718189</v>
      </c>
      <c r="AD31">
        <f t="shared" si="1"/>
        <v>6.1756274957216195E-2</v>
      </c>
    </row>
    <row r="32" spans="1:30" x14ac:dyDescent="0.25">
      <c r="A32">
        <v>26</v>
      </c>
      <c r="B32" s="19" t="s">
        <v>49</v>
      </c>
      <c r="L32">
        <v>7.0010000000000003</v>
      </c>
      <c r="O32">
        <v>805</v>
      </c>
      <c r="P32">
        <v>7.0010000000000003</v>
      </c>
      <c r="S32" s="21">
        <v>856</v>
      </c>
      <c r="AC32">
        <f t="shared" si="0"/>
        <v>0.94042056074766356</v>
      </c>
      <c r="AD32">
        <f t="shared" si="1"/>
        <v>4.7138476896748424E-2</v>
      </c>
    </row>
    <row r="33" spans="1:30" x14ac:dyDescent="0.25">
      <c r="A33">
        <v>27</v>
      </c>
      <c r="B33" s="19" t="s">
        <v>50</v>
      </c>
      <c r="L33">
        <v>7.0039999999999996</v>
      </c>
      <c r="N33">
        <v>202245</v>
      </c>
      <c r="P33">
        <v>7.0049999999999999</v>
      </c>
      <c r="R33">
        <v>16337</v>
      </c>
      <c r="S33" s="21">
        <v>1476</v>
      </c>
      <c r="AC33">
        <f t="shared" si="0"/>
        <v>0</v>
      </c>
      <c r="AD33">
        <f t="shared" si="1"/>
        <v>9.1348402738163151E-2</v>
      </c>
    </row>
    <row r="34" spans="1:30" x14ac:dyDescent="0.25">
      <c r="S34" s="21"/>
    </row>
    <row r="35" spans="1:30" x14ac:dyDescent="0.25">
      <c r="S35" s="21"/>
    </row>
    <row r="36" spans="1:30" x14ac:dyDescent="0.25">
      <c r="S36" s="21"/>
    </row>
    <row r="37" spans="1:30" x14ac:dyDescent="0.25">
      <c r="A37" t="s">
        <v>51</v>
      </c>
      <c r="S37" s="21"/>
    </row>
    <row r="38" spans="1:30" x14ac:dyDescent="0.25">
      <c r="A38" t="s">
        <v>23</v>
      </c>
      <c r="S38" s="21"/>
    </row>
    <row r="39" spans="1:30" x14ac:dyDescent="0.25">
      <c r="A39" t="s">
        <v>1</v>
      </c>
      <c r="C39" t="s">
        <v>2</v>
      </c>
    </row>
    <row r="40" spans="1:30" x14ac:dyDescent="0.25">
      <c r="A40" t="s">
        <v>5</v>
      </c>
      <c r="C40" t="s">
        <v>73</v>
      </c>
    </row>
    <row r="41" spans="1:30" x14ac:dyDescent="0.25">
      <c r="A41" s="4"/>
      <c r="B41" s="5"/>
      <c r="C41" s="6" t="s">
        <v>6</v>
      </c>
      <c r="D41" s="7"/>
      <c r="E41" s="3"/>
      <c r="F41" s="3" t="s">
        <v>7</v>
      </c>
      <c r="G41" s="3"/>
      <c r="I41" s="6" t="s">
        <v>8</v>
      </c>
      <c r="J41" s="3"/>
      <c r="K41" s="7"/>
      <c r="L41" s="6" t="s">
        <v>9</v>
      </c>
      <c r="M41" s="3"/>
      <c r="N41" s="3" t="s">
        <v>72</v>
      </c>
      <c r="O41" s="7" t="s">
        <v>71</v>
      </c>
      <c r="P41" s="3" t="s">
        <v>10</v>
      </c>
      <c r="Q41" s="3"/>
      <c r="R41" s="3" t="s">
        <v>72</v>
      </c>
      <c r="S41" s="7" t="s">
        <v>71</v>
      </c>
      <c r="T41" s="24" t="s">
        <v>7</v>
      </c>
      <c r="U41" s="3" t="s">
        <v>72</v>
      </c>
      <c r="V41" s="6" t="s">
        <v>74</v>
      </c>
      <c r="W41" s="7"/>
      <c r="X41" s="6" t="s">
        <v>75</v>
      </c>
      <c r="Y41" s="7"/>
      <c r="Z41" s="6" t="s">
        <v>76</v>
      </c>
      <c r="AA41" s="7"/>
      <c r="AB41" t="s">
        <v>11</v>
      </c>
    </row>
    <row r="42" spans="1:30" x14ac:dyDescent="0.25">
      <c r="A42" s="9" t="s">
        <v>12</v>
      </c>
      <c r="B42" s="10" t="s">
        <v>13</v>
      </c>
      <c r="C42" s="9" t="s">
        <v>14</v>
      </c>
      <c r="D42" s="11" t="s">
        <v>15</v>
      </c>
      <c r="E42" s="10"/>
      <c r="F42" s="10" t="s">
        <v>14</v>
      </c>
      <c r="G42" s="10" t="s">
        <v>16</v>
      </c>
      <c r="I42" s="9" t="s">
        <v>14</v>
      </c>
      <c r="J42" s="10"/>
      <c r="K42" s="11" t="s">
        <v>17</v>
      </c>
      <c r="L42" s="9" t="s">
        <v>14</v>
      </c>
      <c r="M42" s="10" t="s">
        <v>18</v>
      </c>
      <c r="N42" s="10" t="s">
        <v>18</v>
      </c>
      <c r="O42" s="22" t="s">
        <v>18</v>
      </c>
      <c r="P42" s="10" t="s">
        <v>14</v>
      </c>
      <c r="Q42" s="10" t="s">
        <v>19</v>
      </c>
      <c r="R42" s="10" t="s">
        <v>19</v>
      </c>
      <c r="S42" s="22" t="s">
        <v>19</v>
      </c>
      <c r="T42" s="9" t="s">
        <v>14</v>
      </c>
      <c r="U42" s="11" t="s">
        <v>16</v>
      </c>
      <c r="V42" s="9"/>
      <c r="W42" s="11"/>
      <c r="X42" s="9"/>
      <c r="Y42" s="11"/>
      <c r="Z42" s="9"/>
      <c r="AA42" s="11"/>
      <c r="AB42" t="s">
        <v>21</v>
      </c>
      <c r="AC42" t="s">
        <v>94</v>
      </c>
    </row>
    <row r="43" spans="1:30" x14ac:dyDescent="0.25">
      <c r="A43">
        <v>1</v>
      </c>
      <c r="B43" t="s">
        <v>77</v>
      </c>
      <c r="O43" s="13"/>
      <c r="S43" s="13"/>
      <c r="T43">
        <v>13.164999999999999</v>
      </c>
      <c r="U43">
        <v>114248</v>
      </c>
    </row>
    <row r="44" spans="1:30" x14ac:dyDescent="0.25">
      <c r="A44">
        <v>2</v>
      </c>
      <c r="B44" t="s">
        <v>24</v>
      </c>
      <c r="O44" s="13"/>
      <c r="S44" s="13"/>
      <c r="T44">
        <v>13.167</v>
      </c>
      <c r="U44">
        <v>139925</v>
      </c>
    </row>
    <row r="45" spans="1:30" x14ac:dyDescent="0.25">
      <c r="A45">
        <v>3</v>
      </c>
      <c r="B45" t="s">
        <v>45</v>
      </c>
      <c r="L45">
        <v>6.9889999999999999</v>
      </c>
      <c r="O45" s="13">
        <v>988</v>
      </c>
      <c r="P45">
        <v>7.0010000000000003</v>
      </c>
      <c r="S45" s="13">
        <v>911</v>
      </c>
      <c r="T45">
        <v>13.169</v>
      </c>
      <c r="U45">
        <v>142118</v>
      </c>
      <c r="AB45">
        <v>0.05</v>
      </c>
      <c r="AC45">
        <f>O45/S45</f>
        <v>1.0845225027442371</v>
      </c>
    </row>
    <row r="46" spans="1:30" x14ac:dyDescent="0.25">
      <c r="A46">
        <v>4</v>
      </c>
      <c r="B46" t="s">
        <v>46</v>
      </c>
      <c r="L46">
        <v>7.0010000000000003</v>
      </c>
      <c r="O46" s="13">
        <v>960</v>
      </c>
      <c r="S46" s="13"/>
      <c r="T46">
        <v>13.169</v>
      </c>
      <c r="U46">
        <v>164500</v>
      </c>
      <c r="AB46" s="10">
        <v>0.05</v>
      </c>
    </row>
    <row r="47" spans="1:30" x14ac:dyDescent="0.25">
      <c r="A47">
        <v>5</v>
      </c>
      <c r="B47" t="s">
        <v>26</v>
      </c>
      <c r="L47">
        <v>7.0010000000000003</v>
      </c>
      <c r="O47" s="13">
        <v>1567</v>
      </c>
      <c r="P47">
        <v>7.0010000000000003</v>
      </c>
      <c r="S47" s="13">
        <v>1828</v>
      </c>
      <c r="T47">
        <v>13.169</v>
      </c>
      <c r="U47">
        <v>130252</v>
      </c>
      <c r="AB47">
        <v>0.1</v>
      </c>
      <c r="AC47">
        <f t="shared" ref="AC47:AC103" si="2">O47/S47</f>
        <v>0.85722100656455147</v>
      </c>
    </row>
    <row r="48" spans="1:30" x14ac:dyDescent="0.25">
      <c r="A48">
        <v>6</v>
      </c>
      <c r="B48" t="s">
        <v>27</v>
      </c>
      <c r="L48">
        <v>7.0010000000000003</v>
      </c>
      <c r="N48">
        <v>3375</v>
      </c>
      <c r="O48" s="13">
        <v>15579</v>
      </c>
      <c r="P48" s="13">
        <v>7.0010000000000003</v>
      </c>
      <c r="R48">
        <v>39557</v>
      </c>
      <c r="S48" s="13">
        <v>6758</v>
      </c>
      <c r="T48">
        <v>13.17</v>
      </c>
      <c r="U48">
        <v>121327</v>
      </c>
      <c r="AB48">
        <v>0.1</v>
      </c>
    </row>
    <row r="49" spans="1:30" x14ac:dyDescent="0.25">
      <c r="A49">
        <v>7</v>
      </c>
      <c r="B49" t="s">
        <v>28</v>
      </c>
      <c r="L49">
        <v>7.0010000000000003</v>
      </c>
      <c r="O49" s="13">
        <v>9523</v>
      </c>
      <c r="P49">
        <v>7.0010000000000003</v>
      </c>
      <c r="S49" s="13">
        <v>11925</v>
      </c>
      <c r="T49">
        <v>13.169</v>
      </c>
      <c r="U49">
        <v>165847</v>
      </c>
      <c r="AB49">
        <v>0.5</v>
      </c>
      <c r="AC49">
        <f t="shared" si="2"/>
        <v>0.79857442348008389</v>
      </c>
    </row>
    <row r="50" spans="1:30" x14ac:dyDescent="0.25">
      <c r="A50">
        <v>8</v>
      </c>
      <c r="B50" t="s">
        <v>29</v>
      </c>
      <c r="L50">
        <v>7.0010000000000003</v>
      </c>
      <c r="O50" s="13">
        <v>7646</v>
      </c>
      <c r="P50">
        <v>7.0010000000000003</v>
      </c>
      <c r="S50" s="13">
        <v>9251</v>
      </c>
      <c r="T50">
        <v>13.170999999999999</v>
      </c>
      <c r="U50">
        <v>155469</v>
      </c>
      <c r="AB50">
        <v>0.5</v>
      </c>
      <c r="AC50">
        <f t="shared" si="2"/>
        <v>0.82650524267646741</v>
      </c>
    </row>
    <row r="51" spans="1:30" s="10" customFormat="1" x14ac:dyDescent="0.25">
      <c r="A51" s="10">
        <v>9</v>
      </c>
      <c r="B51" s="10" t="s">
        <v>25</v>
      </c>
      <c r="O51" s="11"/>
      <c r="S51" s="11"/>
      <c r="T51">
        <v>13.17</v>
      </c>
      <c r="U51" s="10">
        <v>169430</v>
      </c>
      <c r="AC51"/>
    </row>
    <row r="52" spans="1:30" x14ac:dyDescent="0.25">
      <c r="A52">
        <v>10</v>
      </c>
      <c r="B52" s="19" t="s">
        <v>52</v>
      </c>
      <c r="O52" s="13"/>
      <c r="S52" s="13"/>
    </row>
    <row r="53" spans="1:30" x14ac:dyDescent="0.25">
      <c r="A53">
        <v>11</v>
      </c>
      <c r="B53" s="19" t="s">
        <v>53</v>
      </c>
      <c r="L53">
        <v>7.0010000000000003</v>
      </c>
      <c r="O53" s="13">
        <v>1093</v>
      </c>
      <c r="P53">
        <v>7.0010000000000003</v>
      </c>
      <c r="S53" s="13">
        <v>1239</v>
      </c>
      <c r="AC53">
        <f t="shared" si="2"/>
        <v>0.88216303470540758</v>
      </c>
      <c r="AD53">
        <f t="shared" ref="AD53:AD71" si="3">(S53+250.67)/21668</f>
        <v>6.8749769244969547E-2</v>
      </c>
    </row>
    <row r="54" spans="1:30" x14ac:dyDescent="0.25">
      <c r="A54">
        <v>12</v>
      </c>
      <c r="B54" s="19" t="s">
        <v>54</v>
      </c>
      <c r="L54">
        <v>7.0010000000000003</v>
      </c>
      <c r="O54" s="13">
        <v>1045</v>
      </c>
      <c r="P54">
        <v>7.0010000000000003</v>
      </c>
      <c r="S54" s="13">
        <v>1579</v>
      </c>
      <c r="AC54">
        <f t="shared" si="2"/>
        <v>0.66181127295756803</v>
      </c>
      <c r="AD54">
        <f t="shared" si="3"/>
        <v>8.4441111316226697E-2</v>
      </c>
    </row>
    <row r="55" spans="1:30" x14ac:dyDescent="0.25">
      <c r="A55">
        <v>13</v>
      </c>
      <c r="B55" s="19" t="s">
        <v>55</v>
      </c>
      <c r="L55">
        <v>7.0010000000000003</v>
      </c>
      <c r="O55" s="13">
        <v>1092</v>
      </c>
      <c r="P55">
        <v>7.0010000000000003</v>
      </c>
      <c r="S55" s="13">
        <v>1409</v>
      </c>
      <c r="AC55">
        <f t="shared" si="2"/>
        <v>0.77501774308019877</v>
      </c>
      <c r="AD55">
        <f t="shared" si="3"/>
        <v>7.6595440280598115E-2</v>
      </c>
    </row>
    <row r="56" spans="1:30" x14ac:dyDescent="0.25">
      <c r="A56">
        <v>14</v>
      </c>
      <c r="B56" s="19" t="s">
        <v>56</v>
      </c>
      <c r="L56">
        <v>7.0010000000000003</v>
      </c>
      <c r="O56" s="13">
        <v>1265</v>
      </c>
      <c r="P56">
        <v>7.0010000000000003</v>
      </c>
      <c r="S56" s="13">
        <v>1485</v>
      </c>
      <c r="AC56">
        <f t="shared" si="2"/>
        <v>0.85185185185185186</v>
      </c>
      <c r="AD56">
        <f t="shared" si="3"/>
        <v>8.0102916743585009E-2</v>
      </c>
    </row>
    <row r="57" spans="1:30" x14ac:dyDescent="0.25">
      <c r="A57">
        <v>15</v>
      </c>
      <c r="B57" s="19" t="s">
        <v>57</v>
      </c>
      <c r="L57">
        <v>7.0010000000000003</v>
      </c>
      <c r="O57" s="13">
        <v>1050</v>
      </c>
      <c r="P57">
        <v>7.0010000000000003</v>
      </c>
      <c r="S57" s="13">
        <v>1496</v>
      </c>
      <c r="AC57">
        <f t="shared" si="2"/>
        <v>0.70187165775401072</v>
      </c>
      <c r="AD57">
        <f t="shared" si="3"/>
        <v>8.0610577810596273E-2</v>
      </c>
    </row>
    <row r="58" spans="1:30" s="10" customFormat="1" x14ac:dyDescent="0.25">
      <c r="A58" s="10">
        <v>16</v>
      </c>
      <c r="B58" s="20" t="s">
        <v>58</v>
      </c>
      <c r="L58" s="10">
        <v>7.0010000000000003</v>
      </c>
      <c r="O58" s="11">
        <v>1222</v>
      </c>
      <c r="P58" s="10">
        <v>7.0010000000000003</v>
      </c>
      <c r="S58" s="11">
        <v>1228</v>
      </c>
      <c r="AC58">
        <f t="shared" si="2"/>
        <v>0.99511400651465798</v>
      </c>
      <c r="AD58">
        <f t="shared" si="3"/>
        <v>6.8242108177958283E-2</v>
      </c>
    </row>
    <row r="59" spans="1:30" x14ac:dyDescent="0.25">
      <c r="A59">
        <v>17</v>
      </c>
      <c r="B59" s="21" t="s">
        <v>59</v>
      </c>
      <c r="L59">
        <v>6.9889999999999999</v>
      </c>
      <c r="O59" s="13">
        <v>434</v>
      </c>
      <c r="P59">
        <v>6.9889999999999999</v>
      </c>
      <c r="S59" s="13">
        <v>487</v>
      </c>
      <c r="AC59">
        <f t="shared" si="2"/>
        <v>0.89117043121149897</v>
      </c>
      <c r="AD59">
        <f t="shared" si="3"/>
        <v>3.4044212663836067E-2</v>
      </c>
    </row>
    <row r="60" spans="1:30" x14ac:dyDescent="0.25">
      <c r="A60">
        <v>18</v>
      </c>
      <c r="B60" s="21" t="s">
        <v>60</v>
      </c>
      <c r="L60">
        <v>7.0010000000000003</v>
      </c>
      <c r="O60" s="13">
        <v>553</v>
      </c>
      <c r="P60">
        <v>7.0010000000000003</v>
      </c>
      <c r="S60" s="13">
        <v>493</v>
      </c>
      <c r="AC60">
        <f t="shared" si="2"/>
        <v>1.1217038539553752</v>
      </c>
      <c r="AD60">
        <f t="shared" si="3"/>
        <v>3.4321118700387669E-2</v>
      </c>
    </row>
    <row r="61" spans="1:30" x14ac:dyDescent="0.25">
      <c r="A61">
        <v>19</v>
      </c>
      <c r="B61" s="21" t="s">
        <v>61</v>
      </c>
      <c r="L61">
        <v>7.0010000000000003</v>
      </c>
      <c r="O61" s="13">
        <v>426</v>
      </c>
      <c r="P61">
        <v>7.0010000000000003</v>
      </c>
      <c r="S61" s="13">
        <v>532</v>
      </c>
      <c r="AC61">
        <f t="shared" si="2"/>
        <v>0.8007518796992481</v>
      </c>
      <c r="AD61">
        <f t="shared" si="3"/>
        <v>3.6121007937973043E-2</v>
      </c>
    </row>
    <row r="62" spans="1:30" x14ac:dyDescent="0.25">
      <c r="A62">
        <v>20</v>
      </c>
      <c r="B62" t="s">
        <v>36</v>
      </c>
      <c r="O62" s="13"/>
      <c r="S62" s="13"/>
      <c r="T62">
        <v>13.169</v>
      </c>
      <c r="U62">
        <v>122881</v>
      </c>
    </row>
    <row r="63" spans="1:30" x14ac:dyDescent="0.25">
      <c r="A63">
        <v>21</v>
      </c>
      <c r="B63" s="21" t="s">
        <v>64</v>
      </c>
      <c r="L63">
        <v>7.0010000000000003</v>
      </c>
      <c r="O63" s="13">
        <v>511</v>
      </c>
      <c r="P63">
        <v>7.0010000000000003</v>
      </c>
      <c r="S63" s="13">
        <v>645</v>
      </c>
      <c r="AC63">
        <f t="shared" si="2"/>
        <v>0.79224806201550391</v>
      </c>
      <c r="AD63">
        <f t="shared" si="3"/>
        <v>4.1336071626361451E-2</v>
      </c>
    </row>
    <row r="64" spans="1:30" x14ac:dyDescent="0.25">
      <c r="A64">
        <v>22</v>
      </c>
      <c r="B64" s="21" t="s">
        <v>62</v>
      </c>
      <c r="L64">
        <v>7.0010000000000003</v>
      </c>
      <c r="O64" s="13">
        <v>370</v>
      </c>
      <c r="P64">
        <v>6.9889999999999999</v>
      </c>
      <c r="S64" s="13">
        <v>515</v>
      </c>
      <c r="AC64">
        <f t="shared" si="2"/>
        <v>0.71844660194174759</v>
      </c>
      <c r="AD64">
        <f t="shared" si="3"/>
        <v>3.533644083441019E-2</v>
      </c>
    </row>
    <row r="65" spans="1:30" x14ac:dyDescent="0.25">
      <c r="A65">
        <v>23</v>
      </c>
      <c r="B65" s="21" t="s">
        <v>65</v>
      </c>
      <c r="L65">
        <v>7.0010000000000003</v>
      </c>
      <c r="O65" s="13">
        <v>397</v>
      </c>
      <c r="P65">
        <v>7.0010000000000003</v>
      </c>
      <c r="S65" s="13">
        <v>479</v>
      </c>
      <c r="AC65">
        <f t="shared" si="2"/>
        <v>0.82881002087682676</v>
      </c>
      <c r="AD65">
        <f t="shared" si="3"/>
        <v>3.3675004615100611E-2</v>
      </c>
    </row>
    <row r="66" spans="1:30" x14ac:dyDescent="0.25">
      <c r="A66">
        <v>24</v>
      </c>
      <c r="B66" s="18" t="s">
        <v>63</v>
      </c>
      <c r="O66" s="13"/>
      <c r="P66">
        <v>7.0010000000000003</v>
      </c>
      <c r="S66" s="13">
        <v>313</v>
      </c>
      <c r="AC66">
        <f t="shared" si="2"/>
        <v>0</v>
      </c>
      <c r="AD66">
        <f t="shared" si="3"/>
        <v>2.601393760383976E-2</v>
      </c>
    </row>
    <row r="67" spans="1:30" x14ac:dyDescent="0.25">
      <c r="A67">
        <v>25</v>
      </c>
      <c r="B67" s="19" t="s">
        <v>66</v>
      </c>
      <c r="O67" s="13"/>
      <c r="S67" s="13"/>
    </row>
    <row r="68" spans="1:30" x14ac:dyDescent="0.25">
      <c r="A68">
        <v>26</v>
      </c>
      <c r="B68" s="19" t="s">
        <v>67</v>
      </c>
      <c r="O68" s="13"/>
      <c r="P68">
        <v>6.9889999999999999</v>
      </c>
      <c r="S68" s="13">
        <v>302</v>
      </c>
      <c r="AC68">
        <f t="shared" si="2"/>
        <v>0</v>
      </c>
      <c r="AD68">
        <f t="shared" si="3"/>
        <v>2.55062765368285E-2</v>
      </c>
    </row>
    <row r="69" spans="1:30" x14ac:dyDescent="0.25">
      <c r="A69">
        <v>27</v>
      </c>
      <c r="B69" s="19" t="s">
        <v>68</v>
      </c>
      <c r="O69" s="13"/>
      <c r="P69">
        <v>7.0010000000000003</v>
      </c>
      <c r="S69" s="13">
        <v>316</v>
      </c>
      <c r="AC69">
        <f t="shared" si="2"/>
        <v>0</v>
      </c>
      <c r="AD69">
        <f t="shared" si="3"/>
        <v>2.6152390622115562E-2</v>
      </c>
    </row>
    <row r="70" spans="1:30" x14ac:dyDescent="0.25">
      <c r="A70">
        <v>28</v>
      </c>
      <c r="B70" s="19" t="s">
        <v>69</v>
      </c>
      <c r="L70">
        <v>7.0010000000000003</v>
      </c>
      <c r="O70" s="13">
        <v>414</v>
      </c>
      <c r="P70">
        <v>7.0010000000000003</v>
      </c>
      <c r="S70" s="13">
        <v>308</v>
      </c>
      <c r="AC70">
        <f t="shared" si="2"/>
        <v>1.3441558441558441</v>
      </c>
      <c r="AD70">
        <f t="shared" si="3"/>
        <v>2.5783182573380099E-2</v>
      </c>
    </row>
    <row r="71" spans="1:30" x14ac:dyDescent="0.25">
      <c r="A71">
        <v>29</v>
      </c>
      <c r="B71" s="20" t="s">
        <v>70</v>
      </c>
      <c r="L71">
        <v>7.0010000000000003</v>
      </c>
      <c r="O71" s="13">
        <v>362</v>
      </c>
      <c r="P71">
        <v>7.0010000000000003</v>
      </c>
      <c r="S71" s="13">
        <v>495</v>
      </c>
      <c r="AC71">
        <f t="shared" si="2"/>
        <v>0.73131313131313136</v>
      </c>
      <c r="AD71">
        <f t="shared" si="3"/>
        <v>3.441342071257153E-2</v>
      </c>
    </row>
    <row r="76" spans="1:30" x14ac:dyDescent="0.25">
      <c r="A76" t="s">
        <v>78</v>
      </c>
    </row>
    <row r="77" spans="1:30" x14ac:dyDescent="0.25">
      <c r="A77" t="s">
        <v>23</v>
      </c>
      <c r="S77" s="21"/>
    </row>
    <row r="78" spans="1:30" x14ac:dyDescent="0.25">
      <c r="A78" t="s">
        <v>1</v>
      </c>
      <c r="S78" s="21"/>
    </row>
    <row r="79" spans="1:30" x14ac:dyDescent="0.25">
      <c r="A79" t="s">
        <v>5</v>
      </c>
      <c r="C79" t="s">
        <v>2</v>
      </c>
    </row>
    <row r="80" spans="1:30" x14ac:dyDescent="0.25">
      <c r="A80" s="4"/>
      <c r="C80" t="s">
        <v>73</v>
      </c>
    </row>
    <row r="81" spans="1:30" x14ac:dyDescent="0.25">
      <c r="A81" s="9" t="s">
        <v>12</v>
      </c>
      <c r="B81" s="25"/>
      <c r="C81" s="3" t="s">
        <v>6</v>
      </c>
      <c r="D81" s="7"/>
      <c r="E81" s="3"/>
      <c r="F81" s="3" t="s">
        <v>7</v>
      </c>
      <c r="G81" s="3"/>
      <c r="I81" s="6" t="s">
        <v>8</v>
      </c>
      <c r="J81" s="3"/>
      <c r="K81" s="7"/>
      <c r="L81" s="6" t="s">
        <v>9</v>
      </c>
      <c r="M81" s="3"/>
      <c r="N81" s="3" t="s">
        <v>72</v>
      </c>
      <c r="O81" s="7" t="s">
        <v>71</v>
      </c>
      <c r="P81" s="3" t="s">
        <v>10</v>
      </c>
      <c r="Q81" s="3"/>
      <c r="R81" s="3" t="s">
        <v>72</v>
      </c>
      <c r="S81" s="7" t="s">
        <v>71</v>
      </c>
      <c r="T81" s="24" t="s">
        <v>7</v>
      </c>
      <c r="U81" s="3" t="s">
        <v>72</v>
      </c>
      <c r="V81" s="6" t="s">
        <v>74</v>
      </c>
      <c r="W81" s="7"/>
      <c r="X81" s="6" t="s">
        <v>75</v>
      </c>
      <c r="Y81" s="7"/>
      <c r="Z81" s="6" t="s">
        <v>76</v>
      </c>
      <c r="AA81" s="7"/>
      <c r="AB81" t="s">
        <v>11</v>
      </c>
    </row>
    <row r="82" spans="1:30" x14ac:dyDescent="0.25">
      <c r="B82" s="11" t="s">
        <v>13</v>
      </c>
      <c r="C82" s="10" t="s">
        <v>14</v>
      </c>
      <c r="D82" s="11" t="s">
        <v>15</v>
      </c>
      <c r="E82" s="10"/>
      <c r="F82" s="10" t="s">
        <v>14</v>
      </c>
      <c r="G82" s="10" t="s">
        <v>16</v>
      </c>
      <c r="I82" s="9" t="s">
        <v>14</v>
      </c>
      <c r="J82" s="10"/>
      <c r="K82" s="11" t="s">
        <v>17</v>
      </c>
      <c r="L82" s="9" t="s">
        <v>14</v>
      </c>
      <c r="M82" s="10" t="s">
        <v>18</v>
      </c>
      <c r="N82" s="10" t="s">
        <v>18</v>
      </c>
      <c r="O82" s="22" t="s">
        <v>18</v>
      </c>
      <c r="P82" s="10" t="s">
        <v>14</v>
      </c>
      <c r="Q82" s="10" t="s">
        <v>19</v>
      </c>
      <c r="R82" s="10" t="s">
        <v>19</v>
      </c>
      <c r="S82" s="22" t="s">
        <v>19</v>
      </c>
      <c r="T82" s="9" t="s">
        <v>14</v>
      </c>
      <c r="U82" s="11" t="s">
        <v>16</v>
      </c>
      <c r="V82" s="9"/>
      <c r="W82" s="11"/>
      <c r="X82" s="9"/>
      <c r="Y82" s="11"/>
      <c r="Z82" s="9"/>
      <c r="AA82" s="11"/>
      <c r="AB82" t="s">
        <v>21</v>
      </c>
      <c r="AC82" t="s">
        <v>94</v>
      </c>
    </row>
    <row r="83" spans="1:30" x14ac:dyDescent="0.25">
      <c r="A83">
        <v>1</v>
      </c>
      <c r="B83" s="13" t="s">
        <v>77</v>
      </c>
      <c r="O83" s="13"/>
      <c r="S83" s="13"/>
      <c r="T83">
        <v>13.166</v>
      </c>
      <c r="U83">
        <v>77246</v>
      </c>
    </row>
    <row r="84" spans="1:30" x14ac:dyDescent="0.25">
      <c r="A84">
        <v>2</v>
      </c>
      <c r="B84" s="13" t="s">
        <v>24</v>
      </c>
      <c r="O84" s="13"/>
      <c r="S84" s="13"/>
      <c r="T84">
        <v>13.167999999999999</v>
      </c>
      <c r="U84">
        <v>94964</v>
      </c>
    </row>
    <row r="85" spans="1:30" x14ac:dyDescent="0.25">
      <c r="A85">
        <v>3</v>
      </c>
      <c r="B85" s="13" t="s">
        <v>45</v>
      </c>
      <c r="L85">
        <v>7.0010000000000003</v>
      </c>
      <c r="O85" s="13">
        <v>742</v>
      </c>
      <c r="P85">
        <v>7.0010000000000003</v>
      </c>
      <c r="S85" s="13">
        <v>682</v>
      </c>
      <c r="T85">
        <v>13.17</v>
      </c>
      <c r="U85">
        <v>105511</v>
      </c>
      <c r="AB85">
        <v>0.05</v>
      </c>
      <c r="AC85">
        <f t="shared" si="2"/>
        <v>1.0879765395894427</v>
      </c>
    </row>
    <row r="86" spans="1:30" x14ac:dyDescent="0.25">
      <c r="A86">
        <v>4</v>
      </c>
      <c r="B86" s="13" t="s">
        <v>46</v>
      </c>
      <c r="L86">
        <v>7.0010000000000003</v>
      </c>
      <c r="O86" s="13">
        <v>591</v>
      </c>
      <c r="P86">
        <v>6.9889999999999999</v>
      </c>
      <c r="S86" s="13">
        <v>687</v>
      </c>
      <c r="T86">
        <v>13.170999999999999</v>
      </c>
      <c r="U86">
        <v>97232</v>
      </c>
      <c r="AB86" s="10">
        <v>0.05</v>
      </c>
      <c r="AC86">
        <f t="shared" si="2"/>
        <v>0.86026200873362446</v>
      </c>
    </row>
    <row r="87" spans="1:30" x14ac:dyDescent="0.25">
      <c r="A87">
        <v>5</v>
      </c>
      <c r="B87" s="13" t="s">
        <v>26</v>
      </c>
      <c r="L87">
        <v>7.0010000000000003</v>
      </c>
      <c r="O87" s="13">
        <v>1261</v>
      </c>
      <c r="P87">
        <v>7.0010000000000003</v>
      </c>
      <c r="S87" s="13">
        <v>1550</v>
      </c>
      <c r="T87">
        <v>13.170999999999999</v>
      </c>
      <c r="U87">
        <v>89395</v>
      </c>
      <c r="AB87">
        <v>0.1</v>
      </c>
      <c r="AC87">
        <f t="shared" si="2"/>
        <v>0.81354838709677424</v>
      </c>
    </row>
    <row r="88" spans="1:30" x14ac:dyDescent="0.25">
      <c r="A88">
        <v>6</v>
      </c>
      <c r="B88" s="13" t="s">
        <v>27</v>
      </c>
      <c r="L88">
        <v>7.0010000000000003</v>
      </c>
      <c r="O88" s="13">
        <v>1213</v>
      </c>
      <c r="P88">
        <v>7.0010000000000003</v>
      </c>
      <c r="S88" s="13">
        <v>1111</v>
      </c>
      <c r="T88">
        <v>13.172000000000001</v>
      </c>
      <c r="U88">
        <v>71996</v>
      </c>
      <c r="AB88">
        <v>0.1</v>
      </c>
      <c r="AC88">
        <f t="shared" si="2"/>
        <v>1.0918091809180919</v>
      </c>
    </row>
    <row r="89" spans="1:30" x14ac:dyDescent="0.25">
      <c r="A89">
        <v>7</v>
      </c>
      <c r="B89" s="13" t="s">
        <v>28</v>
      </c>
      <c r="L89">
        <v>7.0010000000000003</v>
      </c>
      <c r="O89" s="13">
        <v>4888</v>
      </c>
      <c r="P89">
        <v>7.0010000000000003</v>
      </c>
      <c r="S89" s="13">
        <v>6550</v>
      </c>
      <c r="T89">
        <v>13.170999999999999</v>
      </c>
      <c r="U89">
        <v>97223</v>
      </c>
      <c r="AB89">
        <v>0.5</v>
      </c>
      <c r="AC89">
        <f t="shared" si="2"/>
        <v>0.74625954198473288</v>
      </c>
    </row>
    <row r="90" spans="1:30" x14ac:dyDescent="0.25">
      <c r="A90">
        <v>8</v>
      </c>
      <c r="B90" s="13" t="s">
        <v>29</v>
      </c>
      <c r="L90">
        <v>7.0010000000000003</v>
      </c>
      <c r="O90" s="13">
        <v>5023</v>
      </c>
      <c r="P90">
        <v>7.0010000000000003</v>
      </c>
      <c r="S90" s="13">
        <v>6372</v>
      </c>
      <c r="T90">
        <v>13.172000000000001</v>
      </c>
      <c r="U90">
        <v>92207</v>
      </c>
      <c r="AB90">
        <v>0.5</v>
      </c>
      <c r="AC90">
        <f t="shared" si="2"/>
        <v>0.7882925298179535</v>
      </c>
    </row>
    <row r="91" spans="1:30" x14ac:dyDescent="0.25">
      <c r="A91">
        <v>9</v>
      </c>
      <c r="B91" s="13" t="s">
        <v>79</v>
      </c>
      <c r="O91" s="13"/>
      <c r="P91">
        <v>7.0010000000000003</v>
      </c>
      <c r="S91" s="13">
        <v>285</v>
      </c>
      <c r="AC91">
        <f t="shared" si="2"/>
        <v>0</v>
      </c>
      <c r="AD91">
        <f>(S91-44.921)/12833</f>
        <v>1.8707940465986131E-2</v>
      </c>
    </row>
    <row r="92" spans="1:30" x14ac:dyDescent="0.25">
      <c r="A92">
        <v>10</v>
      </c>
      <c r="B92" s="13" t="s">
        <v>80</v>
      </c>
      <c r="O92" s="13"/>
      <c r="S92" s="13"/>
    </row>
    <row r="93" spans="1:30" x14ac:dyDescent="0.25">
      <c r="A93">
        <v>11</v>
      </c>
      <c r="B93" s="13" t="s">
        <v>81</v>
      </c>
      <c r="L93">
        <v>7.0010000000000003</v>
      </c>
      <c r="O93" s="13">
        <v>918</v>
      </c>
      <c r="P93">
        <v>7.0010000000000003</v>
      </c>
      <c r="S93" s="13">
        <v>1196</v>
      </c>
      <c r="AC93">
        <f t="shared" si="2"/>
        <v>0.76755852842809369</v>
      </c>
      <c r="AD93">
        <f t="shared" ref="AD93:AD103" si="4">(S93-44.921)/12833</f>
        <v>8.9696797319410895E-2</v>
      </c>
    </row>
    <row r="94" spans="1:30" x14ac:dyDescent="0.25">
      <c r="A94">
        <v>12</v>
      </c>
      <c r="B94" s="13" t="s">
        <v>82</v>
      </c>
      <c r="L94">
        <v>7.0010000000000003</v>
      </c>
      <c r="O94" s="13">
        <v>1135</v>
      </c>
      <c r="P94">
        <v>7.0010000000000003</v>
      </c>
      <c r="S94" s="13">
        <v>1349</v>
      </c>
      <c r="AC94">
        <f t="shared" si="2"/>
        <v>0.84136397331356561</v>
      </c>
      <c r="AD94">
        <f t="shared" si="4"/>
        <v>0.10161918491389386</v>
      </c>
    </row>
    <row r="95" spans="1:30" x14ac:dyDescent="0.25">
      <c r="A95">
        <v>13</v>
      </c>
      <c r="B95" s="13" t="s">
        <v>25</v>
      </c>
      <c r="O95" s="13"/>
      <c r="S95" s="13"/>
      <c r="T95">
        <v>13.172000000000001</v>
      </c>
      <c r="U95">
        <v>85961</v>
      </c>
    </row>
    <row r="96" spans="1:30" x14ac:dyDescent="0.25">
      <c r="A96">
        <v>14</v>
      </c>
      <c r="B96" s="13" t="s">
        <v>83</v>
      </c>
      <c r="L96">
        <v>7.0010000000000003</v>
      </c>
      <c r="O96" s="13">
        <v>618</v>
      </c>
      <c r="P96">
        <v>7.0010000000000003</v>
      </c>
      <c r="S96" s="13">
        <v>938</v>
      </c>
      <c r="AC96">
        <f t="shared" si="2"/>
        <v>0.65884861407249462</v>
      </c>
      <c r="AD96">
        <f t="shared" si="4"/>
        <v>6.959237902283176E-2</v>
      </c>
    </row>
    <row r="97" spans="1:30" x14ac:dyDescent="0.25">
      <c r="A97">
        <v>15</v>
      </c>
      <c r="B97" s="13" t="s">
        <v>84</v>
      </c>
      <c r="O97" s="13"/>
      <c r="P97">
        <v>7.0010000000000003</v>
      </c>
      <c r="S97" s="13">
        <v>1068</v>
      </c>
      <c r="AC97">
        <f t="shared" si="2"/>
        <v>0</v>
      </c>
      <c r="AD97">
        <f t="shared" si="4"/>
        <v>7.9722512273046053E-2</v>
      </c>
    </row>
    <row r="98" spans="1:30" x14ac:dyDescent="0.25">
      <c r="A98">
        <v>16</v>
      </c>
      <c r="B98" s="13" t="s">
        <v>85</v>
      </c>
      <c r="O98" s="13"/>
      <c r="S98" s="13"/>
    </row>
    <row r="99" spans="1:30" x14ac:dyDescent="0.25">
      <c r="A99">
        <v>17</v>
      </c>
      <c r="B99" s="13" t="s">
        <v>86</v>
      </c>
      <c r="L99">
        <v>7.0010000000000003</v>
      </c>
      <c r="O99" s="13">
        <v>253</v>
      </c>
      <c r="S99" s="13"/>
    </row>
    <row r="100" spans="1:30" x14ac:dyDescent="0.25">
      <c r="A100">
        <v>18</v>
      </c>
      <c r="B100" s="13" t="s">
        <v>87</v>
      </c>
      <c r="L100">
        <v>7.0010000000000003</v>
      </c>
      <c r="O100" s="13">
        <v>657</v>
      </c>
      <c r="P100">
        <v>7.0010000000000003</v>
      </c>
      <c r="S100" s="13">
        <v>769</v>
      </c>
      <c r="AC100">
        <f t="shared" si="2"/>
        <v>0.85435630689206765</v>
      </c>
      <c r="AD100">
        <f t="shared" si="4"/>
        <v>5.642320579755318E-2</v>
      </c>
    </row>
    <row r="101" spans="1:30" x14ac:dyDescent="0.25">
      <c r="A101">
        <v>19</v>
      </c>
      <c r="B101" s="13" t="s">
        <v>88</v>
      </c>
      <c r="L101">
        <v>7.0010000000000003</v>
      </c>
      <c r="O101" s="13">
        <v>778</v>
      </c>
      <c r="P101">
        <v>7.0010000000000003</v>
      </c>
      <c r="S101" s="13">
        <v>935</v>
      </c>
      <c r="AC101">
        <f t="shared" si="2"/>
        <v>0.83208556149732615</v>
      </c>
      <c r="AD101">
        <f t="shared" si="4"/>
        <v>6.9358606717057583E-2</v>
      </c>
    </row>
    <row r="102" spans="1:30" x14ac:dyDescent="0.25">
      <c r="A102">
        <v>20</v>
      </c>
      <c r="B102" s="13" t="s">
        <v>89</v>
      </c>
      <c r="L102">
        <v>7.0010000000000003</v>
      </c>
      <c r="O102" s="13">
        <v>837</v>
      </c>
      <c r="P102">
        <v>7.0010000000000003</v>
      </c>
      <c r="S102" s="13">
        <v>921</v>
      </c>
      <c r="AC102">
        <f t="shared" si="2"/>
        <v>0.90879478827361559</v>
      </c>
      <c r="AD102">
        <f t="shared" si="4"/>
        <v>6.8267669290111424E-2</v>
      </c>
    </row>
    <row r="103" spans="1:30" x14ac:dyDescent="0.25">
      <c r="A103">
        <v>21</v>
      </c>
      <c r="B103" s="13" t="s">
        <v>90</v>
      </c>
      <c r="L103">
        <v>7.0010000000000003</v>
      </c>
      <c r="O103" s="13">
        <v>900</v>
      </c>
      <c r="P103">
        <v>7.0010000000000003</v>
      </c>
      <c r="S103" s="13">
        <v>871</v>
      </c>
      <c r="AC103">
        <f t="shared" si="2"/>
        <v>1.0332950631458093</v>
      </c>
      <c r="AD103">
        <f t="shared" si="4"/>
        <v>6.4371464193875155E-2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02353-7E98-4C01-9119-331F19B3029D}">
  <dimension ref="A1:CO102"/>
  <sheetViews>
    <sheetView tabSelected="1" topLeftCell="A79" zoomScale="85" zoomScaleNormal="85" workbookViewId="0">
      <selection activeCell="BA53" sqref="BA53:BA60"/>
    </sheetView>
  </sheetViews>
  <sheetFormatPr baseColWidth="10" defaultRowHeight="15" x14ac:dyDescent="0.25"/>
  <cols>
    <col min="2" max="2" width="32.140625" bestFit="1" customWidth="1"/>
    <col min="4" max="4" width="20" bestFit="1" customWidth="1"/>
    <col min="5" max="8" width="20" customWidth="1"/>
    <col min="11" max="11" width="12.5703125" bestFit="1" customWidth="1"/>
    <col min="12" max="12" width="32.140625" bestFit="1" customWidth="1"/>
    <col min="13" max="13" width="14.42578125" bestFit="1" customWidth="1"/>
    <col min="14" max="15" width="14.85546875" bestFit="1" customWidth="1"/>
    <col min="16" max="16" width="15.85546875" bestFit="1" customWidth="1"/>
    <col min="17" max="17" width="14.7109375" bestFit="1" customWidth="1"/>
    <col min="19" max="19" width="15.42578125" bestFit="1" customWidth="1"/>
    <col min="26" max="26" width="13.28515625" bestFit="1" customWidth="1"/>
    <col min="27" max="27" width="12.5703125" bestFit="1" customWidth="1"/>
    <col min="28" max="28" width="29.28515625" bestFit="1" customWidth="1"/>
    <col min="29" max="29" width="20.42578125" customWidth="1"/>
    <col min="32" max="33" width="16" bestFit="1" customWidth="1"/>
    <col min="35" max="35" width="12.85546875" bestFit="1" customWidth="1"/>
    <col min="36" max="36" width="19.140625" bestFit="1" customWidth="1"/>
    <col min="37" max="37" width="14.5703125" bestFit="1" customWidth="1"/>
    <col min="39" max="39" width="13.7109375" bestFit="1" customWidth="1"/>
    <col min="45" max="45" width="11.42578125" style="65"/>
    <col min="46" max="46" width="24.7109375" customWidth="1"/>
    <col min="49" max="49" width="17.28515625" bestFit="1" customWidth="1"/>
    <col min="63" max="63" width="20.7109375" bestFit="1" customWidth="1"/>
    <col min="64" max="64" width="14.140625" bestFit="1" customWidth="1"/>
    <col min="69" max="69" width="12.85546875" bestFit="1" customWidth="1"/>
  </cols>
  <sheetData>
    <row r="1" spans="1:93" ht="15.75" thickBot="1" x14ac:dyDescent="0.3">
      <c r="A1" t="s">
        <v>22</v>
      </c>
      <c r="H1" t="s">
        <v>161</v>
      </c>
      <c r="I1" t="s">
        <v>162</v>
      </c>
      <c r="J1" t="s">
        <v>163</v>
      </c>
      <c r="K1" s="62" t="s">
        <v>95</v>
      </c>
      <c r="L1" s="62">
        <f>J4</f>
        <v>0.59867216611329166</v>
      </c>
      <c r="U1" s="45" t="s">
        <v>148</v>
      </c>
      <c r="V1" s="46" t="s">
        <v>135</v>
      </c>
      <c r="W1" s="46" t="s">
        <v>136</v>
      </c>
      <c r="X1" s="47" t="s">
        <v>137</v>
      </c>
      <c r="AB1" s="66" t="s">
        <v>168</v>
      </c>
      <c r="AE1" s="75" t="s">
        <v>179</v>
      </c>
      <c r="AG1" s="62" t="s">
        <v>149</v>
      </c>
      <c r="AJ1" s="85" t="s">
        <v>201</v>
      </c>
      <c r="AK1" s="76" t="s">
        <v>184</v>
      </c>
      <c r="AL1" s="5" t="s">
        <v>124</v>
      </c>
      <c r="AM1" s="5" t="s">
        <v>126</v>
      </c>
      <c r="AN1" s="25" t="s">
        <v>127</v>
      </c>
      <c r="AO1" s="21"/>
      <c r="AP1" s="21"/>
      <c r="AQ1" s="21"/>
      <c r="AR1" s="21"/>
      <c r="AS1" s="17"/>
      <c r="AT1" s="66" t="s">
        <v>168</v>
      </c>
      <c r="AU1" s="26" t="s">
        <v>169</v>
      </c>
      <c r="AX1" s="62" t="s">
        <v>149</v>
      </c>
      <c r="BA1" s="85" t="s">
        <v>201</v>
      </c>
      <c r="BB1" s="76" t="s">
        <v>184</v>
      </c>
      <c r="BC1" s="5" t="s">
        <v>124</v>
      </c>
      <c r="BD1" s="5" t="s">
        <v>126</v>
      </c>
      <c r="BE1" s="25" t="s">
        <v>127</v>
      </c>
      <c r="BF1" s="21"/>
      <c r="BG1" s="21"/>
      <c r="BH1" s="21"/>
      <c r="BI1" s="21"/>
    </row>
    <row r="2" spans="1:93" ht="15.75" thickBot="1" x14ac:dyDescent="0.3">
      <c r="A2" t="s">
        <v>23</v>
      </c>
      <c r="H2" t="s">
        <v>164</v>
      </c>
      <c r="I2">
        <v>1175</v>
      </c>
      <c r="J2">
        <f>I2/(298.15*8.314)</f>
        <v>0.47401603448997148</v>
      </c>
      <c r="U2" s="48"/>
      <c r="V2" s="49" t="s">
        <v>124</v>
      </c>
      <c r="W2" s="49" t="s">
        <v>126</v>
      </c>
      <c r="X2" s="50" t="s">
        <v>127</v>
      </c>
      <c r="AB2" s="67" t="s">
        <v>170</v>
      </c>
      <c r="AH2" s="62" t="s">
        <v>95</v>
      </c>
      <c r="AI2" s="62">
        <f>L1</f>
        <v>0.59867216611329166</v>
      </c>
      <c r="AJ2" s="77" t="s">
        <v>191</v>
      </c>
      <c r="AK2" s="13" t="s">
        <v>180</v>
      </c>
      <c r="AL2" s="21">
        <v>0.82758980382648906</v>
      </c>
      <c r="AM2" s="21">
        <v>20.928231364206923</v>
      </c>
      <c r="AN2" s="13">
        <v>0.65837574855350889</v>
      </c>
      <c r="AT2" s="68" t="s">
        <v>170</v>
      </c>
      <c r="AU2" s="26" t="s">
        <v>171</v>
      </c>
      <c r="AY2" s="62" t="s">
        <v>95</v>
      </c>
      <c r="AZ2" s="62">
        <f>AI2</f>
        <v>0.59867216611329166</v>
      </c>
      <c r="BA2" s="77" t="s">
        <v>191</v>
      </c>
      <c r="BB2" s="13" t="s">
        <v>180</v>
      </c>
      <c r="BC2" s="21">
        <v>0.82758980382648906</v>
      </c>
      <c r="BD2" s="21">
        <v>20.928231364206923</v>
      </c>
      <c r="BE2" s="13">
        <v>0.65837574855350889</v>
      </c>
      <c r="BK2" s="66" t="s">
        <v>217</v>
      </c>
    </row>
    <row r="3" spans="1:93" ht="15.75" thickBot="1" x14ac:dyDescent="0.3">
      <c r="A3" t="s">
        <v>1</v>
      </c>
      <c r="I3">
        <v>1793</v>
      </c>
      <c r="J3">
        <f>I3/(298.15*8.314)</f>
        <v>0.72332829773661189</v>
      </c>
      <c r="U3" s="48" t="s">
        <v>138</v>
      </c>
      <c r="V3" s="51">
        <v>1.071586842105263</v>
      </c>
      <c r="W3" s="51">
        <v>0.80161578947368428</v>
      </c>
      <c r="X3" s="52">
        <v>1.3257263157894739</v>
      </c>
      <c r="AJ3" s="78" t="s">
        <v>192</v>
      </c>
      <c r="AK3" s="13" t="s">
        <v>182</v>
      </c>
      <c r="AL3" s="21">
        <v>1.2432357640783176</v>
      </c>
      <c r="AM3" s="21">
        <v>33.361321734817125</v>
      </c>
      <c r="AN3" s="13">
        <v>4.5160486996296498</v>
      </c>
      <c r="AT3" s="69" t="s">
        <v>172</v>
      </c>
      <c r="AX3" s="75" t="s">
        <v>215</v>
      </c>
      <c r="BA3" s="78" t="s">
        <v>192</v>
      </c>
      <c r="BB3" s="13" t="s">
        <v>182</v>
      </c>
      <c r="BC3" s="21">
        <v>1.2432357640783176</v>
      </c>
      <c r="BD3" s="21">
        <v>33.361321734817125</v>
      </c>
      <c r="BE3" s="13">
        <v>4.5160486996296498</v>
      </c>
      <c r="BK3" s="100" t="s">
        <v>211</v>
      </c>
    </row>
    <row r="4" spans="1:93" x14ac:dyDescent="0.25">
      <c r="A4" t="s">
        <v>5</v>
      </c>
      <c r="I4">
        <f>AVERAGE(I2:I3)</f>
        <v>1484</v>
      </c>
      <c r="J4">
        <f>I4/(298.15*8.314)</f>
        <v>0.59867216611329166</v>
      </c>
      <c r="N4" s="63" t="s">
        <v>165</v>
      </c>
      <c r="U4" s="48" t="s">
        <v>139</v>
      </c>
      <c r="V4" s="51">
        <v>20</v>
      </c>
      <c r="W4" s="51">
        <v>20</v>
      </c>
      <c r="X4" s="52">
        <v>20</v>
      </c>
      <c r="AD4" s="93" t="s">
        <v>202</v>
      </c>
      <c r="AJ4" s="78" t="s">
        <v>193</v>
      </c>
      <c r="AK4" s="13" t="s">
        <v>181</v>
      </c>
      <c r="AL4" s="21">
        <v>0.80259999999999998</v>
      </c>
      <c r="AM4" s="21">
        <v>18.626000000000001</v>
      </c>
      <c r="AN4" s="13">
        <v>0.59709999999999996</v>
      </c>
      <c r="BA4" s="78" t="s">
        <v>193</v>
      </c>
      <c r="BB4" s="13" t="s">
        <v>181</v>
      </c>
      <c r="BC4" s="21">
        <v>0.80259999999999998</v>
      </c>
      <c r="BD4" s="21">
        <v>18.626000000000001</v>
      </c>
      <c r="BE4" s="13">
        <v>0.59709999999999996</v>
      </c>
      <c r="BK4" s="101" t="s">
        <v>212</v>
      </c>
      <c r="BL4" s="7" t="s">
        <v>203</v>
      </c>
      <c r="BM4" s="3" t="s">
        <v>197</v>
      </c>
      <c r="BN4" s="7"/>
      <c r="BO4" s="3" t="s">
        <v>198</v>
      </c>
      <c r="BP4" s="7"/>
      <c r="BQ4" s="3" t="s">
        <v>199</v>
      </c>
      <c r="BR4" s="7"/>
      <c r="BS4" s="3" t="s">
        <v>200</v>
      </c>
      <c r="BT4" s="7"/>
    </row>
    <row r="5" spans="1:93" x14ac:dyDescent="0.25">
      <c r="A5" s="4"/>
      <c r="B5" s="5"/>
      <c r="C5" s="3" t="s">
        <v>10</v>
      </c>
      <c r="D5" s="13"/>
      <c r="E5" t="s">
        <v>9</v>
      </c>
      <c r="F5" s="13"/>
      <c r="G5" s="19" t="s">
        <v>7</v>
      </c>
      <c r="H5" s="19" t="s">
        <v>94</v>
      </c>
      <c r="K5" s="27">
        <v>44411</v>
      </c>
      <c r="L5" s="26" t="s">
        <v>96</v>
      </c>
      <c r="M5" t="s">
        <v>97</v>
      </c>
      <c r="N5" s="63" t="s">
        <v>166</v>
      </c>
      <c r="O5" t="s">
        <v>98</v>
      </c>
      <c r="P5" t="s">
        <v>99</v>
      </c>
      <c r="Q5" t="s">
        <v>100</v>
      </c>
      <c r="R5" t="s">
        <v>101</v>
      </c>
      <c r="S5" t="s">
        <v>102</v>
      </c>
      <c r="U5" s="48" t="s">
        <v>140</v>
      </c>
      <c r="V5" s="51">
        <f>V4/V3</f>
        <v>18.66390964703109</v>
      </c>
      <c r="W5" s="51">
        <f>W4/W3</f>
        <v>24.949608356805658</v>
      </c>
      <c r="X5" s="52">
        <f>X4/X3</f>
        <v>15.086069999364796</v>
      </c>
      <c r="AD5" s="93" t="s">
        <v>216</v>
      </c>
      <c r="AJ5" s="79" t="s">
        <v>194</v>
      </c>
      <c r="AK5" s="11" t="s">
        <v>183</v>
      </c>
      <c r="AL5" s="9">
        <v>1.1841999999999999</v>
      </c>
      <c r="AM5" s="10">
        <v>26.481999999999999</v>
      </c>
      <c r="AN5" s="11">
        <v>4.1706000000000003</v>
      </c>
      <c r="AO5" t="s">
        <v>134</v>
      </c>
      <c r="AW5" s="63" t="s">
        <v>173</v>
      </c>
      <c r="BA5" s="79" t="s">
        <v>194</v>
      </c>
      <c r="BB5" s="11" t="s">
        <v>183</v>
      </c>
      <c r="BC5" s="9">
        <v>1.1841999999999999</v>
      </c>
      <c r="BD5" s="10">
        <v>26.481999999999999</v>
      </c>
      <c r="BE5" s="11">
        <v>4.1706000000000003</v>
      </c>
      <c r="BF5" t="s">
        <v>134</v>
      </c>
      <c r="BK5" s="104" t="s">
        <v>175</v>
      </c>
      <c r="BL5" s="11"/>
      <c r="BM5" s="9" t="s">
        <v>208</v>
      </c>
      <c r="BN5" s="11" t="s">
        <v>210</v>
      </c>
      <c r="BO5" s="10" t="s">
        <v>208</v>
      </c>
      <c r="BP5" s="11" t="s">
        <v>210</v>
      </c>
      <c r="BQ5" s="10" t="s">
        <v>208</v>
      </c>
      <c r="BR5" s="11" t="s">
        <v>210</v>
      </c>
      <c r="BS5" s="10" t="s">
        <v>208</v>
      </c>
      <c r="BT5" s="11" t="s">
        <v>210</v>
      </c>
    </row>
    <row r="6" spans="1:93" x14ac:dyDescent="0.25">
      <c r="A6" s="9" t="s">
        <v>12</v>
      </c>
      <c r="B6" s="10" t="s">
        <v>13</v>
      </c>
      <c r="C6" s="9" t="s">
        <v>20</v>
      </c>
      <c r="D6" s="11" t="s">
        <v>108</v>
      </c>
      <c r="E6" s="9" t="s">
        <v>158</v>
      </c>
      <c r="F6" s="11" t="s">
        <v>159</v>
      </c>
      <c r="G6" s="11" t="s">
        <v>92</v>
      </c>
      <c r="H6" s="20" t="s">
        <v>160</v>
      </c>
      <c r="K6" t="s">
        <v>12</v>
      </c>
      <c r="L6" t="s">
        <v>103</v>
      </c>
      <c r="M6" t="s">
        <v>108</v>
      </c>
      <c r="N6" t="s">
        <v>108</v>
      </c>
      <c r="O6" t="s">
        <v>4</v>
      </c>
      <c r="P6" t="s">
        <v>104</v>
      </c>
      <c r="Q6" t="s">
        <v>104</v>
      </c>
      <c r="R6" t="s">
        <v>104</v>
      </c>
      <c r="S6" t="s">
        <v>4</v>
      </c>
      <c r="U6" s="48" t="s">
        <v>143</v>
      </c>
      <c r="V6" s="49">
        <v>2.65</v>
      </c>
      <c r="W6" s="49">
        <f>0.8*2.65+0.2*1.3</f>
        <v>2.38</v>
      </c>
      <c r="X6" s="50">
        <v>2.65</v>
      </c>
      <c r="AF6" s="16" t="s">
        <v>174</v>
      </c>
      <c r="AG6" t="s">
        <v>110</v>
      </c>
      <c r="AI6" s="74" t="s">
        <v>178</v>
      </c>
      <c r="AJ6" s="75"/>
      <c r="AK6" s="21" t="s">
        <v>176</v>
      </c>
      <c r="AL6" s="21"/>
      <c r="AN6" s="7"/>
      <c r="AO6" t="s">
        <v>195</v>
      </c>
      <c r="AW6" s="63" t="s">
        <v>174</v>
      </c>
      <c r="AX6" t="s">
        <v>110</v>
      </c>
      <c r="AZ6" s="74" t="s">
        <v>214</v>
      </c>
      <c r="BA6" s="75"/>
      <c r="BB6" s="21" t="s">
        <v>176</v>
      </c>
      <c r="BC6" s="21"/>
      <c r="BE6" s="7"/>
      <c r="BF6" t="s">
        <v>195</v>
      </c>
      <c r="BK6" s="9" t="s">
        <v>120</v>
      </c>
      <c r="BL6" s="11" t="s">
        <v>209</v>
      </c>
      <c r="BM6" s="4"/>
      <c r="BN6" s="25"/>
      <c r="BO6" s="5"/>
      <c r="BP6" s="25"/>
      <c r="BQ6" s="5"/>
      <c r="BR6" s="25"/>
      <c r="BS6" s="5"/>
      <c r="BT6" s="25"/>
    </row>
    <row r="7" spans="1:93" x14ac:dyDescent="0.25">
      <c r="A7">
        <v>1</v>
      </c>
      <c r="B7" s="13" t="s">
        <v>24</v>
      </c>
      <c r="C7" s="21">
        <v>0</v>
      </c>
      <c r="D7" s="13"/>
      <c r="E7" s="17">
        <v>0</v>
      </c>
      <c r="F7" s="13"/>
      <c r="G7" s="59">
        <v>150193</v>
      </c>
      <c r="H7" s="21"/>
      <c r="K7" s="21">
        <v>1</v>
      </c>
      <c r="L7" s="21" t="s">
        <v>24</v>
      </c>
      <c r="M7" s="21">
        <v>0</v>
      </c>
      <c r="N7" s="21">
        <f>IF(M7&lt;=0,0,M7*((2023.834*0+134290.618)/(2023.834*K7+134290.618)))</f>
        <v>0</v>
      </c>
      <c r="O7">
        <v>0</v>
      </c>
      <c r="P7">
        <f>O7*10</f>
        <v>0</v>
      </c>
      <c r="Q7">
        <f>(O7*10*10)/($L$1*(10+10))</f>
        <v>0</v>
      </c>
      <c r="R7">
        <f>P7-Q7</f>
        <v>0</v>
      </c>
      <c r="S7">
        <f>R7/10</f>
        <v>0</v>
      </c>
      <c r="U7" s="48" t="s">
        <v>141</v>
      </c>
      <c r="V7" s="49">
        <f>V4/V6</f>
        <v>7.5471698113207548</v>
      </c>
      <c r="W7" s="49">
        <f>W4/W6</f>
        <v>8.4033613445378155</v>
      </c>
      <c r="X7" s="50">
        <f>X4/X6</f>
        <v>7.5471698113207548</v>
      </c>
      <c r="AA7" s="27">
        <v>44411</v>
      </c>
      <c r="AB7" s="26" t="s">
        <v>3</v>
      </c>
      <c r="AC7" t="s">
        <v>97</v>
      </c>
      <c r="AD7" s="16" t="s">
        <v>175</v>
      </c>
      <c r="AE7" t="s">
        <v>112</v>
      </c>
      <c r="AF7" s="13" t="s">
        <v>111</v>
      </c>
      <c r="AG7" t="s">
        <v>111</v>
      </c>
      <c r="AJ7" s="30" t="s">
        <v>185</v>
      </c>
      <c r="AK7" s="17" t="s">
        <v>187</v>
      </c>
      <c r="AL7" s="17" t="s">
        <v>188</v>
      </c>
      <c r="AM7" s="17" t="s">
        <v>189</v>
      </c>
      <c r="AN7" s="30" t="s">
        <v>190</v>
      </c>
      <c r="AO7" s="17" t="s">
        <v>197</v>
      </c>
      <c r="AP7" s="17" t="s">
        <v>198</v>
      </c>
      <c r="AQ7" s="17" t="s">
        <v>199</v>
      </c>
      <c r="AR7" s="17" t="s">
        <v>200</v>
      </c>
      <c r="AS7" s="17"/>
      <c r="AT7" s="26" t="s">
        <v>3</v>
      </c>
      <c r="AU7" s="63" t="s">
        <v>165</v>
      </c>
      <c r="AV7" t="s">
        <v>112</v>
      </c>
      <c r="AW7" s="13" t="s">
        <v>111</v>
      </c>
      <c r="AX7" t="s">
        <v>111</v>
      </c>
      <c r="BA7" s="30" t="s">
        <v>185</v>
      </c>
      <c r="BB7" s="17" t="s">
        <v>187</v>
      </c>
      <c r="BC7" s="17" t="s">
        <v>188</v>
      </c>
      <c r="BD7" s="17" t="s">
        <v>189</v>
      </c>
      <c r="BE7" s="30" t="s">
        <v>190</v>
      </c>
      <c r="BF7" s="17" t="s">
        <v>197</v>
      </c>
      <c r="BG7" s="17" t="s">
        <v>198</v>
      </c>
      <c r="BH7" s="17" t="s">
        <v>199</v>
      </c>
      <c r="BI7" s="17" t="s">
        <v>200</v>
      </c>
      <c r="BK7" s="12" t="s">
        <v>124</v>
      </c>
      <c r="BL7" s="13" t="s">
        <v>204</v>
      </c>
      <c r="BM7" s="98">
        <f>AVERAGE(AO10:AO12,AO21:AO23)</f>
        <v>18.875001813405767</v>
      </c>
      <c r="BN7" s="94">
        <f>(STDEV(AO10:AO12,AO21:AO23)/BM7)*100</f>
        <v>2.3074457534441173</v>
      </c>
      <c r="BO7" s="98">
        <f>AVERAGE(AP10:AP12,AP21:AP23)</f>
        <v>18.767612013737189</v>
      </c>
      <c r="BP7" s="94">
        <f>(STDEV(AP10:AP12,AP21:AP23)/BO7)*100</f>
        <v>2.5421730996397098</v>
      </c>
      <c r="BQ7" s="98">
        <f>AVERAGE(AQ10:AQ12,AQ21:AQ23)</f>
        <v>18.881458390116048</v>
      </c>
      <c r="BR7" s="94">
        <f>(STDEV(AQ10:AQ12,AQ21:AQ23)/BQ7)*100</f>
        <v>2.2934183769859398</v>
      </c>
      <c r="BS7" s="98">
        <f>AVERAGE(AR10:AR12,AR21:AR23)</f>
        <v>18.782864992194646</v>
      </c>
      <c r="BT7" s="94">
        <f>(STDEV(AR10:AR12,AR21:AR23)/BS7)*100</f>
        <v>2.5086703479506345</v>
      </c>
    </row>
    <row r="8" spans="1:93" x14ac:dyDescent="0.25">
      <c r="A8">
        <v>2</v>
      </c>
      <c r="B8" s="13" t="s">
        <v>25</v>
      </c>
      <c r="C8" s="21">
        <v>0</v>
      </c>
      <c r="D8" s="13"/>
      <c r="E8">
        <v>0</v>
      </c>
      <c r="F8" s="13"/>
      <c r="G8" s="58">
        <v>115846</v>
      </c>
      <c r="H8" s="21"/>
      <c r="K8" s="21">
        <v>2</v>
      </c>
      <c r="L8" s="21" t="s">
        <v>25</v>
      </c>
      <c r="M8" s="21">
        <v>0</v>
      </c>
      <c r="N8" s="21">
        <f t="shared" ref="N8:N18" si="0">IF(M8&lt;=0,0,M8*((2023.834*0+134290.618)/(2023.834*K8+134290.618)))</f>
        <v>0</v>
      </c>
      <c r="O8">
        <v>0</v>
      </c>
      <c r="P8">
        <f t="shared" ref="P8:P18" si="1">O8*10</f>
        <v>0</v>
      </c>
      <c r="Q8">
        <f t="shared" ref="Q8:Q18" si="2">(O8*10*10)/($L$1*(10+10))</f>
        <v>0</v>
      </c>
      <c r="R8">
        <f t="shared" ref="R8:R18" si="3">P8-Q8</f>
        <v>0</v>
      </c>
      <c r="S8">
        <f t="shared" ref="S8:S18" si="4">R8/10</f>
        <v>0</v>
      </c>
      <c r="U8" s="48" t="s">
        <v>144</v>
      </c>
      <c r="V8" s="51">
        <f>V5-V7</f>
        <v>11.116739835710336</v>
      </c>
      <c r="W8" s="51">
        <f t="shared" ref="W8:X8" si="5">W5-W7</f>
        <v>16.546247012267841</v>
      </c>
      <c r="X8" s="52">
        <f t="shared" si="5"/>
        <v>7.5389001880440407</v>
      </c>
      <c r="AA8" t="s">
        <v>12</v>
      </c>
      <c r="AB8" t="s">
        <v>115</v>
      </c>
      <c r="AC8" s="11" t="s">
        <v>108</v>
      </c>
      <c r="AD8" s="70" t="s">
        <v>166</v>
      </c>
      <c r="AE8" s="10" t="s">
        <v>4</v>
      </c>
      <c r="AF8" s="11" t="s">
        <v>113</v>
      </c>
      <c r="AG8" s="10" t="s">
        <v>117</v>
      </c>
      <c r="AH8" s="10" t="s">
        <v>118</v>
      </c>
      <c r="AI8" s="11" t="s">
        <v>119</v>
      </c>
      <c r="AJ8" s="11" t="s">
        <v>186</v>
      </c>
      <c r="AK8" s="10" t="s">
        <v>177</v>
      </c>
      <c r="AL8" s="10"/>
      <c r="AM8" s="10"/>
      <c r="AN8" s="11"/>
      <c r="AO8" s="21" t="s">
        <v>196</v>
      </c>
      <c r="AP8" s="21" t="s">
        <v>196</v>
      </c>
      <c r="AQ8" s="21" t="s">
        <v>196</v>
      </c>
      <c r="AR8" s="21" t="s">
        <v>196</v>
      </c>
      <c r="AS8" s="17"/>
      <c r="AT8" t="s">
        <v>115</v>
      </c>
      <c r="AU8" s="63" t="s">
        <v>166</v>
      </c>
      <c r="AV8" s="10" t="s">
        <v>4</v>
      </c>
      <c r="AW8" s="11" t="s">
        <v>113</v>
      </c>
      <c r="AX8" s="10" t="s">
        <v>117</v>
      </c>
      <c r="AY8" s="10" t="s">
        <v>118</v>
      </c>
      <c r="AZ8" s="11" t="s">
        <v>119</v>
      </c>
      <c r="BA8" s="11" t="s">
        <v>186</v>
      </c>
      <c r="BB8" s="10" t="s">
        <v>177</v>
      </c>
      <c r="BC8" s="10"/>
      <c r="BD8" s="10"/>
      <c r="BE8" s="11"/>
      <c r="BF8" s="9" t="s">
        <v>196</v>
      </c>
      <c r="BG8" s="10" t="s">
        <v>196</v>
      </c>
      <c r="BH8" s="10" t="s">
        <v>196</v>
      </c>
      <c r="BI8" s="10" t="s">
        <v>196</v>
      </c>
      <c r="BK8" s="12"/>
      <c r="BL8" s="13" t="s">
        <v>205</v>
      </c>
      <c r="BM8" s="98">
        <f>AVERAGE(AO14:AO19)</f>
        <v>18.725285662575292</v>
      </c>
      <c r="BN8" s="94">
        <f>(STDEV(AO14:AO19)/BM8)*100</f>
        <v>0.93817531084928485</v>
      </c>
      <c r="BO8" s="98">
        <f>AVERAGE(AP14:AP19)</f>
        <v>18.603604295474494</v>
      </c>
      <c r="BP8" s="94">
        <f>(STDEV(AP14:AP19)/BO8)*100</f>
        <v>1.0344535440465743</v>
      </c>
      <c r="BQ8" s="98">
        <f>AVERAGE(AQ14:AQ19)</f>
        <v>18.732601488504038</v>
      </c>
      <c r="BR8" s="94">
        <f>(STDEV(AQ14:AQ19)/BQ8)*100</f>
        <v>0.93242665388415802</v>
      </c>
      <c r="BS8" s="98">
        <f>AVERAGE(AR14:AR19)</f>
        <v>18.620887159180274</v>
      </c>
      <c r="BT8" s="94">
        <f>(STDEV(AR14:AR19)/BS8)*100</f>
        <v>1.0207021153889904</v>
      </c>
    </row>
    <row r="9" spans="1:93" x14ac:dyDescent="0.25">
      <c r="A9">
        <v>3</v>
      </c>
      <c r="B9" s="13" t="s">
        <v>26</v>
      </c>
      <c r="C9" s="21">
        <v>44469</v>
      </c>
      <c r="D9" s="13">
        <v>1143</v>
      </c>
      <c r="E9" s="56">
        <v>135943</v>
      </c>
      <c r="F9" s="57">
        <v>14514</v>
      </c>
      <c r="G9" s="19">
        <v>124817</v>
      </c>
      <c r="H9" s="21">
        <f t="shared" ref="H9:H33" si="6">F9/D9</f>
        <v>12.698162729658792</v>
      </c>
      <c r="K9" s="21">
        <v>3</v>
      </c>
      <c r="L9" s="21" t="s">
        <v>26</v>
      </c>
      <c r="M9" s="21">
        <v>1143</v>
      </c>
      <c r="N9" s="21">
        <f t="shared" si="0"/>
        <v>1093.5584071685437</v>
      </c>
      <c r="O9">
        <v>0.1</v>
      </c>
      <c r="P9">
        <f t="shared" si="1"/>
        <v>1</v>
      </c>
      <c r="Q9">
        <f t="shared" si="2"/>
        <v>0.83518163746630725</v>
      </c>
      <c r="R9">
        <f t="shared" si="3"/>
        <v>0.16481836253369275</v>
      </c>
      <c r="S9">
        <f t="shared" si="4"/>
        <v>1.6481836253369277E-2</v>
      </c>
      <c r="U9" s="48" t="s">
        <v>142</v>
      </c>
      <c r="V9" s="51">
        <f>(V8/V5)*100</f>
        <v>59.562760675273097</v>
      </c>
      <c r="W9" s="51">
        <f>(W8/W5)*100</f>
        <v>66.318664307828385</v>
      </c>
      <c r="X9" s="52">
        <f>(X8/X5)*100</f>
        <v>49.972591857000985</v>
      </c>
      <c r="AA9">
        <v>10</v>
      </c>
      <c r="AB9" s="71" t="s">
        <v>32</v>
      </c>
      <c r="AC9" s="72">
        <v>370</v>
      </c>
      <c r="AD9" s="86">
        <f>IF($AC$9&gt;0, AC9-$AC$9, AC9)</f>
        <v>0</v>
      </c>
      <c r="AE9" s="86">
        <v>0</v>
      </c>
      <c r="AF9" s="72">
        <f>IF(AD9&lt;=0,0,(AD9-72.379)/93758.779)</f>
        <v>0</v>
      </c>
      <c r="AG9" s="86">
        <f>AE9*8</f>
        <v>0</v>
      </c>
      <c r="AH9" s="86">
        <f>AF9*$V$13</f>
        <v>0</v>
      </c>
      <c r="AI9" s="72">
        <f t="shared" ref="AI9:AI23" si="7">(AF9/$AI$2)*8</f>
        <v>0</v>
      </c>
      <c r="AJ9" s="73">
        <f>AI9/8</f>
        <v>0</v>
      </c>
      <c r="AK9" s="86">
        <f>($AJ9*$AL$2)*20</f>
        <v>0</v>
      </c>
      <c r="AL9" s="86">
        <f>($AJ9*$AL$3)*20</f>
        <v>0</v>
      </c>
      <c r="AM9" s="86">
        <f>($AJ9*$AL$4)*20</f>
        <v>0</v>
      </c>
      <c r="AN9" s="72">
        <f>($AJ9*$AL$5)*20</f>
        <v>0</v>
      </c>
      <c r="AO9" s="86">
        <f>$AG9-($AH9+$AI9+AK9)</f>
        <v>0</v>
      </c>
      <c r="AP9" s="86">
        <f>$AG9-($AH9+$AI9+AL9)</f>
        <v>0</v>
      </c>
      <c r="AQ9" s="86">
        <f>$AG9-($AH9+$AI9+AM9)</f>
        <v>0</v>
      </c>
      <c r="AR9" s="86">
        <f>$AG9-($AH9+$AI9+AN9)</f>
        <v>0</v>
      </c>
      <c r="AT9" s="71" t="s">
        <v>32</v>
      </c>
      <c r="AU9" s="86">
        <f t="shared" ref="AU9:AU23" si="8">IF(AD9&lt;=0,0,AD9*((2023.834*0+134290.618)/(2023.834*AA9+134290.618)))</f>
        <v>0</v>
      </c>
      <c r="AV9" s="86">
        <v>0</v>
      </c>
      <c r="AW9" s="88">
        <f>IF(AU9&lt;=0,0,((AU9-50.579)/84767.637))</f>
        <v>0</v>
      </c>
      <c r="AX9" s="86">
        <f>AV9*8</f>
        <v>0</v>
      </c>
      <c r="AY9" s="86">
        <f>AW9*$V$13</f>
        <v>0</v>
      </c>
      <c r="AZ9" s="72">
        <f t="shared" ref="AZ9:AZ23" si="9">(AW9/$AI$2)*8</f>
        <v>0</v>
      </c>
      <c r="BA9" s="73">
        <f>AZ9/8</f>
        <v>0</v>
      </c>
      <c r="BB9" s="86">
        <f t="shared" ref="BB9:BB23" si="10">($AZ9*$AL$2)*20</f>
        <v>0</v>
      </c>
      <c r="BC9" s="86">
        <f t="shared" ref="BC9:BC23" si="11">($AZ9*$AL$3)*20</f>
        <v>0</v>
      </c>
      <c r="BD9" s="86">
        <f t="shared" ref="BD9:BD23" si="12">($AZ9*$AL$4)*20</f>
        <v>0</v>
      </c>
      <c r="BE9" s="72">
        <f t="shared" ref="BE9:BE23" si="13">($AZ9*$AL$5)*20</f>
        <v>0</v>
      </c>
      <c r="BF9" s="86">
        <f>$AX9-($AY9+$AZ9+BB9)</f>
        <v>0</v>
      </c>
      <c r="BG9" s="86">
        <f t="shared" ref="BG9:BI9" si="14">$AX9-($AY9+$AZ9+BC9)</f>
        <v>0</v>
      </c>
      <c r="BH9" s="86">
        <f t="shared" si="14"/>
        <v>0</v>
      </c>
      <c r="BI9" s="86">
        <f t="shared" si="14"/>
        <v>0</v>
      </c>
      <c r="BK9" s="9"/>
      <c r="BL9" s="11" t="s">
        <v>206</v>
      </c>
      <c r="BM9" s="95">
        <f>AVERAGE(AO28:AO33)</f>
        <v>18.199471994305227</v>
      </c>
      <c r="BN9" s="96">
        <f>(STDEV(AO28:AO33)/BM9)*100</f>
        <v>0.88360510724898</v>
      </c>
      <c r="BO9" s="97">
        <f>AVERAGE(AP28:AP33)</f>
        <v>18.027597635632176</v>
      </c>
      <c r="BP9" s="96">
        <f>(STDEV(AP28:AP33)/BO9)*100</f>
        <v>0.97718048017492076</v>
      </c>
      <c r="BQ9" s="97">
        <f>AVERAGE(AQ28:AQ33)</f>
        <v>18.209805564017874</v>
      </c>
      <c r="BR9" s="96">
        <f>(STDEV(AQ28:AQ33)/BQ9)*100</f>
        <v>0.87803538680838333</v>
      </c>
      <c r="BS9" s="97">
        <f>AVERAGE(AR28:AR33)</f>
        <v>18.052009599322592</v>
      </c>
      <c r="BT9" s="96">
        <f>(STDEV(AR28:AR33)/BS9)*100</f>
        <v>0.96378104710305568</v>
      </c>
    </row>
    <row r="10" spans="1:93" x14ac:dyDescent="0.25">
      <c r="A10">
        <v>4</v>
      </c>
      <c r="B10" s="13" t="s">
        <v>27</v>
      </c>
      <c r="C10" s="21">
        <v>20953</v>
      </c>
      <c r="D10" s="13">
        <v>1980</v>
      </c>
      <c r="E10">
        <v>21527</v>
      </c>
      <c r="F10" s="13">
        <v>1890</v>
      </c>
      <c r="G10" s="19">
        <v>161205</v>
      </c>
      <c r="H10" s="21">
        <f t="shared" si="6"/>
        <v>0.95454545454545459</v>
      </c>
      <c r="K10" s="21">
        <v>4</v>
      </c>
      <c r="L10" s="21" t="s">
        <v>27</v>
      </c>
      <c r="M10" s="21">
        <v>1980</v>
      </c>
      <c r="N10" s="21">
        <f t="shared" si="0"/>
        <v>1867.4273421660678</v>
      </c>
      <c r="O10">
        <v>0.1</v>
      </c>
      <c r="P10">
        <f t="shared" si="1"/>
        <v>1</v>
      </c>
      <c r="Q10">
        <f t="shared" si="2"/>
        <v>0.83518163746630725</v>
      </c>
      <c r="R10">
        <f t="shared" si="3"/>
        <v>0.16481836253369275</v>
      </c>
      <c r="S10">
        <f t="shared" si="4"/>
        <v>1.6481836253369277E-2</v>
      </c>
      <c r="U10" s="48"/>
      <c r="V10" s="49"/>
      <c r="W10" s="49"/>
      <c r="X10" s="50"/>
      <c r="AA10">
        <v>11</v>
      </c>
      <c r="AB10" s="19" t="s">
        <v>33</v>
      </c>
      <c r="AC10" s="13">
        <v>860</v>
      </c>
      <c r="AD10">
        <f>IF($AC$9&gt;0, AC10-$AC$9, AC10)</f>
        <v>490</v>
      </c>
      <c r="AE10">
        <v>2.5</v>
      </c>
      <c r="AF10" s="30">
        <f t="shared" ref="AF10:AF23" si="15">IF(AD10&lt;=0,0,(AD10-72.379)/93758.779)</f>
        <v>4.4542068961883558E-3</v>
      </c>
      <c r="AG10">
        <f t="shared" ref="AG10:AG33" si="16">AE10*8</f>
        <v>20</v>
      </c>
      <c r="AH10">
        <f t="shared" ref="AH10:AH33" si="17">AF10*$V$13</f>
        <v>0.46525451655280636</v>
      </c>
      <c r="AI10" s="13">
        <f t="shared" si="7"/>
        <v>5.952114894675694E-2</v>
      </c>
      <c r="AJ10" s="19">
        <f>AI10/8</f>
        <v>7.4401436183446175E-3</v>
      </c>
      <c r="AK10">
        <f>($AJ10*$AL$2)*20</f>
        <v>0.12314773995093453</v>
      </c>
      <c r="AL10">
        <f t="shared" ref="AL10:AL33" si="18">($AJ10*$AL$3)*20</f>
        <v>0.1849970527241018</v>
      </c>
      <c r="AM10">
        <f>($AJ10*$AL$4)*20</f>
        <v>0.1194291853616678</v>
      </c>
      <c r="AN10" s="13">
        <f t="shared" ref="AN10:AN33" si="19">($AJ10*$AL$5)*20</f>
        <v>0.17621236145687391</v>
      </c>
      <c r="AO10">
        <f t="shared" ref="AO10:AO60" si="20">$AG10-($AH10+$AI10+AK10)</f>
        <v>19.352076594549501</v>
      </c>
      <c r="AP10">
        <f t="shared" ref="AP10:AP60" si="21">$AG10-($AH10+$AI10+AL10)</f>
        <v>19.290227281776335</v>
      </c>
      <c r="AQ10">
        <f>$AG10-($AH10+$AI10+AM10)</f>
        <v>19.355795149138768</v>
      </c>
      <c r="AR10">
        <f t="shared" ref="AR10:AR60" si="22">$AG10-($AH10+$AI10+AN10)</f>
        <v>19.299011973043562</v>
      </c>
      <c r="AT10" s="19" t="s">
        <v>33</v>
      </c>
      <c r="AU10">
        <f t="shared" si="8"/>
        <v>420.32085138411327</v>
      </c>
      <c r="AV10">
        <v>2.5</v>
      </c>
      <c r="AW10" s="30">
        <f t="shared" ref="AW10:AW23" si="23">IF(AU10&lt;=0,0,((AU10-50.579)/84767.637))</f>
        <v>4.3618279861229736E-3</v>
      </c>
      <c r="AX10">
        <f t="shared" ref="AX10:AX33" si="24">AV10*8</f>
        <v>20</v>
      </c>
      <c r="AY10">
        <f t="shared" ref="AY10:AY22" si="25">AW10*$V$13</f>
        <v>0.45560527794673172</v>
      </c>
      <c r="AZ10" s="13">
        <f>(AW10/$AI$2)*8</f>
        <v>5.8286698236744802E-2</v>
      </c>
      <c r="BA10" s="19">
        <f>AZ10/8</f>
        <v>7.2858372795931003E-3</v>
      </c>
      <c r="BB10">
        <f t="shared" si="10"/>
        <v>0.964749543188828</v>
      </c>
      <c r="BC10">
        <f t="shared" si="11"/>
        <v>1.4492821563592351</v>
      </c>
      <c r="BD10">
        <f t="shared" si="12"/>
        <v>0.9356180800962276</v>
      </c>
      <c r="BE10" s="13">
        <f t="shared" si="13"/>
        <v>1.3804621610390639</v>
      </c>
      <c r="BF10">
        <f t="shared" ref="BF10:BF60" si="26">$AX10-($AY10+$AZ10+BB10)</f>
        <v>18.521358480627697</v>
      </c>
      <c r="BG10">
        <f t="shared" ref="BG10:BG60" si="27">$AX10-($AY10+$AZ10+BC10)</f>
        <v>18.036825867457289</v>
      </c>
      <c r="BH10">
        <f t="shared" ref="BH10:BH60" si="28">$AX10-($AY10+$AZ10+BD10)</f>
        <v>18.550489943720297</v>
      </c>
      <c r="BI10">
        <f t="shared" ref="BI10:BI60" si="29">$AX10-($AY10+$AZ10+BE10)</f>
        <v>18.105645862777461</v>
      </c>
      <c r="BK10" s="12" t="s">
        <v>126</v>
      </c>
      <c r="BL10" s="13" t="s">
        <v>204</v>
      </c>
      <c r="BM10" s="98">
        <f>AVERAGE(AO36:AO39)</f>
        <v>13.693903457098235</v>
      </c>
      <c r="BN10" s="94">
        <f>(STDEV(AO36:AO39)/BM10)*100</f>
        <v>6.8822037785695747</v>
      </c>
      <c r="BO10" s="98">
        <f>AVERAGE(AP36:AP39)</f>
        <v>13.028081299743619</v>
      </c>
      <c r="BP10" s="94">
        <f>(STDEV(AP36:AP39)/BO10)*100</f>
        <v>10.921644975512935</v>
      </c>
      <c r="BQ10" s="98">
        <f>AVERAGE(AQ36:AQ39)</f>
        <v>13.817193532851983</v>
      </c>
      <c r="BR10" s="94">
        <f>(STDEV(AQ36:AQ39)/BQ10)*100</f>
        <v>6.1769396654658122</v>
      </c>
      <c r="BS10" s="98">
        <f>AVERAGE(AR36:AR39)</f>
        <v>13.396485670827397</v>
      </c>
      <c r="BT10" s="94">
        <f>(STDEV(AR36:AR39)/BS10)*100</f>
        <v>8.6369711875723265</v>
      </c>
    </row>
    <row r="11" spans="1:93" x14ac:dyDescent="0.25">
      <c r="A11">
        <v>5</v>
      </c>
      <c r="B11" s="13" t="s">
        <v>28</v>
      </c>
      <c r="C11" s="21">
        <v>83241</v>
      </c>
      <c r="D11" s="13">
        <v>7720</v>
      </c>
      <c r="E11">
        <v>70972</v>
      </c>
      <c r="F11" s="13">
        <v>5845</v>
      </c>
      <c r="G11" s="19">
        <v>172944</v>
      </c>
      <c r="H11" s="21">
        <f t="shared" si="6"/>
        <v>0.75712435233160624</v>
      </c>
      <c r="K11" s="21">
        <v>5</v>
      </c>
      <c r="L11" s="21" t="s">
        <v>28</v>
      </c>
      <c r="M11" s="21">
        <v>7720</v>
      </c>
      <c r="N11" s="21">
        <f t="shared" si="0"/>
        <v>7179.0394911458488</v>
      </c>
      <c r="O11">
        <v>0.5</v>
      </c>
      <c r="P11">
        <f t="shared" si="1"/>
        <v>5</v>
      </c>
      <c r="Q11">
        <f t="shared" si="2"/>
        <v>4.1759081873315358</v>
      </c>
      <c r="R11">
        <f t="shared" si="3"/>
        <v>0.82409181266846421</v>
      </c>
      <c r="S11">
        <f t="shared" si="4"/>
        <v>8.2409181266846418E-2</v>
      </c>
      <c r="U11" s="48" t="s">
        <v>145</v>
      </c>
      <c r="V11" s="49">
        <v>120</v>
      </c>
      <c r="W11" s="49">
        <v>120</v>
      </c>
      <c r="X11" s="50">
        <v>120</v>
      </c>
      <c r="AA11">
        <v>12</v>
      </c>
      <c r="AB11" s="19" t="s">
        <v>34</v>
      </c>
      <c r="AC11" s="13">
        <v>1443</v>
      </c>
      <c r="AD11">
        <f>IF($AC$9&gt;0, AC11-$AC$9, AC11)</f>
        <v>1073</v>
      </c>
      <c r="AE11">
        <v>2.5</v>
      </c>
      <c r="AF11" s="30">
        <f t="shared" si="15"/>
        <v>1.067229128485131E-2</v>
      </c>
      <c r="AG11">
        <f t="shared" si="16"/>
        <v>20</v>
      </c>
      <c r="AH11">
        <f t="shared" si="17"/>
        <v>1.1147510293006953</v>
      </c>
      <c r="AI11" s="13">
        <f t="shared" si="7"/>
        <v>0.14261282737279227</v>
      </c>
      <c r="AJ11" s="19">
        <f t="shared" ref="AJ11:AJ33" si="30">AI11/8</f>
        <v>1.7826603421599033E-2</v>
      </c>
      <c r="AK11">
        <f t="shared" ref="AK11:AK33" si="31">($AJ11*$AL$2)*20</f>
        <v>0.29506230457147525</v>
      </c>
      <c r="AL11">
        <f t="shared" si="18"/>
        <v>0.44325341851545652</v>
      </c>
      <c r="AM11">
        <f t="shared" ref="AM11:AM33" si="32">($AJ11*$AL$4)*20</f>
        <v>0.28615263812350766</v>
      </c>
      <c r="AN11" s="13">
        <f t="shared" si="19"/>
        <v>0.42220527543715147</v>
      </c>
      <c r="AO11">
        <f t="shared" si="20"/>
        <v>18.447573838755037</v>
      </c>
      <c r="AP11">
        <f t="shared" si="21"/>
        <v>18.299382724811057</v>
      </c>
      <c r="AQ11">
        <f t="shared" ref="AQ11:AQ60" si="33">$AG11-($AH11+$AI11+AM11)</f>
        <v>18.456483505203003</v>
      </c>
      <c r="AR11">
        <f t="shared" si="22"/>
        <v>18.32043086788936</v>
      </c>
      <c r="AT11" s="19" t="s">
        <v>34</v>
      </c>
      <c r="AU11">
        <f t="shared" si="8"/>
        <v>908.67006537268617</v>
      </c>
      <c r="AV11">
        <v>2.5</v>
      </c>
      <c r="AW11" s="30">
        <f t="shared" si="23"/>
        <v>1.0122861692755293E-2</v>
      </c>
      <c r="AX11">
        <f t="shared" si="24"/>
        <v>20</v>
      </c>
      <c r="AY11">
        <f t="shared" si="25"/>
        <v>1.0573615534168548</v>
      </c>
      <c r="AZ11" s="13">
        <f t="shared" si="9"/>
        <v>0.13527085127040511</v>
      </c>
      <c r="BA11" s="19">
        <f t="shared" ref="BA11:BA33" si="34">AZ11/8</f>
        <v>1.6908856408800639E-2</v>
      </c>
      <c r="BB11">
        <f t="shared" si="10"/>
        <v>2.2389755453263351</v>
      </c>
      <c r="BC11">
        <f t="shared" si="11"/>
        <v>3.3634712027337308</v>
      </c>
      <c r="BD11">
        <f t="shared" si="12"/>
        <v>2.1713677045925426</v>
      </c>
      <c r="BE11" s="13">
        <f t="shared" si="13"/>
        <v>3.2037548414882746</v>
      </c>
      <c r="BF11">
        <f t="shared" si="26"/>
        <v>16.568392049986404</v>
      </c>
      <c r="BG11">
        <f t="shared" si="27"/>
        <v>15.44389639257901</v>
      </c>
      <c r="BH11">
        <f t="shared" si="28"/>
        <v>16.635999890720196</v>
      </c>
      <c r="BI11">
        <f t="shared" si="29"/>
        <v>15.603612753824466</v>
      </c>
      <c r="BK11" s="9"/>
      <c r="BL11" s="11" t="s">
        <v>207</v>
      </c>
      <c r="BM11" s="95">
        <f>AVERAGE(AO42:AO45)</f>
        <v>14.062081729613244</v>
      </c>
      <c r="BN11" s="96">
        <f>(STDEV(AO42:AO45)/BM11)*100</f>
        <v>8.3585106917771039</v>
      </c>
      <c r="BO11" s="97">
        <f>AVERAGE(AP42:AP45)</f>
        <v>13.583949565796473</v>
      </c>
      <c r="BP11" s="96">
        <f>(STDEV(AP42:AP45)/BO11)*100</f>
        <v>13.063699600220954</v>
      </c>
      <c r="BQ11" s="97">
        <f>AVERAGE(AQ42:AQ45)</f>
        <v>14.150617309341445</v>
      </c>
      <c r="BR11" s="96">
        <f>(STDEV(AQ42:AQ45)/BQ11)*100</f>
        <v>7.5221422935316831</v>
      </c>
      <c r="BS11" s="97">
        <f>AVERAGE(AR42:AR45)</f>
        <v>13.848503662051982</v>
      </c>
      <c r="BT11" s="96">
        <f>(STDEV(AR42:AR45)/BS11)*100</f>
        <v>10.420132350094987</v>
      </c>
    </row>
    <row r="12" spans="1:93" x14ac:dyDescent="0.25">
      <c r="A12">
        <v>6</v>
      </c>
      <c r="B12" s="13" t="s">
        <v>29</v>
      </c>
      <c r="C12" s="21">
        <v>64945</v>
      </c>
      <c r="D12" s="13">
        <v>6702</v>
      </c>
      <c r="E12">
        <v>53693</v>
      </c>
      <c r="F12" s="13">
        <v>5515</v>
      </c>
      <c r="G12" s="19">
        <v>150151</v>
      </c>
      <c r="H12" s="21">
        <f t="shared" si="6"/>
        <v>0.82288868994330056</v>
      </c>
      <c r="K12" s="21">
        <v>6</v>
      </c>
      <c r="L12" s="21" t="s">
        <v>29</v>
      </c>
      <c r="M12" s="21">
        <v>6702</v>
      </c>
      <c r="N12" s="21">
        <f t="shared" si="0"/>
        <v>6146.2368378486199</v>
      </c>
      <c r="O12">
        <v>0.5</v>
      </c>
      <c r="P12">
        <f t="shared" si="1"/>
        <v>5</v>
      </c>
      <c r="Q12">
        <f t="shared" si="2"/>
        <v>4.1759081873315358</v>
      </c>
      <c r="R12">
        <f t="shared" si="3"/>
        <v>0.82409181266846421</v>
      </c>
      <c r="S12">
        <f t="shared" si="4"/>
        <v>8.2409181266846418E-2</v>
      </c>
      <c r="U12" s="48" t="s">
        <v>146</v>
      </c>
      <c r="V12" s="49">
        <v>8</v>
      </c>
      <c r="W12" s="49">
        <v>6</v>
      </c>
      <c r="X12" s="50">
        <v>6</v>
      </c>
      <c r="AA12" s="10">
        <v>13</v>
      </c>
      <c r="AB12" s="20" t="s">
        <v>35</v>
      </c>
      <c r="AC12" s="20">
        <v>1042</v>
      </c>
      <c r="AD12" s="9">
        <f>IF($AC$9&gt;0, AC12-$AC$9, AC12)</f>
        <v>672</v>
      </c>
      <c r="AE12" s="10">
        <v>2.5</v>
      </c>
      <c r="AF12" s="22">
        <f t="shared" si="15"/>
        <v>6.3953584549133261E-3</v>
      </c>
      <c r="AG12" s="10">
        <f t="shared" si="16"/>
        <v>20</v>
      </c>
      <c r="AH12" s="10">
        <f t="shared" si="17"/>
        <v>0.66801329068679571</v>
      </c>
      <c r="AI12" s="11">
        <f t="shared" si="7"/>
        <v>8.546057514493606E-2</v>
      </c>
      <c r="AJ12" s="20">
        <f t="shared" si="30"/>
        <v>1.0682571893117008E-2</v>
      </c>
      <c r="AK12" s="10">
        <f t="shared" si="31"/>
        <v>0.1768157515477414</v>
      </c>
      <c r="AL12" s="10">
        <f t="shared" si="18"/>
        <v>0.26561910859721766</v>
      </c>
      <c r="AM12" s="10">
        <f t="shared" si="32"/>
        <v>0.1714766440283142</v>
      </c>
      <c r="AN12" s="11">
        <f t="shared" si="19"/>
        <v>0.25300603271658317</v>
      </c>
      <c r="AO12" s="9">
        <f t="shared" si="20"/>
        <v>19.069710382620528</v>
      </c>
      <c r="AP12" s="10">
        <f t="shared" si="21"/>
        <v>18.980907025571049</v>
      </c>
      <c r="AQ12" s="10">
        <f t="shared" si="33"/>
        <v>19.075049490139953</v>
      </c>
      <c r="AR12" s="10">
        <f t="shared" si="22"/>
        <v>18.993520101451686</v>
      </c>
      <c r="AS12" s="17"/>
      <c r="AT12" s="20" t="s">
        <v>35</v>
      </c>
      <c r="AU12" s="10">
        <f t="shared" si="8"/>
        <v>561.91181081299521</v>
      </c>
      <c r="AV12" s="10">
        <v>2.5</v>
      </c>
      <c r="AW12" s="22">
        <f t="shared" si="23"/>
        <v>6.0321701643399027E-3</v>
      </c>
      <c r="AX12" s="10">
        <f t="shared" si="24"/>
        <v>20</v>
      </c>
      <c r="AY12" s="10">
        <f t="shared" si="25"/>
        <v>0.63007724584501323</v>
      </c>
      <c r="AZ12" s="11">
        <f t="shared" si="9"/>
        <v>8.0607324085260848E-2</v>
      </c>
      <c r="BA12" s="20">
        <f t="shared" si="34"/>
        <v>1.0075915510657606E-2</v>
      </c>
      <c r="BB12" s="9">
        <f t="shared" si="10"/>
        <v>1.3341959905339851</v>
      </c>
      <c r="BC12" s="10">
        <f t="shared" si="11"/>
        <v>2.0042781629889568</v>
      </c>
      <c r="BD12" s="10">
        <f t="shared" si="12"/>
        <v>1.2939087662166071</v>
      </c>
      <c r="BE12" s="11">
        <f t="shared" si="13"/>
        <v>1.9091038636353177</v>
      </c>
      <c r="BF12" s="9">
        <f t="shared" si="26"/>
        <v>17.955119439535743</v>
      </c>
      <c r="BG12" s="10">
        <f t="shared" si="27"/>
        <v>17.285037267080767</v>
      </c>
      <c r="BH12" s="10">
        <f t="shared" si="28"/>
        <v>17.995406663853117</v>
      </c>
      <c r="BI12" s="10">
        <f t="shared" si="29"/>
        <v>17.380211566434408</v>
      </c>
      <c r="BK12" s="12" t="s">
        <v>127</v>
      </c>
      <c r="BL12" s="13" t="s">
        <v>204</v>
      </c>
      <c r="BM12" s="98">
        <f>AVERAGE(AO51:AO54)</f>
        <v>13.528474469206166</v>
      </c>
      <c r="BN12" s="94">
        <f>(STDEV(AO51:AO54)/BM12)*100</f>
        <v>2.3015608669613914</v>
      </c>
      <c r="BO12" s="98">
        <f>AVERAGE(AP51:AP54)</f>
        <v>12.158918212753967</v>
      </c>
      <c r="BP12" s="94">
        <f>(STDEV(AP51:AP54)/BO12)*100</f>
        <v>4.9441574028163497</v>
      </c>
      <c r="BQ12" s="98">
        <f>AVERAGE(AQ51:AQ54)</f>
        <v>13.550228668140225</v>
      </c>
      <c r="BR12" s="94">
        <f>(STDEV(AQ51:AQ54)/BQ12)*100</f>
        <v>2.2638954834560807</v>
      </c>
      <c r="BS12" s="98">
        <f>AVERAGE(AR51:AR54)</f>
        <v>12.281559876228597</v>
      </c>
      <c r="BT12" s="94">
        <f>(STDEV(AR51:AR54)/BS12)*100</f>
        <v>4.683491446904064</v>
      </c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</row>
    <row r="13" spans="1:93" x14ac:dyDescent="0.25">
      <c r="A13">
        <v>7</v>
      </c>
      <c r="B13" s="13" t="s">
        <v>30</v>
      </c>
      <c r="C13" s="21">
        <v>145847</v>
      </c>
      <c r="D13" s="13">
        <v>14694</v>
      </c>
      <c r="E13">
        <v>115745</v>
      </c>
      <c r="F13" s="13">
        <v>11653</v>
      </c>
      <c r="G13" s="19">
        <v>143355</v>
      </c>
      <c r="H13" s="21">
        <f t="shared" si="6"/>
        <v>0.79304478018238733</v>
      </c>
      <c r="K13" s="21">
        <v>7</v>
      </c>
      <c r="L13" s="21" t="s">
        <v>30</v>
      </c>
      <c r="M13" s="21">
        <v>14694</v>
      </c>
      <c r="N13" s="21">
        <f t="shared" si="0"/>
        <v>13291.796815459373</v>
      </c>
      <c r="O13">
        <v>1</v>
      </c>
      <c r="P13">
        <f t="shared" si="1"/>
        <v>10</v>
      </c>
      <c r="Q13">
        <f t="shared" si="2"/>
        <v>8.3518163746630716</v>
      </c>
      <c r="R13">
        <f t="shared" si="3"/>
        <v>1.6481836253369284</v>
      </c>
      <c r="S13">
        <f t="shared" si="4"/>
        <v>0.16481836253369284</v>
      </c>
      <c r="U13" s="53" t="s">
        <v>147</v>
      </c>
      <c r="V13" s="54">
        <f>V11-V7-V12</f>
        <v>104.45283018867924</v>
      </c>
      <c r="W13" s="54">
        <f t="shared" ref="W13:X13" si="35">W11-W7-W12</f>
        <v>105.59663865546219</v>
      </c>
      <c r="X13" s="55">
        <f t="shared" si="35"/>
        <v>106.45283018867924</v>
      </c>
      <c r="AA13">
        <v>14</v>
      </c>
      <c r="AB13" s="71" t="s">
        <v>37</v>
      </c>
      <c r="AC13" s="72">
        <v>361</v>
      </c>
      <c r="AD13" s="86">
        <f t="shared" ref="AD13:AD19" si="36">IF($AC$13&gt;0, AC13-$AC$13, AC13)</f>
        <v>0</v>
      </c>
      <c r="AE13" s="86">
        <v>0</v>
      </c>
      <c r="AF13" s="72">
        <f t="shared" si="15"/>
        <v>0</v>
      </c>
      <c r="AG13" s="86">
        <f t="shared" si="16"/>
        <v>0</v>
      </c>
      <c r="AH13" s="86">
        <f t="shared" si="17"/>
        <v>0</v>
      </c>
      <c r="AI13" s="72">
        <f t="shared" si="7"/>
        <v>0</v>
      </c>
      <c r="AJ13" s="71">
        <f t="shared" si="30"/>
        <v>0</v>
      </c>
      <c r="AK13" s="86">
        <f t="shared" si="31"/>
        <v>0</v>
      </c>
      <c r="AL13" s="86">
        <f t="shared" si="18"/>
        <v>0</v>
      </c>
      <c r="AM13" s="86">
        <f t="shared" si="32"/>
        <v>0</v>
      </c>
      <c r="AN13" s="72">
        <f t="shared" si="19"/>
        <v>0</v>
      </c>
      <c r="AO13" s="86">
        <f t="shared" si="20"/>
        <v>0</v>
      </c>
      <c r="AP13" s="86">
        <f t="shared" si="21"/>
        <v>0</v>
      </c>
      <c r="AQ13" s="86">
        <f t="shared" si="33"/>
        <v>0</v>
      </c>
      <c r="AR13" s="86">
        <f t="shared" si="22"/>
        <v>0</v>
      </c>
      <c r="AT13" s="71" t="s">
        <v>37</v>
      </c>
      <c r="AU13" s="86">
        <f t="shared" si="8"/>
        <v>0</v>
      </c>
      <c r="AV13" s="86">
        <v>0</v>
      </c>
      <c r="AW13" s="72">
        <f t="shared" si="23"/>
        <v>0</v>
      </c>
      <c r="AX13" s="86">
        <f t="shared" si="24"/>
        <v>0</v>
      </c>
      <c r="AY13" s="86">
        <f t="shared" si="25"/>
        <v>0</v>
      </c>
      <c r="AZ13" s="72">
        <f t="shared" si="9"/>
        <v>0</v>
      </c>
      <c r="BA13" s="71">
        <f t="shared" si="34"/>
        <v>0</v>
      </c>
      <c r="BB13" s="86">
        <f t="shared" si="10"/>
        <v>0</v>
      </c>
      <c r="BC13" s="86">
        <f t="shared" si="11"/>
        <v>0</v>
      </c>
      <c r="BD13" s="86">
        <f t="shared" si="12"/>
        <v>0</v>
      </c>
      <c r="BE13" s="72">
        <f t="shared" si="13"/>
        <v>0</v>
      </c>
      <c r="BF13" s="86">
        <f t="shared" si="26"/>
        <v>0</v>
      </c>
      <c r="BG13" s="86">
        <f t="shared" si="27"/>
        <v>0</v>
      </c>
      <c r="BH13" s="86">
        <f t="shared" si="28"/>
        <v>0</v>
      </c>
      <c r="BI13" s="86">
        <f t="shared" si="29"/>
        <v>0</v>
      </c>
      <c r="BK13" s="9"/>
      <c r="BL13" s="11" t="s">
        <v>207</v>
      </c>
      <c r="BM13" s="95">
        <f>AVERAGE(AO57:AO60)</f>
        <v>13.490851544633447</v>
      </c>
      <c r="BN13" s="96">
        <f>(STDEV(AO57:AO60)/BM13)*100</f>
        <v>0.98686502757418193</v>
      </c>
      <c r="BO13" s="97">
        <f>AVERAGE(AP57:AP60)</f>
        <v>12.086279441934398</v>
      </c>
      <c r="BP13" s="96">
        <f>(STDEV(AP57:AP60)/BO13)*100</f>
        <v>2.1267695099144985</v>
      </c>
      <c r="BQ13" s="97">
        <f>AVERAGE(AQ57:AQ60)</f>
        <v>13.513161939548148</v>
      </c>
      <c r="BR13" s="96">
        <f>(STDEV(AQ57:AQ60)/BQ13)*100</f>
        <v>0.97067053552153582</v>
      </c>
      <c r="BS13" s="97">
        <f>AVERAGE(AR57:AR60)</f>
        <v>12.212056720767253</v>
      </c>
      <c r="BT13" s="96">
        <f>(STDEV(AR57:AR60)/BS13)*100</f>
        <v>2.0140037714751529</v>
      </c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</row>
    <row r="14" spans="1:93" ht="15.75" thickBot="1" x14ac:dyDescent="0.3">
      <c r="A14">
        <v>8</v>
      </c>
      <c r="B14" s="13" t="s">
        <v>31</v>
      </c>
      <c r="C14" s="21">
        <v>167133</v>
      </c>
      <c r="D14" s="13">
        <v>16948</v>
      </c>
      <c r="E14">
        <v>131101</v>
      </c>
      <c r="F14" s="13">
        <v>13298</v>
      </c>
      <c r="G14" s="19">
        <v>158674</v>
      </c>
      <c r="H14" s="21">
        <f t="shared" si="6"/>
        <v>0.78463535520415384</v>
      </c>
      <c r="K14" s="21">
        <v>8</v>
      </c>
      <c r="L14" s="21" t="s">
        <v>31</v>
      </c>
      <c r="M14" s="21">
        <v>16948</v>
      </c>
      <c r="N14" s="21">
        <f t="shared" si="0"/>
        <v>15124.520755131751</v>
      </c>
      <c r="O14">
        <v>1</v>
      </c>
      <c r="P14">
        <f t="shared" si="1"/>
        <v>10</v>
      </c>
      <c r="Q14">
        <f t="shared" si="2"/>
        <v>8.3518163746630716</v>
      </c>
      <c r="R14">
        <f t="shared" si="3"/>
        <v>1.6481836253369284</v>
      </c>
      <c r="S14">
        <f t="shared" si="4"/>
        <v>0.16481836253369284</v>
      </c>
      <c r="AA14">
        <v>15</v>
      </c>
      <c r="AB14" s="19" t="s">
        <v>38</v>
      </c>
      <c r="AC14" s="13">
        <v>1247</v>
      </c>
      <c r="AD14">
        <f t="shared" si="36"/>
        <v>886</v>
      </c>
      <c r="AE14">
        <v>2.5</v>
      </c>
      <c r="AF14" s="30">
        <f t="shared" si="15"/>
        <v>8.6778113866009289E-3</v>
      </c>
      <c r="AG14">
        <f t="shared" si="16"/>
        <v>20</v>
      </c>
      <c r="AH14">
        <f t="shared" si="17"/>
        <v>0.90642195917401402</v>
      </c>
      <c r="AI14" s="13">
        <f t="shared" si="7"/>
        <v>0.11596077957576208</v>
      </c>
      <c r="AJ14" s="19">
        <f t="shared" si="30"/>
        <v>1.449509744697026E-2</v>
      </c>
      <c r="AK14">
        <f t="shared" si="31"/>
        <v>0.23991989705167918</v>
      </c>
      <c r="AL14">
        <f t="shared" si="18"/>
        <v>0.36041647099747487</v>
      </c>
      <c r="AM14">
        <f t="shared" si="32"/>
        <v>0.23267530421876659</v>
      </c>
      <c r="AN14" s="13">
        <f t="shared" si="19"/>
        <v>0.34330188793404359</v>
      </c>
      <c r="AO14">
        <f t="shared" si="20"/>
        <v>18.737697364198546</v>
      </c>
      <c r="AP14">
        <f t="shared" si="21"/>
        <v>18.617200790252749</v>
      </c>
      <c r="AQ14">
        <f t="shared" si="33"/>
        <v>18.744941957031457</v>
      </c>
      <c r="AR14">
        <f t="shared" si="22"/>
        <v>18.634315373316181</v>
      </c>
      <c r="AT14" s="19" t="s">
        <v>38</v>
      </c>
      <c r="AU14">
        <f t="shared" si="8"/>
        <v>722.64099806831689</v>
      </c>
      <c r="AV14">
        <v>2.5</v>
      </c>
      <c r="AW14" s="30">
        <f t="shared" si="23"/>
        <v>7.9282851551980491E-3</v>
      </c>
      <c r="AX14">
        <f t="shared" si="24"/>
        <v>20</v>
      </c>
      <c r="AY14">
        <f t="shared" si="25"/>
        <v>0.82813182300332833</v>
      </c>
      <c r="AZ14" s="13">
        <f t="shared" si="9"/>
        <v>0.10594493085148995</v>
      </c>
      <c r="BA14" s="19">
        <f t="shared" si="34"/>
        <v>1.3243116356436244E-2</v>
      </c>
      <c r="BB14">
        <f t="shared" si="10"/>
        <v>1.7535788907959104</v>
      </c>
      <c r="BC14">
        <f t="shared" si="11"/>
        <v>2.6342905411475326</v>
      </c>
      <c r="BD14">
        <f t="shared" si="12"/>
        <v>1.7006280300281169</v>
      </c>
      <c r="BE14" s="13">
        <f t="shared" si="13"/>
        <v>2.5091997422866879</v>
      </c>
      <c r="BF14">
        <f t="shared" si="26"/>
        <v>17.312344355349271</v>
      </c>
      <c r="BG14">
        <f t="shared" si="27"/>
        <v>16.43163270499765</v>
      </c>
      <c r="BH14">
        <f t="shared" si="28"/>
        <v>17.365295216117065</v>
      </c>
      <c r="BI14">
        <f t="shared" si="29"/>
        <v>16.556723503858493</v>
      </c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</row>
    <row r="15" spans="1:93" x14ac:dyDescent="0.25">
      <c r="A15" s="10">
        <v>9</v>
      </c>
      <c r="B15" s="11" t="s">
        <v>36</v>
      </c>
      <c r="C15" s="10"/>
      <c r="D15" s="11"/>
      <c r="E15" s="10"/>
      <c r="F15" s="11"/>
      <c r="G15" s="61">
        <v>164987</v>
      </c>
      <c r="H15" s="21"/>
      <c r="K15" s="21">
        <v>9</v>
      </c>
      <c r="L15" s="21" t="s">
        <v>36</v>
      </c>
      <c r="M15" s="17">
        <v>0</v>
      </c>
      <c r="N15" s="21">
        <f t="shared" si="0"/>
        <v>0</v>
      </c>
      <c r="O15"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AA15">
        <v>16</v>
      </c>
      <c r="AB15" s="19" t="s">
        <v>39</v>
      </c>
      <c r="AC15" s="13">
        <v>1266</v>
      </c>
      <c r="AD15">
        <f t="shared" si="36"/>
        <v>905</v>
      </c>
      <c r="AE15">
        <v>2.5</v>
      </c>
      <c r="AF15" s="30">
        <f t="shared" si="15"/>
        <v>8.8804590767974922E-3</v>
      </c>
      <c r="AG15">
        <f t="shared" si="16"/>
        <v>20</v>
      </c>
      <c r="AH15">
        <f t="shared" si="17"/>
        <v>0.92758908394624373</v>
      </c>
      <c r="AI15" s="13">
        <f t="shared" si="7"/>
        <v>0.11866874165139617</v>
      </c>
      <c r="AJ15" s="19">
        <f t="shared" si="30"/>
        <v>1.4833592706424521E-2</v>
      </c>
      <c r="AK15">
        <f t="shared" si="31"/>
        <v>0.24552260155903816</v>
      </c>
      <c r="AL15">
        <f t="shared" si="18"/>
        <v>0.36883305924796495</v>
      </c>
      <c r="AM15">
        <f t="shared" si="32"/>
        <v>0.2381088301235264</v>
      </c>
      <c r="AN15" s="13">
        <f t="shared" si="19"/>
        <v>0.35131880965895834</v>
      </c>
      <c r="AO15">
        <f t="shared" si="20"/>
        <v>18.708219572843323</v>
      </c>
      <c r="AP15">
        <f t="shared" si="21"/>
        <v>18.584909115154396</v>
      </c>
      <c r="AQ15">
        <f t="shared" si="33"/>
        <v>18.715633344278835</v>
      </c>
      <c r="AR15">
        <f t="shared" si="22"/>
        <v>18.602423364743402</v>
      </c>
      <c r="AT15" s="19" t="s">
        <v>39</v>
      </c>
      <c r="AU15">
        <f t="shared" si="8"/>
        <v>729.17488839544581</v>
      </c>
      <c r="AV15">
        <v>2.5</v>
      </c>
      <c r="AW15" s="30">
        <f t="shared" si="23"/>
        <v>8.0053651654280016E-3</v>
      </c>
      <c r="AX15">
        <f t="shared" si="24"/>
        <v>20</v>
      </c>
      <c r="AY15">
        <f t="shared" si="25"/>
        <v>0.83618304822281919</v>
      </c>
      <c r="AZ15" s="13">
        <f t="shared" si="9"/>
        <v>0.1069749437980463</v>
      </c>
      <c r="BA15" s="19">
        <f t="shared" si="34"/>
        <v>1.3371867974755787E-2</v>
      </c>
      <c r="BB15">
        <f t="shared" si="10"/>
        <v>1.7706274550434966</v>
      </c>
      <c r="BC15">
        <f t="shared" si="11"/>
        <v>2.6599015197999836</v>
      </c>
      <c r="BD15">
        <f t="shared" si="12"/>
        <v>1.7171617978462392</v>
      </c>
      <c r="BE15" s="13">
        <f t="shared" si="13"/>
        <v>2.5335945689129287</v>
      </c>
      <c r="BF15">
        <f t="shared" si="26"/>
        <v>17.28621455293564</v>
      </c>
      <c r="BG15">
        <f t="shared" si="27"/>
        <v>16.396940488179151</v>
      </c>
      <c r="BH15">
        <f t="shared" si="28"/>
        <v>17.339680210132897</v>
      </c>
      <c r="BI15">
        <f t="shared" si="29"/>
        <v>16.523247439066207</v>
      </c>
      <c r="BK15" s="66" t="s">
        <v>217</v>
      </c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</row>
    <row r="16" spans="1:93" x14ac:dyDescent="0.25">
      <c r="A16">
        <v>10</v>
      </c>
      <c r="B16" s="19" t="s">
        <v>32</v>
      </c>
      <c r="C16" s="21"/>
      <c r="D16" s="13">
        <v>370</v>
      </c>
      <c r="F16" s="13">
        <v>268</v>
      </c>
      <c r="G16" s="19"/>
      <c r="H16" s="21">
        <f t="shared" si="6"/>
        <v>0.72432432432432436</v>
      </c>
      <c r="K16" s="21">
        <v>21</v>
      </c>
      <c r="L16" s="21" t="s">
        <v>44</v>
      </c>
      <c r="M16" s="17">
        <v>821</v>
      </c>
      <c r="N16" s="21">
        <f t="shared" si="0"/>
        <v>623.63194426516827</v>
      </c>
      <c r="O16">
        <v>0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0</v>
      </c>
      <c r="AA16">
        <v>17</v>
      </c>
      <c r="AB16" s="19" t="s">
        <v>40</v>
      </c>
      <c r="AC16" s="13">
        <v>1354</v>
      </c>
      <c r="AD16">
        <f t="shared" si="36"/>
        <v>993</v>
      </c>
      <c r="AE16">
        <v>2.5</v>
      </c>
      <c r="AF16" s="30">
        <f t="shared" si="15"/>
        <v>9.8190378524447303E-3</v>
      </c>
      <c r="AG16">
        <f t="shared" si="16"/>
        <v>20</v>
      </c>
      <c r="AH16">
        <f t="shared" si="17"/>
        <v>1.0256262934176232</v>
      </c>
      <c r="AI16" s="13">
        <f t="shared" si="7"/>
        <v>0.13121088179117507</v>
      </c>
      <c r="AJ16" s="19">
        <f t="shared" si="30"/>
        <v>1.6401360223896884E-2</v>
      </c>
      <c r="AK16">
        <f t="shared" si="31"/>
        <v>0.27147196980364807</v>
      </c>
      <c r="AL16">
        <f t="shared" si="18"/>
        <v>0.40781515219760339</v>
      </c>
      <c r="AM16">
        <f t="shared" si="32"/>
        <v>0.26327463431399278</v>
      </c>
      <c r="AN16" s="13">
        <f t="shared" si="19"/>
        <v>0.38844981554277375</v>
      </c>
      <c r="AO16">
        <f t="shared" si="20"/>
        <v>18.571690854987555</v>
      </c>
      <c r="AP16">
        <f t="shared" si="21"/>
        <v>18.435347672593597</v>
      </c>
      <c r="AQ16">
        <f t="shared" si="33"/>
        <v>18.57988819047721</v>
      </c>
      <c r="AR16">
        <f t="shared" si="22"/>
        <v>18.45471300924843</v>
      </c>
      <c r="AT16" s="19" t="s">
        <v>40</v>
      </c>
      <c r="AU16">
        <f t="shared" si="8"/>
        <v>790.47959010193722</v>
      </c>
      <c r="AV16">
        <v>2.5</v>
      </c>
      <c r="AW16" s="30">
        <f t="shared" si="23"/>
        <v>8.7285739733660057E-3</v>
      </c>
      <c r="AX16">
        <f t="shared" si="24"/>
        <v>20</v>
      </c>
      <c r="AY16">
        <f t="shared" si="25"/>
        <v>0.91172425502932464</v>
      </c>
      <c r="AZ16" s="13">
        <f t="shared" si="9"/>
        <v>0.11663911526114579</v>
      </c>
      <c r="BA16" s="19">
        <f t="shared" si="34"/>
        <v>1.4579889407643223E-2</v>
      </c>
      <c r="BB16">
        <f t="shared" si="10"/>
        <v>1.930586850349338</v>
      </c>
      <c r="BC16">
        <f t="shared" si="11"/>
        <v>2.9001983916621912</v>
      </c>
      <c r="BD16">
        <f t="shared" si="12"/>
        <v>1.8722910781719122</v>
      </c>
      <c r="BE16" s="13">
        <f t="shared" si="13"/>
        <v>2.7624808058449766</v>
      </c>
      <c r="BF16">
        <f t="shared" si="26"/>
        <v>17.041049779360193</v>
      </c>
      <c r="BG16">
        <f t="shared" si="27"/>
        <v>16.071438238047339</v>
      </c>
      <c r="BH16">
        <f t="shared" si="28"/>
        <v>17.099345551537617</v>
      </c>
      <c r="BI16">
        <f t="shared" si="29"/>
        <v>16.209155823864553</v>
      </c>
      <c r="BK16" s="100" t="s">
        <v>211</v>
      </c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</row>
    <row r="17" spans="1:93" x14ac:dyDescent="0.25">
      <c r="A17">
        <v>11</v>
      </c>
      <c r="B17" s="19" t="s">
        <v>33</v>
      </c>
      <c r="C17" s="21"/>
      <c r="D17" s="13">
        <v>860</v>
      </c>
      <c r="F17" s="13">
        <v>784</v>
      </c>
      <c r="G17" s="19"/>
      <c r="H17" s="21">
        <f t="shared" si="6"/>
        <v>0.91162790697674423</v>
      </c>
      <c r="K17" s="21">
        <v>22</v>
      </c>
      <c r="L17" s="21" t="s">
        <v>45</v>
      </c>
      <c r="M17" s="21">
        <v>909</v>
      </c>
      <c r="N17" s="21">
        <f t="shared" si="0"/>
        <v>682.66194095856599</v>
      </c>
      <c r="O17">
        <v>0.05</v>
      </c>
      <c r="P17">
        <f t="shared" si="1"/>
        <v>0.5</v>
      </c>
      <c r="Q17">
        <f t="shared" si="2"/>
        <v>0.41759081873315362</v>
      </c>
      <c r="R17">
        <f t="shared" si="3"/>
        <v>8.2409181266846376E-2</v>
      </c>
      <c r="S17">
        <f t="shared" si="4"/>
        <v>8.2409181266846383E-3</v>
      </c>
      <c r="AA17">
        <v>18</v>
      </c>
      <c r="AB17" s="19" t="s">
        <v>41</v>
      </c>
      <c r="AC17" s="13">
        <v>1158</v>
      </c>
      <c r="AD17">
        <f t="shared" si="36"/>
        <v>797</v>
      </c>
      <c r="AE17">
        <v>2.5</v>
      </c>
      <c r="AF17" s="30">
        <f t="shared" si="15"/>
        <v>7.728566943048608E-3</v>
      </c>
      <c r="AG17">
        <f t="shared" si="16"/>
        <v>20</v>
      </c>
      <c r="AH17">
        <f t="shared" si="17"/>
        <v>0.80727069050409606</v>
      </c>
      <c r="AI17" s="13">
        <f t="shared" si="7"/>
        <v>0.10327611511621294</v>
      </c>
      <c r="AJ17" s="19">
        <f t="shared" si="30"/>
        <v>1.2909514389526618E-2</v>
      </c>
      <c r="AK17">
        <f t="shared" si="31"/>
        <v>0.21367564962247143</v>
      </c>
      <c r="AL17">
        <f t="shared" si="18"/>
        <v>0.3209913997188632</v>
      </c>
      <c r="AM17">
        <f t="shared" si="32"/>
        <v>0.20722352498068128</v>
      </c>
      <c r="AN17" s="13">
        <f t="shared" si="19"/>
        <v>0.30574893880154841</v>
      </c>
      <c r="AO17">
        <f t="shared" si="20"/>
        <v>18.87577754475722</v>
      </c>
      <c r="AP17">
        <f t="shared" si="21"/>
        <v>18.768461794660826</v>
      </c>
      <c r="AQ17">
        <f t="shared" si="33"/>
        <v>18.88222966939901</v>
      </c>
      <c r="AR17">
        <f t="shared" si="22"/>
        <v>18.783704255578144</v>
      </c>
      <c r="AT17" s="19" t="s">
        <v>41</v>
      </c>
      <c r="AU17">
        <f t="shared" si="8"/>
        <v>626.93213748178812</v>
      </c>
      <c r="AV17">
        <v>2.5</v>
      </c>
      <c r="AW17" s="30">
        <f t="shared" si="23"/>
        <v>6.7992120327925168E-3</v>
      </c>
      <c r="AX17">
        <f t="shared" si="24"/>
        <v>20</v>
      </c>
      <c r="AY17">
        <f t="shared" si="25"/>
        <v>0.7101969398781014</v>
      </c>
      <c r="AZ17" s="13">
        <f t="shared" si="9"/>
        <v>9.0857232624452375E-2</v>
      </c>
      <c r="BA17" s="19">
        <f t="shared" si="34"/>
        <v>1.1357154078056547E-2</v>
      </c>
      <c r="BB17">
        <f t="shared" si="10"/>
        <v>1.5038503864777644</v>
      </c>
      <c r="BC17">
        <f t="shared" si="11"/>
        <v>2.2591392204780498</v>
      </c>
      <c r="BD17">
        <f t="shared" si="12"/>
        <v>1.4584402980877096</v>
      </c>
      <c r="BE17" s="13">
        <f t="shared" si="13"/>
        <v>2.1518626974775299</v>
      </c>
      <c r="BF17">
        <f t="shared" si="26"/>
        <v>17.695095441019681</v>
      </c>
      <c r="BG17">
        <f t="shared" si="27"/>
        <v>16.939806607019396</v>
      </c>
      <c r="BH17">
        <f t="shared" si="28"/>
        <v>17.740505529409738</v>
      </c>
      <c r="BI17">
        <f t="shared" si="29"/>
        <v>17.047083130019917</v>
      </c>
      <c r="BK17" s="101" t="s">
        <v>212</v>
      </c>
      <c r="BM17" s="17"/>
      <c r="BN17" s="17"/>
      <c r="BO17" s="99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</row>
    <row r="18" spans="1:93" x14ac:dyDescent="0.25">
      <c r="A18">
        <v>12</v>
      </c>
      <c r="B18" s="19" t="s">
        <v>34</v>
      </c>
      <c r="C18" s="21">
        <v>13164</v>
      </c>
      <c r="D18" s="13">
        <v>1443</v>
      </c>
      <c r="F18" s="13">
        <v>1230</v>
      </c>
      <c r="G18" s="19"/>
      <c r="H18" s="21">
        <f t="shared" si="6"/>
        <v>0.85239085239085244</v>
      </c>
      <c r="K18" s="21">
        <v>23</v>
      </c>
      <c r="L18" s="21" t="s">
        <v>46</v>
      </c>
      <c r="M18" s="21">
        <v>947</v>
      </c>
      <c r="N18" s="21">
        <f t="shared" si="0"/>
        <v>703.24076053369072</v>
      </c>
      <c r="O18">
        <v>0.05</v>
      </c>
      <c r="P18">
        <f t="shared" si="1"/>
        <v>0.5</v>
      </c>
      <c r="Q18">
        <f t="shared" si="2"/>
        <v>0.41759081873315362</v>
      </c>
      <c r="R18">
        <f t="shared" si="3"/>
        <v>8.2409181266846376E-2</v>
      </c>
      <c r="S18">
        <f t="shared" si="4"/>
        <v>8.2409181266846383E-3</v>
      </c>
      <c r="AA18">
        <v>19</v>
      </c>
      <c r="AB18" s="19" t="s">
        <v>42</v>
      </c>
      <c r="AC18" s="13">
        <v>1103</v>
      </c>
      <c r="AD18">
        <f t="shared" si="36"/>
        <v>742</v>
      </c>
      <c r="AE18">
        <v>2.5</v>
      </c>
      <c r="AF18" s="30">
        <f t="shared" si="15"/>
        <v>7.1419552082690836E-3</v>
      </c>
      <c r="AG18">
        <f t="shared" si="16"/>
        <v>20</v>
      </c>
      <c r="AH18">
        <f t="shared" si="17"/>
        <v>0.74599743458448387</v>
      </c>
      <c r="AI18" s="13">
        <f t="shared" si="7"/>
        <v>9.5437277528851103E-2</v>
      </c>
      <c r="AJ18" s="19">
        <f t="shared" si="30"/>
        <v>1.1929659691106388E-2</v>
      </c>
      <c r="AK18">
        <f t="shared" si="31"/>
        <v>0.19745729446959018</v>
      </c>
      <c r="AL18">
        <f t="shared" si="18"/>
        <v>0.29662759162533914</v>
      </c>
      <c r="AM18">
        <f t="shared" si="32"/>
        <v>0.19149489736163972</v>
      </c>
      <c r="AN18" s="13">
        <f t="shared" si="19"/>
        <v>0.28254206012416366</v>
      </c>
      <c r="AO18">
        <f t="shared" si="20"/>
        <v>18.961107993417073</v>
      </c>
      <c r="AP18">
        <f t="shared" si="21"/>
        <v>18.861937696261325</v>
      </c>
      <c r="AQ18">
        <f t="shared" si="33"/>
        <v>18.967070390525024</v>
      </c>
      <c r="AR18">
        <f t="shared" si="22"/>
        <v>18.876023227762502</v>
      </c>
      <c r="AT18" s="19" t="s">
        <v>42</v>
      </c>
      <c r="AU18">
        <f t="shared" si="8"/>
        <v>576.83015176771028</v>
      </c>
      <c r="AV18">
        <v>2.5</v>
      </c>
      <c r="AW18" s="30">
        <f t="shared" si="23"/>
        <v>6.2081611614077468E-3</v>
      </c>
      <c r="AX18">
        <f t="shared" si="24"/>
        <v>20</v>
      </c>
      <c r="AY18">
        <f t="shared" si="25"/>
        <v>0.64846000357647704</v>
      </c>
      <c r="AZ18" s="13">
        <f t="shared" si="9"/>
        <v>8.2959075271028054E-2</v>
      </c>
      <c r="BA18" s="19">
        <f t="shared" si="34"/>
        <v>1.0369884408878507E-2</v>
      </c>
      <c r="BB18">
        <f t="shared" si="10"/>
        <v>1.3731216965835411</v>
      </c>
      <c r="BC18">
        <f t="shared" si="11"/>
        <v>2.0627537866361445</v>
      </c>
      <c r="BD18">
        <f t="shared" si="12"/>
        <v>1.3316590762505423</v>
      </c>
      <c r="BE18" s="13">
        <f t="shared" si="13"/>
        <v>1.9648027387190283</v>
      </c>
      <c r="BF18">
        <f t="shared" si="26"/>
        <v>17.895459224568953</v>
      </c>
      <c r="BG18">
        <f t="shared" si="27"/>
        <v>17.205827134516351</v>
      </c>
      <c r="BH18">
        <f t="shared" si="28"/>
        <v>17.936921844901953</v>
      </c>
      <c r="BI18">
        <f t="shared" si="29"/>
        <v>17.303778182433465</v>
      </c>
      <c r="BK18" s="102" t="s">
        <v>175</v>
      </c>
      <c r="BL18" s="7" t="s">
        <v>203</v>
      </c>
      <c r="BM18" s="3" t="s">
        <v>197</v>
      </c>
      <c r="BN18" s="7"/>
      <c r="BO18" s="3" t="s">
        <v>198</v>
      </c>
      <c r="BP18" s="7"/>
      <c r="BQ18" s="3" t="s">
        <v>199</v>
      </c>
      <c r="BR18" s="7"/>
      <c r="BS18" s="3" t="s">
        <v>200</v>
      </c>
      <c r="BT18" s="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</row>
    <row r="19" spans="1:93" x14ac:dyDescent="0.25">
      <c r="A19" s="10">
        <v>13</v>
      </c>
      <c r="B19" s="20" t="s">
        <v>35</v>
      </c>
      <c r="C19" s="10"/>
      <c r="D19" s="11">
        <v>1042</v>
      </c>
      <c r="E19" s="10"/>
      <c r="F19" s="11">
        <v>940</v>
      </c>
      <c r="G19" s="20"/>
      <c r="H19" s="21">
        <f t="shared" si="6"/>
        <v>0.90211132437619956</v>
      </c>
      <c r="AA19" s="10">
        <v>20</v>
      </c>
      <c r="AB19" s="20" t="s">
        <v>43</v>
      </c>
      <c r="AC19" s="20">
        <v>1402</v>
      </c>
      <c r="AD19" s="9">
        <f t="shared" si="36"/>
        <v>1041</v>
      </c>
      <c r="AE19" s="10">
        <v>2.5</v>
      </c>
      <c r="AF19" s="106">
        <f t="shared" si="15"/>
        <v>1.0330989911888678E-2</v>
      </c>
      <c r="AG19" s="10">
        <f t="shared" si="16"/>
        <v>20</v>
      </c>
      <c r="AH19" s="10">
        <f t="shared" si="17"/>
        <v>1.0791011349474664</v>
      </c>
      <c r="AI19" s="11">
        <f t="shared" si="7"/>
        <v>0.13805204914014538</v>
      </c>
      <c r="AJ19" s="20">
        <f t="shared" si="30"/>
        <v>1.7256506142518172E-2</v>
      </c>
      <c r="AK19" s="10">
        <f t="shared" si="31"/>
        <v>0.28562617066434437</v>
      </c>
      <c r="AL19" s="10">
        <f t="shared" si="18"/>
        <v>0.42907811198831525</v>
      </c>
      <c r="AM19" s="10">
        <f t="shared" si="32"/>
        <v>0.27700143659970167</v>
      </c>
      <c r="AN19" s="11">
        <f t="shared" si="19"/>
        <v>0.40870309147940037</v>
      </c>
      <c r="AO19" s="9">
        <f t="shared" si="20"/>
        <v>18.497220645248042</v>
      </c>
      <c r="AP19" s="10">
        <f t="shared" si="21"/>
        <v>18.353768703924072</v>
      </c>
      <c r="AQ19" s="10">
        <f t="shared" si="33"/>
        <v>18.505845379312685</v>
      </c>
      <c r="AR19" s="10">
        <f t="shared" si="22"/>
        <v>18.374143724432987</v>
      </c>
      <c r="AS19" s="17"/>
      <c r="AT19" s="20" t="s">
        <v>43</v>
      </c>
      <c r="AU19" s="10">
        <f t="shared" si="8"/>
        <v>799.90098226500015</v>
      </c>
      <c r="AV19" s="10">
        <v>2.5</v>
      </c>
      <c r="AW19" s="22">
        <f t="shared" si="23"/>
        <v>8.8397177128460031E-3</v>
      </c>
      <c r="AX19" s="10">
        <f t="shared" si="24"/>
        <v>20</v>
      </c>
      <c r="AY19" s="10">
        <f t="shared" si="25"/>
        <v>0.92333353317576361</v>
      </c>
      <c r="AZ19" s="11">
        <f t="shared" si="9"/>
        <v>0.11812431862647432</v>
      </c>
      <c r="BA19" s="20">
        <f t="shared" si="34"/>
        <v>1.476553982830929E-2</v>
      </c>
      <c r="BB19" s="10">
        <f t="shared" si="10"/>
        <v>1.9551696335844315</v>
      </c>
      <c r="BC19" s="10">
        <f t="shared" si="11"/>
        <v>2.9371275504763088</v>
      </c>
      <c r="BD19" s="10">
        <f t="shared" si="12"/>
        <v>1.8961315625921658</v>
      </c>
      <c r="BE19" s="11">
        <f t="shared" si="13"/>
        <v>2.7976563623494179</v>
      </c>
      <c r="BF19" s="9">
        <f t="shared" si="26"/>
        <v>17.003372514613332</v>
      </c>
      <c r="BG19" s="10">
        <f t="shared" si="27"/>
        <v>16.021414597721453</v>
      </c>
      <c r="BH19" s="10">
        <f t="shared" si="28"/>
        <v>17.062410585605598</v>
      </c>
      <c r="BI19" s="10">
        <f t="shared" si="29"/>
        <v>16.160885785848343</v>
      </c>
      <c r="BK19" s="103" t="s">
        <v>213</v>
      </c>
      <c r="BL19" s="11"/>
      <c r="BM19" s="9" t="s">
        <v>208</v>
      </c>
      <c r="BN19" s="11" t="s">
        <v>210</v>
      </c>
      <c r="BO19" s="10" t="s">
        <v>208</v>
      </c>
      <c r="BP19" s="11" t="s">
        <v>210</v>
      </c>
      <c r="BQ19" s="10" t="s">
        <v>208</v>
      </c>
      <c r="BR19" s="11" t="s">
        <v>210</v>
      </c>
      <c r="BS19" s="10" t="s">
        <v>208</v>
      </c>
      <c r="BT19" s="11" t="s">
        <v>210</v>
      </c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</row>
    <row r="20" spans="1:93" x14ac:dyDescent="0.25">
      <c r="A20">
        <v>14</v>
      </c>
      <c r="B20" s="19" t="s">
        <v>37</v>
      </c>
      <c r="C20" s="21"/>
      <c r="D20" s="13">
        <v>361</v>
      </c>
      <c r="F20" s="13"/>
      <c r="G20" s="19"/>
      <c r="H20" s="21">
        <f t="shared" si="6"/>
        <v>0</v>
      </c>
      <c r="N20" s="65" t="s">
        <v>165</v>
      </c>
      <c r="AA20">
        <v>24</v>
      </c>
      <c r="AB20" s="71" t="s">
        <v>47</v>
      </c>
      <c r="AC20" s="72">
        <v>281</v>
      </c>
      <c r="AD20" s="86">
        <f>IF($AC$20&gt;0, AC20-$AC$20, AC20)</f>
        <v>0</v>
      </c>
      <c r="AE20" s="86">
        <v>0</v>
      </c>
      <c r="AF20" s="72">
        <f t="shared" si="15"/>
        <v>0</v>
      </c>
      <c r="AG20" s="86">
        <f t="shared" si="16"/>
        <v>0</v>
      </c>
      <c r="AH20" s="86">
        <f t="shared" si="17"/>
        <v>0</v>
      </c>
      <c r="AI20" s="72">
        <f t="shared" si="7"/>
        <v>0</v>
      </c>
      <c r="AJ20" s="71">
        <f t="shared" si="30"/>
        <v>0</v>
      </c>
      <c r="AK20" s="86">
        <f t="shared" si="31"/>
        <v>0</v>
      </c>
      <c r="AL20" s="86">
        <f t="shared" si="18"/>
        <v>0</v>
      </c>
      <c r="AM20" s="86">
        <f t="shared" si="32"/>
        <v>0</v>
      </c>
      <c r="AN20" s="72">
        <f t="shared" si="19"/>
        <v>0</v>
      </c>
      <c r="AO20" s="86">
        <f t="shared" si="20"/>
        <v>0</v>
      </c>
      <c r="AP20" s="86">
        <f t="shared" si="21"/>
        <v>0</v>
      </c>
      <c r="AQ20" s="86">
        <f t="shared" si="33"/>
        <v>0</v>
      </c>
      <c r="AR20" s="86">
        <f t="shared" si="22"/>
        <v>0</v>
      </c>
      <c r="AT20" s="71" t="s">
        <v>47</v>
      </c>
      <c r="AU20" s="86">
        <f t="shared" si="8"/>
        <v>0</v>
      </c>
      <c r="AV20" s="86">
        <v>0</v>
      </c>
      <c r="AW20" s="72">
        <f t="shared" si="23"/>
        <v>0</v>
      </c>
      <c r="AX20" s="86">
        <f t="shared" si="24"/>
        <v>0</v>
      </c>
      <c r="AY20" s="86">
        <f t="shared" si="25"/>
        <v>0</v>
      </c>
      <c r="AZ20" s="72">
        <f t="shared" si="9"/>
        <v>0</v>
      </c>
      <c r="BA20" s="71">
        <f t="shared" si="34"/>
        <v>0</v>
      </c>
      <c r="BB20" s="86">
        <f t="shared" si="10"/>
        <v>0</v>
      </c>
      <c r="BC20" s="86">
        <f t="shared" si="11"/>
        <v>0</v>
      </c>
      <c r="BD20" s="86">
        <f t="shared" si="12"/>
        <v>0</v>
      </c>
      <c r="BE20" s="72">
        <f t="shared" si="13"/>
        <v>0</v>
      </c>
      <c r="BF20" s="86">
        <f t="shared" si="26"/>
        <v>0</v>
      </c>
      <c r="BG20" s="86">
        <f t="shared" si="27"/>
        <v>0</v>
      </c>
      <c r="BH20" s="86">
        <f t="shared" si="28"/>
        <v>0</v>
      </c>
      <c r="BI20" s="86">
        <f t="shared" si="29"/>
        <v>0</v>
      </c>
      <c r="BK20" s="9" t="s">
        <v>120</v>
      </c>
      <c r="BL20" s="11" t="s">
        <v>209</v>
      </c>
      <c r="BM20" s="4"/>
      <c r="BN20" s="25"/>
      <c r="BO20" s="5"/>
      <c r="BP20" s="25"/>
      <c r="BQ20" s="5"/>
      <c r="BR20" s="25"/>
      <c r="BS20" s="5"/>
      <c r="BT20" s="25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</row>
    <row r="21" spans="1:93" x14ac:dyDescent="0.25">
      <c r="A21">
        <v>15</v>
      </c>
      <c r="B21" s="19" t="s">
        <v>38</v>
      </c>
      <c r="C21" s="21">
        <v>11655</v>
      </c>
      <c r="D21" s="13">
        <v>1247</v>
      </c>
      <c r="F21" s="13">
        <v>1190</v>
      </c>
      <c r="G21" s="19"/>
      <c r="H21" s="21">
        <f t="shared" si="6"/>
        <v>0.95429029671210908</v>
      </c>
      <c r="K21" s="27">
        <v>44412</v>
      </c>
      <c r="L21" s="26" t="s">
        <v>96</v>
      </c>
      <c r="M21" t="s">
        <v>97</v>
      </c>
      <c r="N21" s="65" t="s">
        <v>166</v>
      </c>
      <c r="O21" t="s">
        <v>98</v>
      </c>
      <c r="P21" t="s">
        <v>99</v>
      </c>
      <c r="Q21" t="s">
        <v>100</v>
      </c>
      <c r="R21" t="s">
        <v>101</v>
      </c>
      <c r="S21" t="s">
        <v>102</v>
      </c>
      <c r="AA21">
        <v>25</v>
      </c>
      <c r="AB21" s="19" t="s">
        <v>48</v>
      </c>
      <c r="AC21" s="13">
        <v>1061</v>
      </c>
      <c r="AD21">
        <f>IF($AC$20&gt;0, AC21-$AC$20, AC21)</f>
        <v>780</v>
      </c>
      <c r="AE21">
        <v>2.5</v>
      </c>
      <c r="AF21" s="30">
        <f t="shared" si="15"/>
        <v>7.5472505886622094E-3</v>
      </c>
      <c r="AG21">
        <f t="shared" si="16"/>
        <v>20</v>
      </c>
      <c r="AH21">
        <f t="shared" si="17"/>
        <v>0.78833168412894317</v>
      </c>
      <c r="AI21" s="13">
        <f t="shared" si="7"/>
        <v>0.10085320168011928</v>
      </c>
      <c r="AJ21" s="19">
        <f t="shared" si="30"/>
        <v>1.260665021001491E-2</v>
      </c>
      <c r="AK21">
        <f t="shared" si="31"/>
        <v>0.20866270348430815</v>
      </c>
      <c r="AL21">
        <f t="shared" si="18"/>
        <v>0.3134607681263194</v>
      </c>
      <c r="AM21">
        <f t="shared" si="32"/>
        <v>0.20236194917115935</v>
      </c>
      <c r="AN21" s="13">
        <f t="shared" si="19"/>
        <v>0.29857590357399311</v>
      </c>
      <c r="AO21">
        <f t="shared" si="20"/>
        <v>18.902152410706631</v>
      </c>
      <c r="AP21">
        <f t="shared" si="21"/>
        <v>18.797354346064619</v>
      </c>
      <c r="AQ21">
        <f t="shared" si="33"/>
        <v>18.908453165019779</v>
      </c>
      <c r="AR21">
        <f t="shared" si="22"/>
        <v>18.812239210616944</v>
      </c>
      <c r="AT21" s="19" t="s">
        <v>48</v>
      </c>
      <c r="AU21">
        <f t="shared" si="8"/>
        <v>566.54596289870165</v>
      </c>
      <c r="AV21">
        <v>2.5</v>
      </c>
      <c r="AW21" s="30">
        <f t="shared" si="23"/>
        <v>6.0868390480048615E-3</v>
      </c>
      <c r="AX21">
        <f t="shared" si="24"/>
        <v>20</v>
      </c>
      <c r="AY21">
        <f t="shared" si="25"/>
        <v>0.63578756546707382</v>
      </c>
      <c r="AZ21" s="13">
        <f t="shared" si="9"/>
        <v>8.1337859249704936E-2</v>
      </c>
      <c r="BA21" s="19">
        <f t="shared" si="34"/>
        <v>1.0167232406213117E-2</v>
      </c>
      <c r="BB21">
        <f t="shared" si="10"/>
        <v>1.3462876596025977</v>
      </c>
      <c r="BC21">
        <f t="shared" si="11"/>
        <v>2.0224427118560313</v>
      </c>
      <c r="BD21">
        <f t="shared" si="12"/>
        <v>1.3056353166762635</v>
      </c>
      <c r="BE21" s="13">
        <f t="shared" si="13"/>
        <v>1.9264058584700117</v>
      </c>
      <c r="BF21">
        <f t="shared" si="26"/>
        <v>17.936586915680625</v>
      </c>
      <c r="BG21">
        <f t="shared" si="27"/>
        <v>17.26043186342719</v>
      </c>
      <c r="BH21">
        <f t="shared" si="28"/>
        <v>17.977239258606957</v>
      </c>
      <c r="BI21">
        <f t="shared" si="29"/>
        <v>17.356468716813211</v>
      </c>
      <c r="BK21" s="12" t="s">
        <v>124</v>
      </c>
      <c r="BL21" s="13" t="s">
        <v>204</v>
      </c>
      <c r="BM21" s="98">
        <f>AVERAGE(BF10:BF12,BF21:BF23)</f>
        <v>17.722848053687745</v>
      </c>
      <c r="BN21" s="94">
        <f>(STDEV(BF10:BF12,BF21:BF23)/BM21)*100</f>
        <v>4.7850883185482225</v>
      </c>
      <c r="BO21" s="98">
        <f>AVERAGE(BG10:BG12,BG21:BG23)</f>
        <v>16.976653409024212</v>
      </c>
      <c r="BP21" s="94">
        <f>(STDEV(BG10:BG12,BG21:BG23)/BO21)*100</f>
        <v>6.6323481586414417</v>
      </c>
      <c r="BQ21" s="98">
        <f>AVERAGE(BH10:BH12,BH21:BH23)</f>
        <v>17.767711373844204</v>
      </c>
      <c r="BR21" s="94">
        <f>(STDEV(BH10:BH12,BH21:BH23)/BQ21)*100</f>
        <v>4.6789706100597721</v>
      </c>
      <c r="BS21" s="98">
        <f>AVERAGE(BI10:BI12,BI21:BI23)</f>
        <v>17.082638249998418</v>
      </c>
      <c r="BT21" s="94">
        <f>(STDEV(BI10:BI12,BI21:BI23)/BS21)*100</f>
        <v>6.360141851829308</v>
      </c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</row>
    <row r="22" spans="1:93" x14ac:dyDescent="0.25">
      <c r="A22">
        <v>16</v>
      </c>
      <c r="B22" s="19" t="s">
        <v>39</v>
      </c>
      <c r="C22" s="21"/>
      <c r="D22" s="13">
        <v>1266</v>
      </c>
      <c r="F22" s="13">
        <v>931</v>
      </c>
      <c r="G22" s="19"/>
      <c r="H22" s="21">
        <f t="shared" si="6"/>
        <v>0.73538704581358605</v>
      </c>
      <c r="K22" t="s">
        <v>12</v>
      </c>
      <c r="L22" t="s">
        <v>103</v>
      </c>
      <c r="M22" t="s">
        <v>108</v>
      </c>
      <c r="N22" s="63" t="s">
        <v>167</v>
      </c>
      <c r="O22" t="s">
        <v>4</v>
      </c>
      <c r="P22" t="s">
        <v>104</v>
      </c>
      <c r="Q22" t="s">
        <v>104</v>
      </c>
      <c r="R22" t="s">
        <v>104</v>
      </c>
      <c r="S22" t="s">
        <v>4</v>
      </c>
      <c r="AA22">
        <v>26</v>
      </c>
      <c r="AB22" s="19" t="s">
        <v>49</v>
      </c>
      <c r="AC22" s="13">
        <v>856</v>
      </c>
      <c r="AD22">
        <f>IF($AC$20&gt;0, AC22-$AC$20, AC22)</f>
        <v>575</v>
      </c>
      <c r="AE22">
        <v>2.5</v>
      </c>
      <c r="AF22" s="30">
        <f t="shared" si="15"/>
        <v>5.3607886681203473E-3</v>
      </c>
      <c r="AG22">
        <f t="shared" si="16"/>
        <v>20</v>
      </c>
      <c r="AH22">
        <f t="shared" si="17"/>
        <v>0.55994954842857059</v>
      </c>
      <c r="AI22" s="13">
        <f t="shared" si="7"/>
        <v>7.1635716127225205E-2</v>
      </c>
      <c r="AJ22" s="19">
        <f t="shared" si="30"/>
        <v>8.9544645159031506E-3</v>
      </c>
      <c r="AK22">
        <f t="shared" si="31"/>
        <v>0.14821247064175092</v>
      </c>
      <c r="AL22">
        <f t="shared" si="18"/>
        <v>0.2226502106868207</v>
      </c>
      <c r="AM22">
        <f t="shared" si="32"/>
        <v>0.14373706440927736</v>
      </c>
      <c r="AN22" s="13">
        <f t="shared" si="19"/>
        <v>0.2120775375946502</v>
      </c>
      <c r="AO22">
        <f t="shared" si="20"/>
        <v>19.220202264802452</v>
      </c>
      <c r="AP22">
        <f t="shared" si="21"/>
        <v>19.145764524757382</v>
      </c>
      <c r="AQ22">
        <f t="shared" si="33"/>
        <v>19.224677671034925</v>
      </c>
      <c r="AR22">
        <f t="shared" si="22"/>
        <v>19.156337197849552</v>
      </c>
      <c r="AT22" s="19" t="s">
        <v>49</v>
      </c>
      <c r="AU22">
        <f t="shared" si="8"/>
        <v>413.12385953985563</v>
      </c>
      <c r="AV22">
        <v>2.5</v>
      </c>
      <c r="AW22" s="30">
        <f t="shared" si="23"/>
        <v>4.2769253971283354E-3</v>
      </c>
      <c r="AX22">
        <f t="shared" si="24"/>
        <v>20</v>
      </c>
      <c r="AY22">
        <f t="shared" si="25"/>
        <v>0.44673696223589554</v>
      </c>
      <c r="AZ22" s="13">
        <f t="shared" si="9"/>
        <v>5.715215290391807E-2</v>
      </c>
      <c r="BA22" s="19">
        <f t="shared" si="34"/>
        <v>7.1440191129897588E-3</v>
      </c>
      <c r="BB22">
        <f t="shared" si="10"/>
        <v>0.94597078020030134</v>
      </c>
      <c r="BC22">
        <f t="shared" si="11"/>
        <v>1.4210720096844685</v>
      </c>
      <c r="BD22">
        <f t="shared" si="12"/>
        <v>0.91740635841369278</v>
      </c>
      <c r="BE22" s="13">
        <f t="shared" si="13"/>
        <v>1.3535915893763955</v>
      </c>
      <c r="BF22">
        <f t="shared" si="26"/>
        <v>18.550140104659885</v>
      </c>
      <c r="BG22">
        <f t="shared" si="27"/>
        <v>18.075038875175718</v>
      </c>
      <c r="BH22">
        <f t="shared" si="28"/>
        <v>18.578704526446494</v>
      </c>
      <c r="BI22">
        <f t="shared" si="29"/>
        <v>18.14251929548379</v>
      </c>
      <c r="BK22" s="12"/>
      <c r="BL22" s="13" t="s">
        <v>205</v>
      </c>
      <c r="BM22" s="98">
        <f>AVERAGE(BF14:BF19)</f>
        <v>17.372255977974511</v>
      </c>
      <c r="BN22" s="94">
        <f>(STDEV(BF14:BF19)/BM22)*100</f>
        <v>2.0509448804086237</v>
      </c>
      <c r="BO22" s="98">
        <f>AVERAGE(BG14:BG19)</f>
        <v>16.511176628413555</v>
      </c>
      <c r="BP22" s="94">
        <f>(STDEV(BG14:BG19)/BO22)*100</f>
        <v>2.8650229931080489</v>
      </c>
      <c r="BQ22" s="98">
        <f>AVERAGE(BH14:BH19)</f>
        <v>17.424026489617475</v>
      </c>
      <c r="BR22" s="94">
        <f>(STDEV(BH14:BH19)/BQ22)*100</f>
        <v>2.0045644406516514</v>
      </c>
      <c r="BS22" s="98">
        <f>AVERAGE(BI14:BI19)</f>
        <v>16.633478977515164</v>
      </c>
      <c r="BT22" s="94">
        <f>(STDEV(BI14:BI19)/BS22)*100</f>
        <v>2.744260845033728</v>
      </c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</row>
    <row r="23" spans="1:93" x14ac:dyDescent="0.25">
      <c r="A23">
        <v>17</v>
      </c>
      <c r="B23" s="19" t="s">
        <v>40</v>
      </c>
      <c r="C23" s="21"/>
      <c r="D23" s="13">
        <v>1354</v>
      </c>
      <c r="F23" s="13"/>
      <c r="G23" s="19"/>
      <c r="H23" s="21">
        <f t="shared" si="6"/>
        <v>0</v>
      </c>
      <c r="K23" s="21">
        <v>1</v>
      </c>
      <c r="L23" s="21" t="s">
        <v>77</v>
      </c>
      <c r="M23" s="21">
        <v>0</v>
      </c>
      <c r="N23">
        <f>IF(M23&lt;=0,0,M23*((20.504*0+136456.965)/(20.504*K23+136456.965)))</f>
        <v>0</v>
      </c>
      <c r="O23">
        <v>0</v>
      </c>
      <c r="P23">
        <f>O23*10</f>
        <v>0</v>
      </c>
      <c r="Q23">
        <f>(O23*10*10)/($L$1*(10+10))</f>
        <v>0</v>
      </c>
      <c r="R23">
        <f>P23-Q23</f>
        <v>0</v>
      </c>
      <c r="S23">
        <f>R23/10</f>
        <v>0</v>
      </c>
      <c r="AA23">
        <v>27</v>
      </c>
      <c r="AB23" s="19" t="s">
        <v>50</v>
      </c>
      <c r="AC23" s="13">
        <v>1476</v>
      </c>
      <c r="AD23">
        <f>IF($AC$20&gt;0, AC23-$AC$20, AC23)</f>
        <v>1195</v>
      </c>
      <c r="AE23">
        <v>2.5</v>
      </c>
      <c r="AF23" s="30">
        <f t="shared" si="15"/>
        <v>1.1973502769271347E-2</v>
      </c>
      <c r="AG23">
        <f t="shared" si="16"/>
        <v>20</v>
      </c>
      <c r="AH23">
        <f t="shared" si="17"/>
        <v>1.2506662515223808</v>
      </c>
      <c r="AI23" s="13">
        <f t="shared" si="7"/>
        <v>0.1600007943847585</v>
      </c>
      <c r="AJ23" s="19">
        <f t="shared" si="30"/>
        <v>2.0000099298094813E-2</v>
      </c>
      <c r="AK23">
        <f t="shared" si="31"/>
        <v>0.33103756509241178</v>
      </c>
      <c r="AL23">
        <f t="shared" si="18"/>
        <v>0.49729677465018263</v>
      </c>
      <c r="AM23">
        <f t="shared" si="32"/>
        <v>0.32104159393301795</v>
      </c>
      <c r="AN23" s="13">
        <f t="shared" si="19"/>
        <v>0.47368235177607748</v>
      </c>
      <c r="AO23">
        <f t="shared" si="20"/>
        <v>18.258295389000448</v>
      </c>
      <c r="AP23">
        <f t="shared" si="21"/>
        <v>18.09203617944268</v>
      </c>
      <c r="AQ23">
        <f t="shared" si="33"/>
        <v>18.268291360159843</v>
      </c>
      <c r="AR23">
        <f t="shared" si="22"/>
        <v>18.115650602316784</v>
      </c>
      <c r="AT23" s="19" t="s">
        <v>50</v>
      </c>
      <c r="AU23" s="21">
        <f t="shared" si="8"/>
        <v>849.38218104747341</v>
      </c>
      <c r="AV23" s="21">
        <v>2.5</v>
      </c>
      <c r="AW23" s="30">
        <f t="shared" si="23"/>
        <v>9.4234451887277859E-3</v>
      </c>
      <c r="AX23">
        <f t="shared" si="24"/>
        <v>20</v>
      </c>
      <c r="AY23">
        <f>AW23*$V$13</f>
        <v>0.98430552009050987</v>
      </c>
      <c r="AZ23" s="13">
        <f t="shared" si="9"/>
        <v>0.12592461413273068</v>
      </c>
      <c r="BA23" s="19">
        <f t="shared" si="34"/>
        <v>1.5740576766591335E-2</v>
      </c>
      <c r="BB23">
        <f t="shared" si="10"/>
        <v>2.0842785341406582</v>
      </c>
      <c r="BC23">
        <f t="shared" si="11"/>
        <v>3.1310796773514546</v>
      </c>
      <c r="BD23">
        <f t="shared" si="12"/>
        <v>2.0213419060585927</v>
      </c>
      <c r="BE23" s="13">
        <f t="shared" si="13"/>
        <v>2.9823985611195929</v>
      </c>
      <c r="BF23">
        <f t="shared" si="26"/>
        <v>16.805491331636102</v>
      </c>
      <c r="BG23">
        <f t="shared" si="27"/>
        <v>15.758690188425305</v>
      </c>
      <c r="BH23">
        <f t="shared" si="28"/>
        <v>16.868427959718169</v>
      </c>
      <c r="BI23">
        <f t="shared" si="29"/>
        <v>15.907371304657167</v>
      </c>
      <c r="BK23" s="9"/>
      <c r="BL23" s="11" t="s">
        <v>206</v>
      </c>
      <c r="BM23" s="95">
        <f>AVERAGE(BF28:BF33)</f>
        <v>15.807661502471205</v>
      </c>
      <c r="BN23" s="96">
        <f>(STDEV(BF28:BF33)/BM23)*100</f>
        <v>2.3692667498065836</v>
      </c>
      <c r="BO23" s="97">
        <f>AVERAGE(BG28:BG33)</f>
        <v>14.433883814715733</v>
      </c>
      <c r="BP23" s="96">
        <f>(STDEV(BG28:BG33)/BO23)*100</f>
        <v>3.445040313094295</v>
      </c>
      <c r="BQ23" s="97">
        <f>AVERAGE(BH28:BH33)</f>
        <v>15.890256879790444</v>
      </c>
      <c r="BR23" s="96">
        <f>(STDEV(BH28:BH33)/BQ23)*100</f>
        <v>2.3105161320424021</v>
      </c>
      <c r="BS23" s="97">
        <f>AVERAGE(BI28:BI33)</f>
        <v>14.629006643339522</v>
      </c>
      <c r="BT23" s="96">
        <f>(STDEV(BI28:BI33)/BS23)*100</f>
        <v>3.2799333905582873</v>
      </c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</row>
    <row r="24" spans="1:93" x14ac:dyDescent="0.25">
      <c r="A24">
        <v>18</v>
      </c>
      <c r="B24" s="19" t="s">
        <v>41</v>
      </c>
      <c r="C24" s="21"/>
      <c r="D24" s="13">
        <v>1158</v>
      </c>
      <c r="F24" s="13">
        <v>1136</v>
      </c>
      <c r="G24" s="19"/>
      <c r="H24" s="21">
        <f t="shared" si="6"/>
        <v>0.98100172711571676</v>
      </c>
      <c r="K24" s="21">
        <v>2</v>
      </c>
      <c r="L24" s="21" t="s">
        <v>24</v>
      </c>
      <c r="M24" s="21">
        <v>0</v>
      </c>
      <c r="N24">
        <f t="shared" ref="N24:N32" si="37">IF(M24&lt;=0,0,M24*((20.504*0+136456.965)/(20.504*K24+136456.965)))</f>
        <v>0</v>
      </c>
      <c r="O24">
        <v>0</v>
      </c>
      <c r="P24">
        <f t="shared" ref="P24:P32" si="38">O24*10</f>
        <v>0</v>
      </c>
      <c r="Q24">
        <f t="shared" ref="Q24:Q32" si="39">(O24*10*10)/($L$1*(10+10))</f>
        <v>0</v>
      </c>
      <c r="R24">
        <f t="shared" ref="R24:R32" si="40">P24-Q24</f>
        <v>0</v>
      </c>
      <c r="S24">
        <f t="shared" ref="S24:S32" si="41">R24/10</f>
        <v>0</v>
      </c>
      <c r="AF24" s="13"/>
      <c r="AI24" s="21"/>
      <c r="AJ24" s="21"/>
      <c r="AK24" s="21"/>
      <c r="AL24" s="21"/>
      <c r="AM24" s="21"/>
      <c r="AN24" s="21"/>
      <c r="AW24" s="21"/>
      <c r="AX24" s="21"/>
      <c r="AZ24" s="21"/>
      <c r="BA24" s="21"/>
      <c r="BB24" s="21"/>
      <c r="BC24" s="21"/>
      <c r="BD24" s="21"/>
      <c r="BE24" s="21"/>
      <c r="BK24" s="12" t="s">
        <v>126</v>
      </c>
      <c r="BL24" s="13" t="s">
        <v>204</v>
      </c>
      <c r="BM24" s="98">
        <f>AVERAGE(BF36:BF39)</f>
        <v>8.0977342665534202</v>
      </c>
      <c r="BN24" s="94">
        <f>(STDEV(BF36:BF39)/BM24)*100</f>
        <v>61.496133359495907</v>
      </c>
      <c r="BO24" s="98">
        <f>AVERAGE(BG36:BG39)</f>
        <v>4.1072060331597253</v>
      </c>
      <c r="BP24" s="94">
        <f>(STDEV(BG36:BG39)/BO24)*100</f>
        <v>191.34294560212589</v>
      </c>
      <c r="BQ24" s="98">
        <f>AVERAGE(BH36:BH39)</f>
        <v>8.836659102199194</v>
      </c>
      <c r="BR24" s="94">
        <f>(STDEV(BH36:BH39)/BQ24)*100</f>
        <v>50.320823956785389</v>
      </c>
      <c r="BS24" s="98">
        <f>AVERAGE(BI36:BI39)</f>
        <v>6.3151951003251163</v>
      </c>
      <c r="BT24" s="94">
        <f>(STDEV(BI36:BI39)/BS24)*100</f>
        <v>99.218566933706626</v>
      </c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</row>
    <row r="25" spans="1:93" x14ac:dyDescent="0.25">
      <c r="A25">
        <v>19</v>
      </c>
      <c r="B25" s="19" t="s">
        <v>42</v>
      </c>
      <c r="C25" s="21"/>
      <c r="D25" s="13">
        <v>1103</v>
      </c>
      <c r="F25" s="13">
        <v>1039</v>
      </c>
      <c r="G25" s="19"/>
      <c r="H25" s="21">
        <f t="shared" si="6"/>
        <v>0.94197642792384406</v>
      </c>
      <c r="K25" s="21">
        <v>3</v>
      </c>
      <c r="L25" s="21" t="s">
        <v>45</v>
      </c>
      <c r="M25" s="21">
        <v>911</v>
      </c>
      <c r="N25">
        <f t="shared" si="37"/>
        <v>910.58952492562605</v>
      </c>
      <c r="O25">
        <v>0.05</v>
      </c>
      <c r="P25">
        <f t="shared" si="38"/>
        <v>0.5</v>
      </c>
      <c r="Q25">
        <f t="shared" si="39"/>
        <v>0.41759081873315362</v>
      </c>
      <c r="R25">
        <f t="shared" si="40"/>
        <v>8.2409181266846376E-2</v>
      </c>
      <c r="S25">
        <f t="shared" si="41"/>
        <v>8.2409181266846383E-3</v>
      </c>
      <c r="AA25" s="27">
        <v>44412</v>
      </c>
      <c r="AF25" s="13"/>
      <c r="AI25" s="21"/>
      <c r="AJ25" s="21"/>
      <c r="AK25" s="21"/>
      <c r="AL25" s="21"/>
      <c r="AM25" s="21"/>
      <c r="AN25" s="21"/>
      <c r="AW25" s="21"/>
      <c r="AX25" s="21"/>
      <c r="AZ25" s="21"/>
      <c r="BA25" s="21"/>
      <c r="BB25" s="21"/>
      <c r="BC25" s="21"/>
      <c r="BD25" s="21"/>
      <c r="BE25" s="21"/>
      <c r="BK25" s="9"/>
      <c r="BL25" s="11" t="s">
        <v>207</v>
      </c>
      <c r="BM25" s="95">
        <f>AVERAGE(BF42:BF45)</f>
        <v>10.045620537763021</v>
      </c>
      <c r="BN25" s="96">
        <f>(STDEV(BF42:BF45)/BM25)*100</f>
        <v>61.789678942786267</v>
      </c>
      <c r="BO25" s="97">
        <f>AVERAGE(BG42:BG45)</f>
        <v>7.181258039054895</v>
      </c>
      <c r="BP25" s="96">
        <f>(STDEV(BG42:BG45)/BO25)*100</f>
        <v>136.40798366686531</v>
      </c>
      <c r="BQ25" s="97">
        <f>AVERAGE(BH42:BH45)</f>
        <v>10.576013624792463</v>
      </c>
      <c r="BR25" s="96">
        <f>(STDEV(BH42:BH45)/BQ25)*100</f>
        <v>52.407714463378682</v>
      </c>
      <c r="BS25" s="97">
        <f>AVERAGE(BI42:BI45)</f>
        <v>8.7661311966036415</v>
      </c>
      <c r="BT25" s="96">
        <f>(STDEV(BI42:BI45)/BS25)*100</f>
        <v>89.094959121816942</v>
      </c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</row>
    <row r="26" spans="1:93" x14ac:dyDescent="0.25">
      <c r="A26" s="10">
        <v>20</v>
      </c>
      <c r="B26" s="20" t="s">
        <v>43</v>
      </c>
      <c r="C26" s="10"/>
      <c r="D26" s="11">
        <v>1402</v>
      </c>
      <c r="E26" s="10"/>
      <c r="F26" s="11">
        <v>1235</v>
      </c>
      <c r="G26" s="20"/>
      <c r="H26" s="21">
        <f t="shared" si="6"/>
        <v>0.88088445078459343</v>
      </c>
      <c r="K26" s="21">
        <v>4</v>
      </c>
      <c r="L26" s="21" t="s">
        <v>46</v>
      </c>
      <c r="M26" s="17">
        <v>0</v>
      </c>
      <c r="N26">
        <f t="shared" si="37"/>
        <v>0</v>
      </c>
      <c r="O26">
        <v>0.05</v>
      </c>
      <c r="P26">
        <f t="shared" si="38"/>
        <v>0.5</v>
      </c>
      <c r="Q26">
        <f t="shared" si="39"/>
        <v>0.41759081873315362</v>
      </c>
      <c r="R26">
        <f t="shared" si="40"/>
        <v>8.2409181266846376E-2</v>
      </c>
      <c r="S26">
        <f t="shared" si="41"/>
        <v>8.2409181266846383E-3</v>
      </c>
      <c r="AA26" t="s">
        <v>12</v>
      </c>
      <c r="AF26" s="13"/>
      <c r="AI26" s="21"/>
      <c r="AJ26" s="21"/>
      <c r="AK26" s="21"/>
      <c r="AL26" s="21"/>
      <c r="AM26" s="21"/>
      <c r="AN26" s="21"/>
      <c r="AW26" s="21"/>
      <c r="AX26" s="21"/>
      <c r="AZ26" s="21"/>
      <c r="BA26" s="21"/>
      <c r="BB26" s="21"/>
      <c r="BC26" s="21"/>
      <c r="BD26" s="21"/>
      <c r="BE26" s="21"/>
      <c r="BK26" s="12" t="s">
        <v>127</v>
      </c>
      <c r="BL26" s="13" t="s">
        <v>204</v>
      </c>
      <c r="BM26" s="98">
        <f>AVERAGE(BF51:BF54)</f>
        <v>12.378823639697504</v>
      </c>
      <c r="BN26" s="94">
        <f>(STDEV(BF51:BF54)/BM26)*100</f>
        <v>4.5166439049339004</v>
      </c>
      <c r="BO26" s="98">
        <f>AVERAGE(BG51:BG54)</f>
        <v>4.2207345662909557</v>
      </c>
      <c r="BP26" s="94">
        <f>(STDEV(BG51:BG54)/BO26)*100</f>
        <v>54.475360155911268</v>
      </c>
      <c r="BQ26" s="98">
        <f>AVERAGE(BH51:BH54)</f>
        <v>12.508407723438907</v>
      </c>
      <c r="BR26" s="94">
        <f>(STDEV(BH51:BH54)/BQ26)*100</f>
        <v>4.2488747785751277</v>
      </c>
      <c r="BS26" s="98">
        <f>AVERAGE(BI51:BI54)</f>
        <v>4.9512789378880804</v>
      </c>
      <c r="BT26" s="94">
        <f>(STDEV(BI51:BI54)/BS26)*100</f>
        <v>43.290478111579539</v>
      </c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</row>
    <row r="27" spans="1:93" x14ac:dyDescent="0.25">
      <c r="A27">
        <v>21</v>
      </c>
      <c r="B27" s="13" t="s">
        <v>44</v>
      </c>
      <c r="D27" s="57">
        <v>821</v>
      </c>
      <c r="F27" s="13"/>
      <c r="G27" s="58">
        <v>172923</v>
      </c>
      <c r="H27" s="21">
        <f t="shared" si="6"/>
        <v>0</v>
      </c>
      <c r="K27" s="21">
        <v>5</v>
      </c>
      <c r="L27" s="21" t="s">
        <v>26</v>
      </c>
      <c r="M27" s="21">
        <v>1828</v>
      </c>
      <c r="N27">
        <f t="shared" si="37"/>
        <v>1826.6276562188266</v>
      </c>
      <c r="O27">
        <v>0.1</v>
      </c>
      <c r="P27">
        <f t="shared" si="38"/>
        <v>1</v>
      </c>
      <c r="Q27">
        <f t="shared" si="39"/>
        <v>0.83518163746630725</v>
      </c>
      <c r="R27">
        <f t="shared" si="40"/>
        <v>0.16481836253369275</v>
      </c>
      <c r="S27">
        <f t="shared" si="41"/>
        <v>1.6481836253369277E-2</v>
      </c>
      <c r="AA27">
        <v>10</v>
      </c>
      <c r="AB27" s="71" t="s">
        <v>52</v>
      </c>
      <c r="AC27" s="72">
        <v>0</v>
      </c>
      <c r="AD27" s="86">
        <f t="shared" ref="AD27:AD33" si="42">IF($AC$27&gt;0, AC27-$AC$27, AC27)</f>
        <v>0</v>
      </c>
      <c r="AE27" s="72">
        <v>0</v>
      </c>
      <c r="AF27" s="72">
        <f>IF(AD27&lt;=0,0,(AD27+207.635)/130364.309)</f>
        <v>0</v>
      </c>
      <c r="AG27" s="86">
        <f t="shared" si="16"/>
        <v>0</v>
      </c>
      <c r="AH27" s="86">
        <f t="shared" si="17"/>
        <v>0</v>
      </c>
      <c r="AI27" s="72">
        <f t="shared" ref="AI27:AI33" si="43">(AF27/$AI$2)*8</f>
        <v>0</v>
      </c>
      <c r="AJ27" s="71">
        <f t="shared" si="30"/>
        <v>0</v>
      </c>
      <c r="AK27" s="86">
        <f t="shared" si="31"/>
        <v>0</v>
      </c>
      <c r="AL27" s="86">
        <f t="shared" si="18"/>
        <v>0</v>
      </c>
      <c r="AM27" s="86">
        <f t="shared" si="32"/>
        <v>0</v>
      </c>
      <c r="AN27" s="72">
        <f t="shared" si="19"/>
        <v>0</v>
      </c>
      <c r="AO27" s="86">
        <f t="shared" si="20"/>
        <v>0</v>
      </c>
      <c r="AP27" s="86">
        <f t="shared" si="21"/>
        <v>0</v>
      </c>
      <c r="AQ27" s="86">
        <f t="shared" si="33"/>
        <v>0</v>
      </c>
      <c r="AR27" s="86">
        <f t="shared" si="22"/>
        <v>0</v>
      </c>
      <c r="AT27" s="71" t="s">
        <v>52</v>
      </c>
      <c r="AU27" s="86">
        <f t="shared" ref="AU27:AU45" si="44">IF(AD27&lt;=0,0,AD27*((20.504*0+136456.965)/(20.504*AA27+136456.965)))</f>
        <v>0</v>
      </c>
      <c r="AV27" s="72">
        <v>0</v>
      </c>
      <c r="AW27" s="72">
        <f>IF(AU27&lt;=0,0,((AU27+207.235)/130217.551))</f>
        <v>0</v>
      </c>
      <c r="AX27" s="86">
        <f t="shared" si="24"/>
        <v>0</v>
      </c>
      <c r="AY27" s="86">
        <f t="shared" ref="AY27:AY33" si="45">AW27*$V$13</f>
        <v>0</v>
      </c>
      <c r="AZ27" s="72">
        <f t="shared" ref="AZ27:AZ33" si="46">(AW27/$AI$2)*8</f>
        <v>0</v>
      </c>
      <c r="BA27" s="71">
        <f t="shared" si="34"/>
        <v>0</v>
      </c>
      <c r="BB27" s="86">
        <f t="shared" ref="BB27:BB33" si="47">($AZ27*$AL$2)*20</f>
        <v>0</v>
      </c>
      <c r="BC27" s="86">
        <f t="shared" ref="BC27:BC33" si="48">($AZ27*$AL$3)*20</f>
        <v>0</v>
      </c>
      <c r="BD27" s="86">
        <f t="shared" ref="BD27:BD33" si="49">($AZ27*$AL$4)*20</f>
        <v>0</v>
      </c>
      <c r="BE27" s="72">
        <f t="shared" ref="BE27:BE33" si="50">($AZ27*$AL$5)*20</f>
        <v>0</v>
      </c>
      <c r="BF27" s="86">
        <f t="shared" si="26"/>
        <v>0</v>
      </c>
      <c r="BG27" s="86">
        <f t="shared" si="27"/>
        <v>0</v>
      </c>
      <c r="BH27" s="86">
        <f t="shared" si="28"/>
        <v>0</v>
      </c>
      <c r="BI27" s="86">
        <f t="shared" si="29"/>
        <v>0</v>
      </c>
      <c r="BK27" s="9"/>
      <c r="BL27" s="11" t="s">
        <v>207</v>
      </c>
      <c r="BM27" s="95">
        <f>AVERAGE(BF57:BF60)</f>
        <v>12.330316584463739</v>
      </c>
      <c r="BN27" s="96">
        <f>(STDEV(BF57:BF60)/BM27)*100</f>
        <v>1.9019876003465104</v>
      </c>
      <c r="BO27" s="97">
        <f>AVERAGE(BG57:BG60)</f>
        <v>4.0212552669613943</v>
      </c>
      <c r="BP27" s="96">
        <f>(STDEV(BG57:BG60)/BO27)*100</f>
        <v>23.983534690947121</v>
      </c>
      <c r="BQ27" s="97">
        <f>AVERAGE(BH57:BH60)</f>
        <v>12.462298729778812</v>
      </c>
      <c r="BR27" s="96">
        <f>(STDEV(BH57:BH60)/BQ27)*100</f>
        <v>1.7888111150538017</v>
      </c>
      <c r="BS27" s="97">
        <f>AVERAGE(BI57:BI60)</f>
        <v>4.7653189716032021</v>
      </c>
      <c r="BT27" s="96">
        <f>(STDEV(BI57:BI60)/BS27)*100</f>
        <v>18.867070891469993</v>
      </c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</row>
    <row r="28" spans="1:93" x14ac:dyDescent="0.25">
      <c r="A28">
        <v>22</v>
      </c>
      <c r="B28" s="13" t="s">
        <v>45</v>
      </c>
      <c r="D28" s="13">
        <v>909</v>
      </c>
      <c r="F28" s="13">
        <v>894</v>
      </c>
      <c r="G28" s="19">
        <v>153571</v>
      </c>
      <c r="H28" s="21">
        <f t="shared" si="6"/>
        <v>0.98349834983498352</v>
      </c>
      <c r="K28" s="21">
        <v>6</v>
      </c>
      <c r="L28" s="21" t="s">
        <v>27</v>
      </c>
      <c r="M28" s="64">
        <v>6758</v>
      </c>
      <c r="N28">
        <f>IF(M28&lt;=0,0,M28*((20.504*0+136456.965)/(20.504*K28+136456.965)))</f>
        <v>6751.912752533608</v>
      </c>
      <c r="O28">
        <v>0.1</v>
      </c>
      <c r="P28">
        <f t="shared" si="38"/>
        <v>1</v>
      </c>
      <c r="Q28">
        <f t="shared" si="39"/>
        <v>0.83518163746630725</v>
      </c>
      <c r="R28">
        <f t="shared" si="40"/>
        <v>0.16481836253369275</v>
      </c>
      <c r="S28">
        <f t="shared" si="41"/>
        <v>1.6481836253369277E-2</v>
      </c>
      <c r="AA28">
        <v>11</v>
      </c>
      <c r="AB28" s="19" t="s">
        <v>53</v>
      </c>
      <c r="AC28" s="13">
        <v>1239</v>
      </c>
      <c r="AD28">
        <f t="shared" si="42"/>
        <v>1239</v>
      </c>
      <c r="AE28" s="13">
        <v>2.5</v>
      </c>
      <c r="AF28" s="29">
        <f t="shared" ref="AF28:AF33" si="51">IF(AD28&lt;=0,0,(AD28+207.635)/130364.309)</f>
        <v>1.109686394302907E-2</v>
      </c>
      <c r="AG28">
        <f t="shared" si="16"/>
        <v>20</v>
      </c>
      <c r="AH28">
        <f t="shared" si="17"/>
        <v>1.159098845068093</v>
      </c>
      <c r="AI28" s="13">
        <f t="shared" si="43"/>
        <v>0.14828635197887746</v>
      </c>
      <c r="AJ28" s="19">
        <f t="shared" si="30"/>
        <v>1.8535793997359683E-2</v>
      </c>
      <c r="AK28">
        <f t="shared" si="31"/>
        <v>0.30680068236086222</v>
      </c>
      <c r="AL28">
        <f t="shared" si="18"/>
        <v>0.46088724026211514</v>
      </c>
      <c r="AM28">
        <f t="shared" si="32"/>
        <v>0.29753656524561761</v>
      </c>
      <c r="AN28" s="13">
        <f t="shared" si="19"/>
        <v>0.43900174503346667</v>
      </c>
      <c r="AO28">
        <f t="shared" si="20"/>
        <v>18.385814120592165</v>
      </c>
      <c r="AP28">
        <f t="shared" si="21"/>
        <v>18.231727562690914</v>
      </c>
      <c r="AQ28">
        <f t="shared" si="33"/>
        <v>18.395078237707413</v>
      </c>
      <c r="AR28">
        <f t="shared" si="22"/>
        <v>18.253613057919562</v>
      </c>
      <c r="AT28" s="19" t="s">
        <v>53</v>
      </c>
      <c r="AU28">
        <f t="shared" si="44"/>
        <v>1236.9554881012609</v>
      </c>
      <c r="AV28" s="13">
        <v>2.5</v>
      </c>
      <c r="AW28" s="30">
        <f t="shared" ref="AW28:AW33" si="52">IF(AU28&lt;=0,0,((AU28+207.235)/130217.551))</f>
        <v>1.1090597826565338E-2</v>
      </c>
      <c r="AX28">
        <f t="shared" si="24"/>
        <v>20</v>
      </c>
      <c r="AY28">
        <f t="shared" si="45"/>
        <v>1.1584443314691644</v>
      </c>
      <c r="AZ28" s="13">
        <f t="shared" si="46"/>
        <v>0.1482026184523377</v>
      </c>
      <c r="BA28" s="19">
        <f t="shared" si="34"/>
        <v>1.8525327306542213E-2</v>
      </c>
      <c r="BB28">
        <f t="shared" si="47"/>
        <v>2.4530195186308434</v>
      </c>
      <c r="BC28">
        <f t="shared" si="48"/>
        <v>3.6850159117999888</v>
      </c>
      <c r="BD28">
        <f t="shared" si="49"/>
        <v>2.3789484313969247</v>
      </c>
      <c r="BE28" s="13">
        <f t="shared" si="50"/>
        <v>3.510030815425166</v>
      </c>
      <c r="BF28">
        <f t="shared" si="26"/>
        <v>16.240333531447654</v>
      </c>
      <c r="BG28">
        <f t="shared" si="27"/>
        <v>15.00833713827851</v>
      </c>
      <c r="BH28">
        <f t="shared" si="28"/>
        <v>16.314404618681571</v>
      </c>
      <c r="BI28">
        <f t="shared" si="29"/>
        <v>15.183322234653332</v>
      </c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</row>
    <row r="29" spans="1:93" x14ac:dyDescent="0.25">
      <c r="A29" s="10">
        <v>23</v>
      </c>
      <c r="B29" s="11" t="s">
        <v>46</v>
      </c>
      <c r="C29" s="10"/>
      <c r="D29" s="11">
        <v>947</v>
      </c>
      <c r="E29" s="10"/>
      <c r="F29" s="11">
        <v>709</v>
      </c>
      <c r="G29" s="20">
        <v>146348</v>
      </c>
      <c r="H29" s="21">
        <f t="shared" si="6"/>
        <v>0.74868004223864837</v>
      </c>
      <c r="K29" s="21">
        <v>7</v>
      </c>
      <c r="L29" s="21" t="s">
        <v>28</v>
      </c>
      <c r="M29" s="21">
        <v>11925</v>
      </c>
      <c r="N29">
        <f t="shared" si="37"/>
        <v>11912.470239950013</v>
      </c>
      <c r="O29">
        <v>0.5</v>
      </c>
      <c r="P29">
        <f t="shared" si="38"/>
        <v>5</v>
      </c>
      <c r="Q29">
        <f t="shared" si="39"/>
        <v>4.1759081873315358</v>
      </c>
      <c r="R29">
        <f t="shared" si="40"/>
        <v>0.82409181266846421</v>
      </c>
      <c r="S29">
        <f t="shared" si="41"/>
        <v>8.2409181266846418E-2</v>
      </c>
      <c r="AA29">
        <v>12</v>
      </c>
      <c r="AB29" s="19" t="s">
        <v>54</v>
      </c>
      <c r="AC29" s="13">
        <v>1579</v>
      </c>
      <c r="AD29">
        <f t="shared" si="42"/>
        <v>1579</v>
      </c>
      <c r="AE29" s="13">
        <v>2.5</v>
      </c>
      <c r="AF29" s="29">
        <f t="shared" si="51"/>
        <v>1.3704939746967093E-2</v>
      </c>
      <c r="AG29">
        <f t="shared" si="16"/>
        <v>20</v>
      </c>
      <c r="AH29">
        <f t="shared" si="17"/>
        <v>1.4315197441360346</v>
      </c>
      <c r="AI29" s="13">
        <f t="shared" si="43"/>
        <v>0.18313782430798489</v>
      </c>
      <c r="AJ29" s="19">
        <f t="shared" si="30"/>
        <v>2.2892228038498112E-2</v>
      </c>
      <c r="AK29">
        <f t="shared" si="31"/>
        <v>0.37890749023063808</v>
      </c>
      <c r="AL29">
        <f t="shared" si="18"/>
        <v>0.56920873233794567</v>
      </c>
      <c r="AM29">
        <f t="shared" si="32"/>
        <v>0.36746604447397169</v>
      </c>
      <c r="AN29" s="13">
        <f t="shared" si="19"/>
        <v>0.54217952886378917</v>
      </c>
      <c r="AO29">
        <f t="shared" si="20"/>
        <v>18.006434941325342</v>
      </c>
      <c r="AP29">
        <f t="shared" si="21"/>
        <v>17.816133699218035</v>
      </c>
      <c r="AQ29">
        <f t="shared" si="33"/>
        <v>18.017876387082008</v>
      </c>
      <c r="AR29">
        <f t="shared" si="22"/>
        <v>17.843162902692193</v>
      </c>
      <c r="AT29" s="19" t="s">
        <v>54</v>
      </c>
      <c r="AU29">
        <f t="shared" si="44"/>
        <v>1576.1580012504917</v>
      </c>
      <c r="AV29" s="13">
        <v>2.5</v>
      </c>
      <c r="AW29" s="30">
        <f t="shared" si="52"/>
        <v>1.3695488722948656E-2</v>
      </c>
      <c r="AX29">
        <f t="shared" si="24"/>
        <v>20</v>
      </c>
      <c r="AY29">
        <f t="shared" si="45"/>
        <v>1.4305325579291275</v>
      </c>
      <c r="AZ29" s="13">
        <f t="shared" si="46"/>
        <v>0.18301153116053764</v>
      </c>
      <c r="BA29" s="19">
        <f t="shared" si="34"/>
        <v>2.2876441395067205E-2</v>
      </c>
      <c r="BB29">
        <f t="shared" si="47"/>
        <v>3.0291695434226944</v>
      </c>
      <c r="BC29">
        <f t="shared" si="48"/>
        <v>4.5505296155502766</v>
      </c>
      <c r="BD29">
        <f t="shared" si="49"/>
        <v>2.93770109818895</v>
      </c>
      <c r="BE29" s="13">
        <f t="shared" si="50"/>
        <v>4.3344451040061731</v>
      </c>
      <c r="BF29">
        <f t="shared" si="26"/>
        <v>15.357286367487641</v>
      </c>
      <c r="BG29">
        <f t="shared" si="27"/>
        <v>13.835926295360059</v>
      </c>
      <c r="BH29">
        <f t="shared" si="28"/>
        <v>15.448754812721385</v>
      </c>
      <c r="BI29">
        <f t="shared" si="29"/>
        <v>14.052010806904162</v>
      </c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</row>
    <row r="30" spans="1:93" x14ac:dyDescent="0.25">
      <c r="A30">
        <v>24</v>
      </c>
      <c r="B30" s="19" t="s">
        <v>47</v>
      </c>
      <c r="D30" s="13">
        <v>281</v>
      </c>
      <c r="F30" s="13">
        <v>259</v>
      </c>
      <c r="G30" s="19"/>
      <c r="H30" s="21">
        <f t="shared" si="6"/>
        <v>0.92170818505338081</v>
      </c>
      <c r="K30" s="21">
        <v>8</v>
      </c>
      <c r="L30" s="21" t="s">
        <v>29</v>
      </c>
      <c r="M30" s="21">
        <v>9251</v>
      </c>
      <c r="N30">
        <f t="shared" si="37"/>
        <v>9239.8929222789957</v>
      </c>
      <c r="O30">
        <v>0.5</v>
      </c>
      <c r="P30">
        <f t="shared" si="38"/>
        <v>5</v>
      </c>
      <c r="Q30">
        <f t="shared" si="39"/>
        <v>4.1759081873315358</v>
      </c>
      <c r="R30">
        <f t="shared" si="40"/>
        <v>0.82409181266846421</v>
      </c>
      <c r="S30">
        <f t="shared" si="41"/>
        <v>8.2409181266846418E-2</v>
      </c>
      <c r="AA30">
        <v>13</v>
      </c>
      <c r="AB30" s="19" t="s">
        <v>55</v>
      </c>
      <c r="AC30" s="13">
        <v>1409</v>
      </c>
      <c r="AD30">
        <f t="shared" si="42"/>
        <v>1409</v>
      </c>
      <c r="AE30" s="13">
        <v>2.5</v>
      </c>
      <c r="AF30" s="29">
        <f t="shared" si="51"/>
        <v>1.2400901844998083E-2</v>
      </c>
      <c r="AG30">
        <f t="shared" si="16"/>
        <v>20</v>
      </c>
      <c r="AH30">
        <f t="shared" si="17"/>
        <v>1.2953092946020639</v>
      </c>
      <c r="AI30" s="13">
        <f t="shared" si="43"/>
        <v>0.16571208814343119</v>
      </c>
      <c r="AJ30" s="19">
        <f t="shared" si="30"/>
        <v>2.0714011017928899E-2</v>
      </c>
      <c r="AK30">
        <f t="shared" si="31"/>
        <v>0.3428540862957502</v>
      </c>
      <c r="AL30">
        <f t="shared" si="18"/>
        <v>0.51504798630003046</v>
      </c>
      <c r="AM30">
        <f t="shared" si="32"/>
        <v>0.33250130485979468</v>
      </c>
      <c r="AN30" s="13">
        <f t="shared" si="19"/>
        <v>0.49059063694862798</v>
      </c>
      <c r="AO30">
        <f t="shared" si="20"/>
        <v>18.196124530958755</v>
      </c>
      <c r="AP30">
        <f t="shared" si="21"/>
        <v>18.023930630954474</v>
      </c>
      <c r="AQ30">
        <f t="shared" si="33"/>
        <v>18.206477312394711</v>
      </c>
      <c r="AR30">
        <f t="shared" si="22"/>
        <v>18.048387980305876</v>
      </c>
      <c r="AT30" s="19" t="s">
        <v>55</v>
      </c>
      <c r="AU30">
        <f t="shared" si="44"/>
        <v>1406.2530565608549</v>
      </c>
      <c r="AV30" s="13">
        <v>2.5</v>
      </c>
      <c r="AW30" s="30">
        <f t="shared" si="52"/>
        <v>1.2390711115131131E-2</v>
      </c>
      <c r="AX30">
        <f t="shared" si="24"/>
        <v>20</v>
      </c>
      <c r="AY30">
        <f t="shared" si="45"/>
        <v>1.2942448440257723</v>
      </c>
      <c r="AZ30" s="13">
        <f t="shared" si="46"/>
        <v>0.16557591037611505</v>
      </c>
      <c r="BA30" s="19">
        <f t="shared" si="34"/>
        <v>2.0696988797014381E-2</v>
      </c>
      <c r="BB30">
        <f t="shared" si="47"/>
        <v>2.7405787037312281</v>
      </c>
      <c r="BC30">
        <f t="shared" si="48"/>
        <v>4.1169978689882489</v>
      </c>
      <c r="BD30">
        <f t="shared" si="49"/>
        <v>2.6578245133573986</v>
      </c>
      <c r="BE30" s="13">
        <f t="shared" si="50"/>
        <v>3.9214998613479084</v>
      </c>
      <c r="BF30">
        <f t="shared" si="26"/>
        <v>15.799600541866884</v>
      </c>
      <c r="BG30">
        <f t="shared" si="27"/>
        <v>14.423181376609865</v>
      </c>
      <c r="BH30">
        <f t="shared" si="28"/>
        <v>15.882354732240714</v>
      </c>
      <c r="BI30">
        <f t="shared" si="29"/>
        <v>14.618679384250203</v>
      </c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</row>
    <row r="31" spans="1:93" x14ac:dyDescent="0.25">
      <c r="A31">
        <v>25</v>
      </c>
      <c r="B31" s="19" t="s">
        <v>48</v>
      </c>
      <c r="C31">
        <v>10839</v>
      </c>
      <c r="D31" s="13">
        <v>1061</v>
      </c>
      <c r="F31" s="13">
        <v>1055</v>
      </c>
      <c r="G31" s="19"/>
      <c r="H31" s="21">
        <f t="shared" si="6"/>
        <v>0.99434495758718189</v>
      </c>
      <c r="K31" s="21">
        <v>9</v>
      </c>
      <c r="L31" s="21" t="s">
        <v>25</v>
      </c>
      <c r="M31" s="17">
        <v>0</v>
      </c>
      <c r="N31">
        <f t="shared" si="37"/>
        <v>0</v>
      </c>
      <c r="O31">
        <v>0</v>
      </c>
      <c r="P31">
        <f t="shared" si="38"/>
        <v>0</v>
      </c>
      <c r="Q31">
        <f t="shared" si="39"/>
        <v>0</v>
      </c>
      <c r="R31">
        <f t="shared" si="40"/>
        <v>0</v>
      </c>
      <c r="S31">
        <f t="shared" si="41"/>
        <v>0</v>
      </c>
      <c r="AA31">
        <v>14</v>
      </c>
      <c r="AB31" s="19" t="s">
        <v>56</v>
      </c>
      <c r="AC31" s="13">
        <v>1485</v>
      </c>
      <c r="AD31">
        <f t="shared" si="42"/>
        <v>1485</v>
      </c>
      <c r="AE31" s="13">
        <v>2.5</v>
      </c>
      <c r="AF31" s="29">
        <f t="shared" si="51"/>
        <v>1.2983883495290111E-2</v>
      </c>
      <c r="AG31">
        <f t="shared" si="16"/>
        <v>20</v>
      </c>
      <c r="AH31">
        <f t="shared" si="17"/>
        <v>1.3562033779231331</v>
      </c>
      <c r="AI31" s="13">
        <f t="shared" si="43"/>
        <v>0.17350241725229049</v>
      </c>
      <c r="AJ31" s="19">
        <f t="shared" si="30"/>
        <v>2.1687802156536311E-2</v>
      </c>
      <c r="AK31">
        <f t="shared" si="31"/>
        <v>0.35897207864311187</v>
      </c>
      <c r="AL31">
        <f t="shared" si="18"/>
        <v>0.53926102570521606</v>
      </c>
      <c r="AM31">
        <f t="shared" si="32"/>
        <v>0.34813260021672088</v>
      </c>
      <c r="AN31" s="13">
        <f t="shared" si="19"/>
        <v>0.51365390627540597</v>
      </c>
      <c r="AO31">
        <f t="shared" si="20"/>
        <v>18.111322126181463</v>
      </c>
      <c r="AP31">
        <f t="shared" si="21"/>
        <v>17.93103317911936</v>
      </c>
      <c r="AQ31">
        <f t="shared" si="33"/>
        <v>18.122161604607854</v>
      </c>
      <c r="AR31">
        <f t="shared" si="22"/>
        <v>17.956640298549171</v>
      </c>
      <c r="AT31" s="19" t="s">
        <v>56</v>
      </c>
      <c r="AU31">
        <f t="shared" si="44"/>
        <v>1481.8826559517361</v>
      </c>
      <c r="AV31" s="13">
        <v>2.5</v>
      </c>
      <c r="AW31" s="30">
        <f t="shared" si="52"/>
        <v>1.2971505323055386E-2</v>
      </c>
      <c r="AX31">
        <f t="shared" si="24"/>
        <v>20</v>
      </c>
      <c r="AY31">
        <f t="shared" si="45"/>
        <v>1.3549104428006531</v>
      </c>
      <c r="AZ31" s="13">
        <f t="shared" si="46"/>
        <v>0.17333700889779707</v>
      </c>
      <c r="BA31" s="19">
        <f t="shared" si="34"/>
        <v>2.1667126112224634E-2</v>
      </c>
      <c r="BB31">
        <f t="shared" si="47"/>
        <v>2.8690388237919655</v>
      </c>
      <c r="BC31">
        <f t="shared" si="48"/>
        <v>4.3099753740020574</v>
      </c>
      <c r="BD31">
        <f t="shared" si="49"/>
        <v>2.7824056668274384</v>
      </c>
      <c r="BE31" s="13">
        <f t="shared" si="50"/>
        <v>4.1053137187354256</v>
      </c>
      <c r="BF31">
        <f t="shared" si="26"/>
        <v>15.602713724509584</v>
      </c>
      <c r="BG31">
        <f t="shared" si="27"/>
        <v>14.161777174299493</v>
      </c>
      <c r="BH31">
        <f t="shared" si="28"/>
        <v>15.689346881474112</v>
      </c>
      <c r="BI31">
        <f t="shared" si="29"/>
        <v>14.366438829566125</v>
      </c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</row>
    <row r="32" spans="1:93" x14ac:dyDescent="0.25">
      <c r="A32">
        <v>26</v>
      </c>
      <c r="B32" s="19" t="s">
        <v>49</v>
      </c>
      <c r="D32" s="13">
        <v>856</v>
      </c>
      <c r="F32" s="13">
        <v>805</v>
      </c>
      <c r="G32" s="19"/>
      <c r="H32" s="21">
        <f t="shared" si="6"/>
        <v>0.94042056074766356</v>
      </c>
      <c r="K32" s="21">
        <v>20</v>
      </c>
      <c r="L32" s="21" t="s">
        <v>36</v>
      </c>
      <c r="M32" s="17">
        <v>0</v>
      </c>
      <c r="N32">
        <f t="shared" si="37"/>
        <v>0</v>
      </c>
      <c r="O32">
        <v>0</v>
      </c>
      <c r="P32">
        <f t="shared" si="38"/>
        <v>0</v>
      </c>
      <c r="Q32">
        <f t="shared" si="39"/>
        <v>0</v>
      </c>
      <c r="R32">
        <f t="shared" si="40"/>
        <v>0</v>
      </c>
      <c r="S32">
        <f t="shared" si="41"/>
        <v>0</v>
      </c>
      <c r="AA32">
        <v>15</v>
      </c>
      <c r="AB32" s="19" t="s">
        <v>57</v>
      </c>
      <c r="AC32" s="13">
        <v>1496</v>
      </c>
      <c r="AD32">
        <f t="shared" si="42"/>
        <v>1496</v>
      </c>
      <c r="AE32" s="13">
        <v>2.5</v>
      </c>
      <c r="AF32" s="29">
        <f t="shared" si="51"/>
        <v>1.3068262418358694E-2</v>
      </c>
      <c r="AG32">
        <f t="shared" si="16"/>
        <v>20</v>
      </c>
      <c r="AH32">
        <f t="shared" si="17"/>
        <v>1.3650169952459195</v>
      </c>
      <c r="AI32" s="13">
        <f t="shared" si="43"/>
        <v>0.17462996488646748</v>
      </c>
      <c r="AJ32" s="19">
        <f t="shared" si="30"/>
        <v>2.1828745610808435E-2</v>
      </c>
      <c r="AK32">
        <f t="shared" si="31"/>
        <v>0.36130494595654572</v>
      </c>
      <c r="AL32">
        <f t="shared" si="18"/>
        <v>0.54276554456649295</v>
      </c>
      <c r="AM32">
        <f t="shared" si="32"/>
        <v>0.35039502454469695</v>
      </c>
      <c r="AN32" s="13">
        <f t="shared" si="19"/>
        <v>0.51699201104638692</v>
      </c>
      <c r="AO32">
        <f t="shared" si="20"/>
        <v>18.099048093911065</v>
      </c>
      <c r="AP32">
        <f t="shared" si="21"/>
        <v>17.91758749530112</v>
      </c>
      <c r="AQ32">
        <f t="shared" si="33"/>
        <v>18.109958015322917</v>
      </c>
      <c r="AR32">
        <f t="shared" si="22"/>
        <v>17.943361028821226</v>
      </c>
      <c r="AT32" s="19" t="s">
        <v>57</v>
      </c>
      <c r="AU32">
        <f t="shared" si="44"/>
        <v>1492.6357521440593</v>
      </c>
      <c r="AV32" s="13">
        <v>2.5</v>
      </c>
      <c r="AW32" s="30">
        <f t="shared" si="52"/>
        <v>1.3054083255981824E-2</v>
      </c>
      <c r="AX32">
        <f t="shared" si="24"/>
        <v>20</v>
      </c>
      <c r="AY32">
        <f t="shared" si="45"/>
        <v>1.3635359416059505</v>
      </c>
      <c r="AZ32" s="13">
        <f t="shared" si="46"/>
        <v>0.17444049006963844</v>
      </c>
      <c r="BA32" s="19">
        <f t="shared" si="34"/>
        <v>2.1805061258704805E-2</v>
      </c>
      <c r="BB32">
        <f t="shared" si="47"/>
        <v>2.8873034191225737</v>
      </c>
      <c r="BC32">
        <f t="shared" si="48"/>
        <v>4.3374131191584624</v>
      </c>
      <c r="BD32">
        <f t="shared" si="49"/>
        <v>2.8001187465978363</v>
      </c>
      <c r="BE32" s="13">
        <f t="shared" si="50"/>
        <v>4.1314485668093166</v>
      </c>
      <c r="BF32">
        <f t="shared" si="26"/>
        <v>15.574720149201838</v>
      </c>
      <c r="BG32">
        <f t="shared" si="27"/>
        <v>14.124610449165949</v>
      </c>
      <c r="BH32">
        <f t="shared" si="28"/>
        <v>15.661904821726575</v>
      </c>
      <c r="BI32">
        <f t="shared" si="29"/>
        <v>14.330575001515093</v>
      </c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</row>
    <row r="33" spans="1:93" ht="15.75" thickBot="1" x14ac:dyDescent="0.3">
      <c r="A33">
        <v>27</v>
      </c>
      <c r="B33" s="19" t="s">
        <v>50</v>
      </c>
      <c r="C33">
        <v>16337</v>
      </c>
      <c r="D33" s="13">
        <v>1476</v>
      </c>
      <c r="E33">
        <v>202245</v>
      </c>
      <c r="F33" s="13"/>
      <c r="G33" s="19"/>
      <c r="H33" s="21">
        <f t="shared" si="6"/>
        <v>0</v>
      </c>
      <c r="AA33" s="10">
        <v>16</v>
      </c>
      <c r="AB33" s="80" t="s">
        <v>58</v>
      </c>
      <c r="AC33" s="80">
        <v>1228</v>
      </c>
      <c r="AD33" s="81">
        <f t="shared" si="42"/>
        <v>1228</v>
      </c>
      <c r="AE33" s="82">
        <v>2.5</v>
      </c>
      <c r="AF33" s="105">
        <f t="shared" si="51"/>
        <v>1.1012485019960487E-2</v>
      </c>
      <c r="AG33" s="83">
        <f t="shared" si="16"/>
        <v>20</v>
      </c>
      <c r="AH33" s="83">
        <f t="shared" si="17"/>
        <v>1.1502852277453066</v>
      </c>
      <c r="AI33" s="82">
        <f t="shared" si="43"/>
        <v>0.14715880434470047</v>
      </c>
      <c r="AJ33" s="80">
        <f t="shared" si="30"/>
        <v>1.8394850543087558E-2</v>
      </c>
      <c r="AK33" s="83">
        <f t="shared" si="31"/>
        <v>0.30446781504742837</v>
      </c>
      <c r="AL33" s="83">
        <f t="shared" si="18"/>
        <v>0.4573827214008383</v>
      </c>
      <c r="AM33" s="83">
        <f t="shared" si="32"/>
        <v>0.29527414091764148</v>
      </c>
      <c r="AN33" s="82">
        <f t="shared" si="19"/>
        <v>0.43566364026248572</v>
      </c>
      <c r="AO33" s="83">
        <f t="shared" si="20"/>
        <v>18.398088152862563</v>
      </c>
      <c r="AP33" s="83">
        <f t="shared" si="21"/>
        <v>18.245173246509154</v>
      </c>
      <c r="AQ33" s="83">
        <f t="shared" si="33"/>
        <v>18.407281826992353</v>
      </c>
      <c r="AR33" s="83">
        <f t="shared" si="22"/>
        <v>18.266892327647508</v>
      </c>
      <c r="AS33" s="17"/>
      <c r="AT33" s="80" t="s">
        <v>58</v>
      </c>
      <c r="AU33" s="83">
        <f t="shared" si="44"/>
        <v>1225.0547756947874</v>
      </c>
      <c r="AV33" s="82">
        <v>2.5</v>
      </c>
      <c r="AW33" s="105">
        <f t="shared" si="52"/>
        <v>1.0999206825006156E-2</v>
      </c>
      <c r="AX33" s="83">
        <f t="shared" si="24"/>
        <v>20</v>
      </c>
      <c r="AY33" s="83">
        <f t="shared" si="45"/>
        <v>1.1488982827025298</v>
      </c>
      <c r="AZ33" s="82">
        <f t="shared" si="46"/>
        <v>0.14698136907102757</v>
      </c>
      <c r="BA33" s="80">
        <f t="shared" si="34"/>
        <v>1.8372671133878447E-2</v>
      </c>
      <c r="BB33" s="81">
        <f t="shared" si="47"/>
        <v>2.4328056479128097</v>
      </c>
      <c r="BC33" s="83">
        <f t="shared" si="48"/>
        <v>3.6546498936459231</v>
      </c>
      <c r="BD33" s="83">
        <f t="shared" si="49"/>
        <v>2.3593449363281347</v>
      </c>
      <c r="BE33" s="82">
        <f t="shared" si="50"/>
        <v>3.4811067450782169</v>
      </c>
      <c r="BF33" s="81">
        <f t="shared" si="26"/>
        <v>16.271314700313631</v>
      </c>
      <c r="BG33" s="83">
        <f t="shared" si="27"/>
        <v>15.049470454580518</v>
      </c>
      <c r="BH33" s="83">
        <f t="shared" si="28"/>
        <v>16.344775411898308</v>
      </c>
      <c r="BI33" s="83">
        <f t="shared" si="29"/>
        <v>15.223013603148225</v>
      </c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</row>
    <row r="34" spans="1:93" x14ac:dyDescent="0.25">
      <c r="D34" s="13"/>
      <c r="M34" s="21"/>
      <c r="N34" s="65" t="s">
        <v>165</v>
      </c>
      <c r="O34" s="21"/>
      <c r="AA34">
        <v>17</v>
      </c>
      <c r="AB34" s="72" t="s">
        <v>59</v>
      </c>
      <c r="AC34" s="72">
        <v>487</v>
      </c>
      <c r="AD34" s="86">
        <f>IF(AVERAGE($AC$34:$AC$35)&gt;0, AC34-MAX($AC$34:$AC$35), AC34)</f>
        <v>-6</v>
      </c>
      <c r="AE34" s="72">
        <v>0</v>
      </c>
      <c r="AF34" s="72">
        <f>IF(AD34&lt;=0,0,(AD34+207.635)/130364.309)</f>
        <v>0</v>
      </c>
      <c r="AG34" s="87">
        <f>AE34*6</f>
        <v>0</v>
      </c>
      <c r="AH34" s="86">
        <f>AF34*$W$13</f>
        <v>0</v>
      </c>
      <c r="AI34" s="72">
        <f t="shared" ref="AI34:AI45" si="53">(AF34/$AI$2)*6</f>
        <v>0</v>
      </c>
      <c r="AJ34" s="71">
        <f>AI34/6</f>
        <v>0</v>
      </c>
      <c r="AK34" s="86">
        <f>($AJ34*$AM$2)*20</f>
        <v>0</v>
      </c>
      <c r="AL34" s="86">
        <f>($AJ34*$AM$3)*20</f>
        <v>0</v>
      </c>
      <c r="AM34" s="86">
        <f>($AJ34*$AM$4)*20</f>
        <v>0</v>
      </c>
      <c r="AN34" s="72">
        <f>($AJ34*$AM$5)*20</f>
        <v>0</v>
      </c>
      <c r="AO34" s="86">
        <f t="shared" si="20"/>
        <v>0</v>
      </c>
      <c r="AP34" s="86">
        <f t="shared" si="21"/>
        <v>0</v>
      </c>
      <c r="AQ34" s="86">
        <f t="shared" si="33"/>
        <v>0</v>
      </c>
      <c r="AR34" s="86">
        <f t="shared" si="22"/>
        <v>0</v>
      </c>
      <c r="AT34" s="72" t="s">
        <v>59</v>
      </c>
      <c r="AU34" s="86">
        <f t="shared" si="44"/>
        <v>0</v>
      </c>
      <c r="AV34" s="72">
        <v>0</v>
      </c>
      <c r="AW34" s="72">
        <f>IF(AU34&lt;=0,0,((AU34+207.235)/130217.551))</f>
        <v>0</v>
      </c>
      <c r="AX34" s="87">
        <f>AV34*6</f>
        <v>0</v>
      </c>
      <c r="AY34" s="86">
        <f>AW34*$W$13</f>
        <v>0</v>
      </c>
      <c r="AZ34" s="72">
        <f t="shared" ref="AZ34:AZ45" si="54">(AW34/$AI$2)*6</f>
        <v>0</v>
      </c>
      <c r="BA34" s="71">
        <f>AZ34/6</f>
        <v>0</v>
      </c>
      <c r="BB34" s="86">
        <f t="shared" ref="BB34:BB45" si="55">($AZ34*$AM$2)*20</f>
        <v>0</v>
      </c>
      <c r="BC34" s="86">
        <f t="shared" ref="BC34:BC45" si="56">($AZ34*$AM$3)*20</f>
        <v>0</v>
      </c>
      <c r="BD34" s="86">
        <f t="shared" ref="BD34:BD45" si="57">($AZ34*$AM$4)*20</f>
        <v>0</v>
      </c>
      <c r="BE34" s="72">
        <f t="shared" ref="BE34:BE45" si="58">($AZ34*$AM$5)*20</f>
        <v>0</v>
      </c>
      <c r="BF34" s="86">
        <f t="shared" si="26"/>
        <v>0</v>
      </c>
      <c r="BG34" s="86">
        <f t="shared" si="27"/>
        <v>0</v>
      </c>
      <c r="BH34" s="86">
        <f t="shared" si="28"/>
        <v>0</v>
      </c>
      <c r="BI34" s="86">
        <f t="shared" si="29"/>
        <v>0</v>
      </c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</row>
    <row r="35" spans="1:93" x14ac:dyDescent="0.25">
      <c r="K35" s="27">
        <v>44413</v>
      </c>
      <c r="L35" s="26" t="s">
        <v>96</v>
      </c>
      <c r="M35" s="21" t="s">
        <v>97</v>
      </c>
      <c r="N35" s="65" t="s">
        <v>166</v>
      </c>
      <c r="O35" s="21" t="s">
        <v>98</v>
      </c>
      <c r="P35" t="s">
        <v>99</v>
      </c>
      <c r="Q35" t="s">
        <v>100</v>
      </c>
      <c r="R35" t="s">
        <v>101</v>
      </c>
      <c r="S35" t="s">
        <v>102</v>
      </c>
      <c r="AA35">
        <v>18</v>
      </c>
      <c r="AB35" s="72" t="s">
        <v>60</v>
      </c>
      <c r="AC35" s="72">
        <v>493</v>
      </c>
      <c r="AD35" s="86">
        <f t="shared" ref="AD35:AD39" si="59">IF(AVERAGE($AC$34:$AC$35)&gt;0, AC35-MAX($AC$34:$AC$35), AC35)</f>
        <v>0</v>
      </c>
      <c r="AE35" s="72">
        <v>0</v>
      </c>
      <c r="AF35" s="72">
        <f t="shared" ref="AF35:AF39" si="60">IF(AD35&lt;=0,0,(AD35+207.635)/130364.309)</f>
        <v>0</v>
      </c>
      <c r="AG35" s="87">
        <f t="shared" ref="AG35:AG45" si="61">AE35*6</f>
        <v>0</v>
      </c>
      <c r="AH35" s="86">
        <f t="shared" ref="AH35:AH45" si="62">AF35*$W$13</f>
        <v>0</v>
      </c>
      <c r="AI35" s="72">
        <f t="shared" si="53"/>
        <v>0</v>
      </c>
      <c r="AJ35" s="71">
        <f t="shared" ref="AJ35:AJ60" si="63">AI35/6</f>
        <v>0</v>
      </c>
      <c r="AK35" s="86">
        <f t="shared" ref="AK35:AK45" si="64">($AJ35*$AM$2)*20</f>
        <v>0</v>
      </c>
      <c r="AL35" s="86">
        <f t="shared" ref="AL35:AL45" si="65">($AJ35*$AM$3)*20</f>
        <v>0</v>
      </c>
      <c r="AM35" s="86">
        <f t="shared" ref="AM35:AM45" si="66">($AJ35*$AM$4)*20</f>
        <v>0</v>
      </c>
      <c r="AN35" s="72">
        <f t="shared" ref="AN35:AN45" si="67">($AJ35*$AM$5)*20</f>
        <v>0</v>
      </c>
      <c r="AO35" s="86">
        <f t="shared" si="20"/>
        <v>0</v>
      </c>
      <c r="AP35" s="86">
        <f t="shared" si="21"/>
        <v>0</v>
      </c>
      <c r="AQ35" s="86">
        <f t="shared" si="33"/>
        <v>0</v>
      </c>
      <c r="AR35" s="86">
        <f t="shared" si="22"/>
        <v>0</v>
      </c>
      <c r="AT35" s="72" t="s">
        <v>60</v>
      </c>
      <c r="AU35" s="86">
        <f t="shared" si="44"/>
        <v>0</v>
      </c>
      <c r="AV35" s="72">
        <v>0</v>
      </c>
      <c r="AW35" s="72">
        <f t="shared" ref="AW35:AW39" si="68">IF(AU35&lt;=0,0,((AU35+207.235)/130217.551))</f>
        <v>0</v>
      </c>
      <c r="AX35" s="87">
        <f t="shared" ref="AX35:AX45" si="69">AV35*6</f>
        <v>0</v>
      </c>
      <c r="AY35" s="86">
        <f t="shared" ref="AY35:AY45" si="70">AW35*$W$13</f>
        <v>0</v>
      </c>
      <c r="AZ35" s="72">
        <f t="shared" si="54"/>
        <v>0</v>
      </c>
      <c r="BA35" s="71">
        <f t="shared" ref="BA35:BA60" si="71">AZ35/6</f>
        <v>0</v>
      </c>
      <c r="BB35" s="86">
        <f t="shared" si="55"/>
        <v>0</v>
      </c>
      <c r="BC35" s="86">
        <f t="shared" si="56"/>
        <v>0</v>
      </c>
      <c r="BD35" s="86">
        <f t="shared" si="57"/>
        <v>0</v>
      </c>
      <c r="BE35" s="72">
        <f t="shared" si="58"/>
        <v>0</v>
      </c>
      <c r="BF35" s="86">
        <f t="shared" si="26"/>
        <v>0</v>
      </c>
      <c r="BG35" s="86">
        <f t="shared" si="27"/>
        <v>0</v>
      </c>
      <c r="BH35" s="86">
        <f t="shared" si="28"/>
        <v>0</v>
      </c>
      <c r="BI35" s="86">
        <f t="shared" si="29"/>
        <v>0</v>
      </c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</row>
    <row r="36" spans="1:93" x14ac:dyDescent="0.25">
      <c r="A36" t="s">
        <v>51</v>
      </c>
      <c r="K36" t="s">
        <v>12</v>
      </c>
      <c r="L36" t="s">
        <v>103</v>
      </c>
      <c r="M36" s="21" t="s">
        <v>108</v>
      </c>
      <c r="N36" s="63" t="s">
        <v>167</v>
      </c>
      <c r="O36" s="21" t="s">
        <v>4</v>
      </c>
      <c r="P36" t="s">
        <v>104</v>
      </c>
      <c r="Q36" t="s">
        <v>104</v>
      </c>
      <c r="R36" t="s">
        <v>104</v>
      </c>
      <c r="S36" t="s">
        <v>4</v>
      </c>
      <c r="AA36">
        <v>19</v>
      </c>
      <c r="AB36" s="13" t="s">
        <v>61</v>
      </c>
      <c r="AC36" s="13">
        <v>532</v>
      </c>
      <c r="AD36" s="65">
        <f t="shared" si="59"/>
        <v>39</v>
      </c>
      <c r="AE36" s="13">
        <v>2.5</v>
      </c>
      <c r="AF36" s="30">
        <f t="shared" si="60"/>
        <v>1.8918905173654548E-3</v>
      </c>
      <c r="AG36" s="17">
        <f t="shared" si="61"/>
        <v>15</v>
      </c>
      <c r="AH36">
        <f t="shared" si="62"/>
        <v>0.19977727933793532</v>
      </c>
      <c r="AI36" s="13">
        <f t="shared" si="53"/>
        <v>1.8960866642403117E-2</v>
      </c>
      <c r="AJ36" s="19">
        <f t="shared" si="63"/>
        <v>3.1601444404005196E-3</v>
      </c>
      <c r="AK36">
        <f t="shared" si="64"/>
        <v>1.3227246798602856</v>
      </c>
      <c r="AL36">
        <f t="shared" si="65"/>
        <v>2.1085319080939073</v>
      </c>
      <c r="AM36">
        <f t="shared" si="66"/>
        <v>1.1772170069380017</v>
      </c>
      <c r="AN36" s="13">
        <f t="shared" si="67"/>
        <v>1.6737389014137309</v>
      </c>
      <c r="AO36">
        <f t="shared" si="20"/>
        <v>13.458537174159376</v>
      </c>
      <c r="AP36">
        <f t="shared" si="21"/>
        <v>12.672729945925754</v>
      </c>
      <c r="AQ36">
        <f t="shared" si="33"/>
        <v>13.60404484708166</v>
      </c>
      <c r="AR36">
        <f t="shared" si="22"/>
        <v>13.107522952605931</v>
      </c>
      <c r="AT36" s="13" t="s">
        <v>61</v>
      </c>
      <c r="AU36">
        <f t="shared" si="44"/>
        <v>38.888974438893563</v>
      </c>
      <c r="AV36" s="13">
        <v>2.5</v>
      </c>
      <c r="AW36" s="30">
        <f t="shared" si="68"/>
        <v>1.8900983204552324E-3</v>
      </c>
      <c r="AX36" s="17">
        <f t="shared" si="69"/>
        <v>15</v>
      </c>
      <c r="AY36">
        <f t="shared" si="70"/>
        <v>0.19958802936840717</v>
      </c>
      <c r="AZ36" s="13">
        <f t="shared" si="54"/>
        <v>1.8942904923001415E-2</v>
      </c>
      <c r="BA36" s="19">
        <f t="shared" si="71"/>
        <v>3.157150820500236E-3</v>
      </c>
      <c r="BB36">
        <f t="shared" si="55"/>
        <v>7.9288299387749586</v>
      </c>
      <c r="BC36">
        <f t="shared" si="56"/>
        <v>12.639206914566028</v>
      </c>
      <c r="BD36">
        <f t="shared" si="57"/>
        <v>7.056610941916488</v>
      </c>
      <c r="BE36" s="13">
        <f t="shared" si="58"/>
        <v>10.032920163418469</v>
      </c>
      <c r="BF36">
        <f t="shared" si="26"/>
        <v>6.8526391269336333</v>
      </c>
      <c r="BG36">
        <f t="shared" si="27"/>
        <v>2.1422621511425639</v>
      </c>
      <c r="BH36">
        <f t="shared" si="28"/>
        <v>7.724858123792103</v>
      </c>
      <c r="BI36">
        <f t="shared" si="29"/>
        <v>4.7485489022901231</v>
      </c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</row>
    <row r="37" spans="1:93" x14ac:dyDescent="0.25">
      <c r="A37" t="s">
        <v>23</v>
      </c>
      <c r="K37" s="21">
        <v>1</v>
      </c>
      <c r="L37" s="21" t="s">
        <v>77</v>
      </c>
      <c r="M37" s="21">
        <v>0</v>
      </c>
      <c r="N37">
        <f>IF(M37&lt;=0,0,M37*((87.462*0+85590.534)/(87.462*K37+85590.534)))</f>
        <v>0</v>
      </c>
      <c r="O37" s="21">
        <v>0</v>
      </c>
      <c r="P37">
        <f>O37*10</f>
        <v>0</v>
      </c>
      <c r="Q37">
        <f>(O37*10*10)/($L$1*(10+10))</f>
        <v>0</v>
      </c>
      <c r="R37">
        <f>P37-Q37</f>
        <v>0</v>
      </c>
      <c r="S37">
        <f t="shared" ref="S37:S45" si="72">R37/10</f>
        <v>0</v>
      </c>
      <c r="AA37">
        <v>21</v>
      </c>
      <c r="AB37" s="13" t="s">
        <v>64</v>
      </c>
      <c r="AC37" s="13">
        <v>645</v>
      </c>
      <c r="AD37" s="65">
        <f t="shared" si="59"/>
        <v>152</v>
      </c>
      <c r="AE37" s="13">
        <v>2.5</v>
      </c>
      <c r="AF37" s="30">
        <f t="shared" si="60"/>
        <v>2.758692181615445E-3</v>
      </c>
      <c r="AG37" s="17">
        <f t="shared" si="61"/>
        <v>15</v>
      </c>
      <c r="AH37">
        <f t="shared" si="62"/>
        <v>0.29130862146369479</v>
      </c>
      <c r="AI37" s="13">
        <f t="shared" si="53"/>
        <v>2.7648108642085042E-2</v>
      </c>
      <c r="AJ37" s="19">
        <f t="shared" si="63"/>
        <v>4.6080181070141737E-3</v>
      </c>
      <c r="AK37">
        <f t="shared" si="64"/>
        <v>1.9287533814809488</v>
      </c>
      <c r="AL37">
        <f t="shared" si="65"/>
        <v>3.0745914925592563</v>
      </c>
      <c r="AM37">
        <f t="shared" si="66"/>
        <v>1.7165789052249201</v>
      </c>
      <c r="AN37" s="13">
        <f t="shared" si="67"/>
        <v>2.440590710198987</v>
      </c>
      <c r="AO37">
        <f t="shared" si="20"/>
        <v>12.752289888413271</v>
      </c>
      <c r="AP37">
        <f t="shared" si="21"/>
        <v>11.606451777334964</v>
      </c>
      <c r="AQ37">
        <f t="shared" si="33"/>
        <v>12.964464364669301</v>
      </c>
      <c r="AR37">
        <f t="shared" si="22"/>
        <v>12.240452559695234</v>
      </c>
      <c r="AT37" s="13" t="s">
        <v>64</v>
      </c>
      <c r="AU37">
        <f t="shared" si="44"/>
        <v>151.52187932008337</v>
      </c>
      <c r="AV37" s="13">
        <v>2.5</v>
      </c>
      <c r="AW37" s="30">
        <f t="shared" si="68"/>
        <v>2.755057798008222E-3</v>
      </c>
      <c r="AX37" s="17">
        <f t="shared" si="69"/>
        <v>15</v>
      </c>
      <c r="AY37">
        <f t="shared" si="70"/>
        <v>0.29092484277118752</v>
      </c>
      <c r="AZ37" s="13">
        <f t="shared" si="54"/>
        <v>2.7611684196657903E-2</v>
      </c>
      <c r="BA37" s="19">
        <f t="shared" si="71"/>
        <v>4.6019473661096507E-3</v>
      </c>
      <c r="BB37">
        <f t="shared" si="55"/>
        <v>11.557274304461451</v>
      </c>
      <c r="BC37">
        <f t="shared" si="56"/>
        <v>18.423245602497396</v>
      </c>
      <c r="BD37">
        <f t="shared" si="57"/>
        <v>10.285904596939002</v>
      </c>
      <c r="BE37" s="13">
        <f t="shared" si="58"/>
        <v>14.624252417917891</v>
      </c>
      <c r="BF37">
        <f t="shared" si="26"/>
        <v>3.1241891685707035</v>
      </c>
      <c r="BG37">
        <f t="shared" si="27"/>
        <v>-3.7417821294652427</v>
      </c>
      <c r="BH37">
        <f t="shared" si="28"/>
        <v>4.395558876093153</v>
      </c>
      <c r="BI37">
        <f t="shared" si="29"/>
        <v>5.7211055114263942E-2</v>
      </c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</row>
    <row r="38" spans="1:93" x14ac:dyDescent="0.25">
      <c r="A38" t="s">
        <v>1</v>
      </c>
      <c r="K38" s="21">
        <v>2</v>
      </c>
      <c r="L38" s="21" t="s">
        <v>24</v>
      </c>
      <c r="M38" s="21">
        <v>0</v>
      </c>
      <c r="N38">
        <f>IF(M38&lt;=0,0,M38*((87.462*0+85590.534)/(87.462*K38+85590.534)))</f>
        <v>0</v>
      </c>
      <c r="O38" s="21">
        <v>0</v>
      </c>
      <c r="P38">
        <f t="shared" ref="P38:P45" si="73">O38*10</f>
        <v>0</v>
      </c>
      <c r="Q38">
        <f t="shared" ref="Q38:Q45" si="74">(O38*10*10)/($L$1*(10+10))</f>
        <v>0</v>
      </c>
      <c r="R38">
        <f t="shared" ref="R38:R45" si="75">P38-Q38</f>
        <v>0</v>
      </c>
      <c r="S38">
        <f t="shared" si="72"/>
        <v>0</v>
      </c>
      <c r="AA38">
        <v>22</v>
      </c>
      <c r="AB38" s="13" t="s">
        <v>62</v>
      </c>
      <c r="AC38" s="19">
        <v>515</v>
      </c>
      <c r="AD38" s="65">
        <f t="shared" si="59"/>
        <v>22</v>
      </c>
      <c r="AE38" s="13">
        <v>2.5</v>
      </c>
      <c r="AF38" s="30">
        <f t="shared" si="60"/>
        <v>1.7614867271685535E-3</v>
      </c>
      <c r="AG38" s="17">
        <f t="shared" si="61"/>
        <v>15</v>
      </c>
      <c r="AH38">
        <f t="shared" si="62"/>
        <v>0.18600707742521044</v>
      </c>
      <c r="AI38" s="13">
        <f t="shared" si="53"/>
        <v>1.7653936430061586E-2</v>
      </c>
      <c r="AJ38" s="19">
        <f t="shared" si="63"/>
        <v>2.9423227383435975E-3</v>
      </c>
      <c r="AK38">
        <f t="shared" si="64"/>
        <v>1.2315522203244336</v>
      </c>
      <c r="AL38">
        <f t="shared" si="65"/>
        <v>1.9631955104309777</v>
      </c>
      <c r="AM38">
        <f t="shared" si="66"/>
        <v>1.0960740664877571</v>
      </c>
      <c r="AN38" s="13">
        <f t="shared" si="67"/>
        <v>1.5583718151363031</v>
      </c>
      <c r="AO38">
        <f t="shared" si="20"/>
        <v>13.564786765820294</v>
      </c>
      <c r="AP38">
        <f t="shared" si="21"/>
        <v>12.833143475713751</v>
      </c>
      <c r="AQ38">
        <f t="shared" si="33"/>
        <v>13.70026491965697</v>
      </c>
      <c r="AR38">
        <f t="shared" si="22"/>
        <v>13.237967171008425</v>
      </c>
      <c r="AT38" s="13" t="s">
        <v>62</v>
      </c>
      <c r="AU38">
        <f t="shared" si="44"/>
        <v>21.927513862168503</v>
      </c>
      <c r="AV38" s="13">
        <v>2.5</v>
      </c>
      <c r="AW38" s="30">
        <f t="shared" si="68"/>
        <v>1.7598435241818402E-3</v>
      </c>
      <c r="AX38" s="17">
        <f t="shared" si="69"/>
        <v>15</v>
      </c>
      <c r="AY38">
        <f t="shared" si="70"/>
        <v>0.18583356071318491</v>
      </c>
      <c r="AZ38" s="13">
        <f t="shared" si="54"/>
        <v>1.7637467954527995E-2</v>
      </c>
      <c r="BA38" s="19">
        <f t="shared" si="71"/>
        <v>2.9395779924213327E-3</v>
      </c>
      <c r="BB38">
        <f t="shared" si="55"/>
        <v>7.3824202006229465</v>
      </c>
      <c r="BC38">
        <f t="shared" si="56"/>
        <v>11.768184860370708</v>
      </c>
      <c r="BD38">
        <f t="shared" si="57"/>
        <v>6.5703095624207695</v>
      </c>
      <c r="BE38" s="13">
        <f t="shared" si="58"/>
        <v>9.3415085274362077</v>
      </c>
      <c r="BF38">
        <f t="shared" si="26"/>
        <v>7.4141087707093405</v>
      </c>
      <c r="BG38">
        <f t="shared" si="27"/>
        <v>3.0283441109615801</v>
      </c>
      <c r="BH38">
        <f t="shared" si="28"/>
        <v>8.2262194089115184</v>
      </c>
      <c r="BI38">
        <f t="shared" si="29"/>
        <v>5.4550204438960801</v>
      </c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</row>
    <row r="39" spans="1:93" x14ac:dyDescent="0.25">
      <c r="A39" t="s">
        <v>5</v>
      </c>
      <c r="K39" s="21">
        <v>3</v>
      </c>
      <c r="L39" s="21" t="s">
        <v>45</v>
      </c>
      <c r="M39" s="21">
        <v>682</v>
      </c>
      <c r="N39">
        <f t="shared" ref="N39:N45" si="76">IF(M39&lt;=0,0,M39*((87.462*0+85590.534)/(87.462*K39+85590.534)))</f>
        <v>679.91565328238107</v>
      </c>
      <c r="O39" s="21">
        <v>0.05</v>
      </c>
      <c r="P39">
        <f t="shared" si="73"/>
        <v>0.5</v>
      </c>
      <c r="Q39">
        <f t="shared" si="74"/>
        <v>0.41759081873315362</v>
      </c>
      <c r="R39">
        <f t="shared" si="75"/>
        <v>8.2409181266846376E-2</v>
      </c>
      <c r="S39">
        <f t="shared" si="72"/>
        <v>8.2409181266846383E-3</v>
      </c>
      <c r="AA39">
        <v>23</v>
      </c>
      <c r="AB39" s="13" t="s">
        <v>65</v>
      </c>
      <c r="AC39" s="20">
        <v>479</v>
      </c>
      <c r="AD39" s="89">
        <f t="shared" si="59"/>
        <v>-14</v>
      </c>
      <c r="AE39" s="11">
        <v>2.5</v>
      </c>
      <c r="AF39" s="28">
        <f t="shared" si="60"/>
        <v>0</v>
      </c>
      <c r="AG39" s="23">
        <f t="shared" si="61"/>
        <v>15</v>
      </c>
      <c r="AH39" s="10">
        <f t="shared" si="62"/>
        <v>0</v>
      </c>
      <c r="AI39" s="11">
        <f t="shared" si="53"/>
        <v>0</v>
      </c>
      <c r="AJ39" s="20">
        <f t="shared" si="63"/>
        <v>0</v>
      </c>
      <c r="AK39" s="10">
        <f t="shared" si="64"/>
        <v>0</v>
      </c>
      <c r="AL39" s="10">
        <f t="shared" si="65"/>
        <v>0</v>
      </c>
      <c r="AM39" s="10">
        <f t="shared" si="66"/>
        <v>0</v>
      </c>
      <c r="AN39" s="11">
        <f t="shared" si="67"/>
        <v>0</v>
      </c>
      <c r="AO39" s="10">
        <f t="shared" si="20"/>
        <v>15</v>
      </c>
      <c r="AP39" s="10">
        <f t="shared" si="21"/>
        <v>15</v>
      </c>
      <c r="AQ39" s="10">
        <f t="shared" si="33"/>
        <v>15</v>
      </c>
      <c r="AR39" s="10">
        <f t="shared" si="22"/>
        <v>15</v>
      </c>
      <c r="AS39" s="17"/>
      <c r="AT39" s="13" t="s">
        <v>65</v>
      </c>
      <c r="AU39" s="10">
        <f t="shared" si="44"/>
        <v>0</v>
      </c>
      <c r="AV39" s="11">
        <v>2.5</v>
      </c>
      <c r="AW39" s="28">
        <f t="shared" si="68"/>
        <v>0</v>
      </c>
      <c r="AX39" s="23">
        <f t="shared" si="69"/>
        <v>15</v>
      </c>
      <c r="AY39" s="10">
        <f t="shared" si="70"/>
        <v>0</v>
      </c>
      <c r="AZ39" s="11">
        <f t="shared" si="54"/>
        <v>0</v>
      </c>
      <c r="BA39" s="20">
        <f t="shared" si="71"/>
        <v>0</v>
      </c>
      <c r="BB39" s="9">
        <f t="shared" si="55"/>
        <v>0</v>
      </c>
      <c r="BC39" s="10">
        <f t="shared" si="56"/>
        <v>0</v>
      </c>
      <c r="BD39" s="10">
        <f t="shared" si="57"/>
        <v>0</v>
      </c>
      <c r="BE39" s="11">
        <f t="shared" si="58"/>
        <v>0</v>
      </c>
      <c r="BF39" s="9">
        <f t="shared" si="26"/>
        <v>15</v>
      </c>
      <c r="BG39" s="10">
        <f t="shared" si="27"/>
        <v>15</v>
      </c>
      <c r="BH39" s="10">
        <f t="shared" si="28"/>
        <v>15</v>
      </c>
      <c r="BI39" s="10">
        <f t="shared" si="29"/>
        <v>15</v>
      </c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</row>
    <row r="40" spans="1:93" x14ac:dyDescent="0.25">
      <c r="A40" s="4"/>
      <c r="B40" s="5"/>
      <c r="C40" s="3" t="s">
        <v>10</v>
      </c>
      <c r="D40" s="13"/>
      <c r="E40" t="s">
        <v>9</v>
      </c>
      <c r="F40" s="13"/>
      <c r="G40" s="19" t="s">
        <v>7</v>
      </c>
      <c r="H40" s="19" t="s">
        <v>94</v>
      </c>
      <c r="K40" s="21">
        <v>4</v>
      </c>
      <c r="L40" s="21" t="s">
        <v>46</v>
      </c>
      <c r="M40" s="21">
        <v>687</v>
      </c>
      <c r="N40">
        <f t="shared" si="76"/>
        <v>684.20334526788588</v>
      </c>
      <c r="O40" s="21">
        <v>0.05</v>
      </c>
      <c r="P40">
        <f t="shared" si="73"/>
        <v>0.5</v>
      </c>
      <c r="Q40">
        <f t="shared" si="74"/>
        <v>0.41759081873315362</v>
      </c>
      <c r="R40">
        <f t="shared" si="75"/>
        <v>8.2409181266846376E-2</v>
      </c>
      <c r="S40">
        <f t="shared" si="72"/>
        <v>8.2409181266846383E-3</v>
      </c>
      <c r="AA40">
        <v>24</v>
      </c>
      <c r="AB40" s="73" t="s">
        <v>63</v>
      </c>
      <c r="AC40" s="72">
        <v>313</v>
      </c>
      <c r="AD40" s="86">
        <f>IF(AVERAGE($AC$40:$AC$41)&gt;0, AC40-MAX($AC$40:$AC$41), AC40)</f>
        <v>0</v>
      </c>
      <c r="AE40" s="72">
        <v>0</v>
      </c>
      <c r="AF40" s="72">
        <f>IF(AD40&lt;=0,0,(AD40+207.635)/130364.309)</f>
        <v>0</v>
      </c>
      <c r="AG40" s="87">
        <f t="shared" si="61"/>
        <v>0</v>
      </c>
      <c r="AH40" s="86">
        <f t="shared" si="62"/>
        <v>0</v>
      </c>
      <c r="AI40" s="72">
        <f t="shared" si="53"/>
        <v>0</v>
      </c>
      <c r="AJ40" s="71">
        <f t="shared" si="63"/>
        <v>0</v>
      </c>
      <c r="AK40" s="86">
        <f t="shared" si="64"/>
        <v>0</v>
      </c>
      <c r="AL40" s="86">
        <f t="shared" si="65"/>
        <v>0</v>
      </c>
      <c r="AM40" s="86">
        <f t="shared" si="66"/>
        <v>0</v>
      </c>
      <c r="AN40" s="72">
        <f t="shared" si="67"/>
        <v>0</v>
      </c>
      <c r="AO40" s="86">
        <f t="shared" si="20"/>
        <v>0</v>
      </c>
      <c r="AP40" s="86">
        <f t="shared" si="21"/>
        <v>0</v>
      </c>
      <c r="AQ40" s="86">
        <f t="shared" si="33"/>
        <v>0</v>
      </c>
      <c r="AR40" s="86">
        <f t="shared" si="22"/>
        <v>0</v>
      </c>
      <c r="AT40" s="73" t="s">
        <v>63</v>
      </c>
      <c r="AU40" s="86">
        <f t="shared" si="44"/>
        <v>0</v>
      </c>
      <c r="AV40" s="72">
        <v>0</v>
      </c>
      <c r="AW40" s="72">
        <f>IF(AU40&lt;=0,0,((AU40+207.235)/130217.551))</f>
        <v>0</v>
      </c>
      <c r="AX40" s="87">
        <f t="shared" si="69"/>
        <v>0</v>
      </c>
      <c r="AY40" s="86">
        <f t="shared" si="70"/>
        <v>0</v>
      </c>
      <c r="AZ40" s="72">
        <f t="shared" si="54"/>
        <v>0</v>
      </c>
      <c r="BA40" s="71">
        <f t="shared" si="71"/>
        <v>0</v>
      </c>
      <c r="BB40" s="86">
        <f t="shared" si="55"/>
        <v>0</v>
      </c>
      <c r="BC40" s="86">
        <f t="shared" si="56"/>
        <v>0</v>
      </c>
      <c r="BD40" s="86">
        <f t="shared" si="57"/>
        <v>0</v>
      </c>
      <c r="BE40" s="72">
        <f t="shared" si="58"/>
        <v>0</v>
      </c>
      <c r="BF40" s="86">
        <f t="shared" si="26"/>
        <v>0</v>
      </c>
      <c r="BG40" s="86">
        <f t="shared" si="27"/>
        <v>0</v>
      </c>
      <c r="BH40" s="86">
        <f t="shared" si="28"/>
        <v>0</v>
      </c>
      <c r="BI40" s="86">
        <f t="shared" si="29"/>
        <v>0</v>
      </c>
      <c r="BM40" s="17"/>
      <c r="BN40" s="99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</row>
    <row r="41" spans="1:93" x14ac:dyDescent="0.25">
      <c r="A41" s="9" t="s">
        <v>12</v>
      </c>
      <c r="B41" s="10" t="s">
        <v>13</v>
      </c>
      <c r="C41" s="9" t="s">
        <v>20</v>
      </c>
      <c r="D41" s="11" t="s">
        <v>108</v>
      </c>
      <c r="E41" s="9" t="s">
        <v>158</v>
      </c>
      <c r="F41" s="11" t="s">
        <v>159</v>
      </c>
      <c r="G41" s="11" t="s">
        <v>92</v>
      </c>
      <c r="H41" s="20" t="s">
        <v>160</v>
      </c>
      <c r="K41" s="21">
        <v>5</v>
      </c>
      <c r="L41" s="21" t="s">
        <v>26</v>
      </c>
      <c r="M41" s="21">
        <v>1550</v>
      </c>
      <c r="N41">
        <f>IF(M41&lt;=0,0,M41*((87.462*0+85590.534)/(87.462*K41+85590.534)))</f>
        <v>1542.1208010280952</v>
      </c>
      <c r="O41" s="21">
        <v>0.1</v>
      </c>
      <c r="P41">
        <f t="shared" si="73"/>
        <v>1</v>
      </c>
      <c r="Q41">
        <f t="shared" si="74"/>
        <v>0.83518163746630725</v>
      </c>
      <c r="R41">
        <f t="shared" si="75"/>
        <v>0.16481836253369275</v>
      </c>
      <c r="S41">
        <f t="shared" si="72"/>
        <v>1.6481836253369277E-2</v>
      </c>
      <c r="AA41">
        <v>25</v>
      </c>
      <c r="AB41" s="71" t="s">
        <v>66</v>
      </c>
      <c r="AC41" s="72">
        <v>0</v>
      </c>
      <c r="AD41" s="86">
        <f>IF(AVERAGE($AC$40:$AC$41)&gt;0, AC41-MAX($AC$40:$AC$41), AC41)</f>
        <v>-313</v>
      </c>
      <c r="AE41" s="72">
        <v>0</v>
      </c>
      <c r="AF41" s="72">
        <f t="shared" ref="AF41:AF45" si="77">IF(AD41&lt;=0,0,(AD41+207.635)/130364.309)</f>
        <v>0</v>
      </c>
      <c r="AG41" s="87">
        <f t="shared" si="61"/>
        <v>0</v>
      </c>
      <c r="AH41" s="86">
        <f t="shared" si="62"/>
        <v>0</v>
      </c>
      <c r="AI41" s="72">
        <f t="shared" si="53"/>
        <v>0</v>
      </c>
      <c r="AJ41" s="71">
        <f t="shared" si="63"/>
        <v>0</v>
      </c>
      <c r="AK41" s="86">
        <f t="shared" si="64"/>
        <v>0</v>
      </c>
      <c r="AL41" s="86">
        <f t="shared" si="65"/>
        <v>0</v>
      </c>
      <c r="AM41" s="86">
        <f t="shared" si="66"/>
        <v>0</v>
      </c>
      <c r="AN41" s="72">
        <f t="shared" si="67"/>
        <v>0</v>
      </c>
      <c r="AO41" s="86">
        <f t="shared" si="20"/>
        <v>0</v>
      </c>
      <c r="AP41" s="86">
        <f t="shared" si="21"/>
        <v>0</v>
      </c>
      <c r="AQ41" s="86">
        <f t="shared" si="33"/>
        <v>0</v>
      </c>
      <c r="AR41" s="86">
        <f t="shared" si="22"/>
        <v>0</v>
      </c>
      <c r="AT41" s="71" t="s">
        <v>66</v>
      </c>
      <c r="AU41" s="86">
        <f t="shared" si="44"/>
        <v>0</v>
      </c>
      <c r="AV41" s="72">
        <v>0</v>
      </c>
      <c r="AW41" s="72">
        <f t="shared" ref="AW41:AW45" si="78">IF(AU41&lt;=0,0,((AU41+207.235)/130217.551))</f>
        <v>0</v>
      </c>
      <c r="AX41" s="87">
        <f t="shared" si="69"/>
        <v>0</v>
      </c>
      <c r="AY41" s="86">
        <f t="shared" si="70"/>
        <v>0</v>
      </c>
      <c r="AZ41" s="72">
        <f t="shared" si="54"/>
        <v>0</v>
      </c>
      <c r="BA41" s="71">
        <f t="shared" si="71"/>
        <v>0</v>
      </c>
      <c r="BB41" s="86">
        <f t="shared" si="55"/>
        <v>0</v>
      </c>
      <c r="BC41" s="86">
        <f t="shared" si="56"/>
        <v>0</v>
      </c>
      <c r="BD41" s="86">
        <f t="shared" si="57"/>
        <v>0</v>
      </c>
      <c r="BE41" s="72">
        <f t="shared" si="58"/>
        <v>0</v>
      </c>
      <c r="BF41" s="86">
        <f t="shared" si="26"/>
        <v>0</v>
      </c>
      <c r="BG41" s="86">
        <f t="shared" si="27"/>
        <v>0</v>
      </c>
      <c r="BH41" s="86">
        <f t="shared" si="28"/>
        <v>0</v>
      </c>
      <c r="BI41" s="86">
        <f t="shared" si="29"/>
        <v>0</v>
      </c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</row>
    <row r="42" spans="1:93" x14ac:dyDescent="0.25">
      <c r="A42">
        <v>1</v>
      </c>
      <c r="B42" s="7" t="s">
        <v>77</v>
      </c>
      <c r="D42" s="13"/>
      <c r="F42" s="13"/>
      <c r="G42" s="16">
        <v>114248</v>
      </c>
      <c r="H42" s="21"/>
      <c r="K42" s="21">
        <v>6</v>
      </c>
      <c r="L42" s="21" t="s">
        <v>27</v>
      </c>
      <c r="M42" s="21">
        <v>1111</v>
      </c>
      <c r="N42">
        <f t="shared" si="76"/>
        <v>1104.2297553236356</v>
      </c>
      <c r="O42" s="21">
        <v>0.1</v>
      </c>
      <c r="P42">
        <f t="shared" si="73"/>
        <v>1</v>
      </c>
      <c r="Q42">
        <f t="shared" si="74"/>
        <v>0.83518163746630725</v>
      </c>
      <c r="R42">
        <f t="shared" si="75"/>
        <v>0.16481836253369275</v>
      </c>
      <c r="S42">
        <f t="shared" si="72"/>
        <v>1.6481836253369277E-2</v>
      </c>
      <c r="AA42">
        <v>26</v>
      </c>
      <c r="AB42" s="19" t="s">
        <v>67</v>
      </c>
      <c r="AC42" s="13">
        <v>302</v>
      </c>
      <c r="AD42" s="65">
        <f t="shared" ref="AD42:AD45" si="79">IF(AVERAGE($AC$40:$AC$41)&gt;0, AC42-MAX($AC$40:$AC$41), AC42)</f>
        <v>-11</v>
      </c>
      <c r="AE42" s="13">
        <v>2.5</v>
      </c>
      <c r="AF42" s="29">
        <f t="shared" si="77"/>
        <v>0</v>
      </c>
      <c r="AG42" s="17">
        <f t="shared" si="61"/>
        <v>15</v>
      </c>
      <c r="AH42">
        <f t="shared" si="62"/>
        <v>0</v>
      </c>
      <c r="AI42" s="13">
        <f t="shared" si="53"/>
        <v>0</v>
      </c>
      <c r="AJ42" s="19">
        <f t="shared" si="63"/>
        <v>0</v>
      </c>
      <c r="AK42">
        <f t="shared" si="64"/>
        <v>0</v>
      </c>
      <c r="AL42">
        <f t="shared" si="65"/>
        <v>0</v>
      </c>
      <c r="AM42">
        <f t="shared" si="66"/>
        <v>0</v>
      </c>
      <c r="AN42" s="13">
        <f t="shared" si="67"/>
        <v>0</v>
      </c>
      <c r="AO42">
        <f t="shared" si="20"/>
        <v>15</v>
      </c>
      <c r="AP42">
        <f t="shared" si="21"/>
        <v>15</v>
      </c>
      <c r="AQ42">
        <f t="shared" si="33"/>
        <v>15</v>
      </c>
      <c r="AR42">
        <f t="shared" si="22"/>
        <v>15</v>
      </c>
      <c r="AT42" s="19" t="s">
        <v>67</v>
      </c>
      <c r="AU42">
        <f t="shared" si="44"/>
        <v>0</v>
      </c>
      <c r="AV42" s="13">
        <v>2.5</v>
      </c>
      <c r="AW42" s="29">
        <f t="shared" si="78"/>
        <v>0</v>
      </c>
      <c r="AX42" s="17">
        <f t="shared" si="69"/>
        <v>15</v>
      </c>
      <c r="AY42">
        <f t="shared" si="70"/>
        <v>0</v>
      </c>
      <c r="AZ42" s="13">
        <f t="shared" si="54"/>
        <v>0</v>
      </c>
      <c r="BA42" s="19">
        <f t="shared" si="71"/>
        <v>0</v>
      </c>
      <c r="BB42">
        <f t="shared" si="55"/>
        <v>0</v>
      </c>
      <c r="BC42">
        <f t="shared" si="56"/>
        <v>0</v>
      </c>
      <c r="BD42">
        <f t="shared" si="57"/>
        <v>0</v>
      </c>
      <c r="BE42" s="13">
        <f t="shared" si="58"/>
        <v>0</v>
      </c>
      <c r="BF42">
        <f t="shared" si="26"/>
        <v>15</v>
      </c>
      <c r="BG42">
        <f t="shared" si="27"/>
        <v>15</v>
      </c>
      <c r="BH42">
        <f t="shared" si="28"/>
        <v>15</v>
      </c>
      <c r="BI42">
        <f t="shared" si="29"/>
        <v>15</v>
      </c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</row>
    <row r="43" spans="1:93" x14ac:dyDescent="0.25">
      <c r="A43">
        <v>2</v>
      </c>
      <c r="B43" s="13" t="s">
        <v>24</v>
      </c>
      <c r="D43" s="13"/>
      <c r="F43" s="13"/>
      <c r="G43" s="16">
        <v>139925</v>
      </c>
      <c r="H43" s="21"/>
      <c r="K43" s="21">
        <v>7</v>
      </c>
      <c r="L43" s="21" t="s">
        <v>28</v>
      </c>
      <c r="M43" s="21">
        <v>6550</v>
      </c>
      <c r="N43">
        <f t="shared" si="76"/>
        <v>6503.4802327925245</v>
      </c>
      <c r="O43" s="21">
        <v>0.5</v>
      </c>
      <c r="P43">
        <f t="shared" si="73"/>
        <v>5</v>
      </c>
      <c r="Q43">
        <f t="shared" si="74"/>
        <v>4.1759081873315358</v>
      </c>
      <c r="R43">
        <f t="shared" si="75"/>
        <v>0.82409181266846421</v>
      </c>
      <c r="S43">
        <f t="shared" si="72"/>
        <v>8.2409181266846418E-2</v>
      </c>
      <c r="AA43">
        <v>27</v>
      </c>
      <c r="AB43" s="19" t="s">
        <v>68</v>
      </c>
      <c r="AC43" s="13">
        <v>316</v>
      </c>
      <c r="AD43" s="65">
        <f t="shared" si="79"/>
        <v>3</v>
      </c>
      <c r="AE43" s="13">
        <v>2.5</v>
      </c>
      <c r="AF43" s="29">
        <f t="shared" si="77"/>
        <v>1.6157413145955462E-3</v>
      </c>
      <c r="AG43" s="17">
        <f t="shared" si="61"/>
        <v>15</v>
      </c>
      <c r="AH43">
        <f t="shared" si="62"/>
        <v>0.17061685175804733</v>
      </c>
      <c r="AI43" s="13">
        <f t="shared" si="53"/>
        <v>1.6193249722150464E-2</v>
      </c>
      <c r="AJ43" s="19">
        <f t="shared" si="63"/>
        <v>2.698874953691744E-3</v>
      </c>
      <c r="AK43">
        <f t="shared" si="64"/>
        <v>1.1296535890784813</v>
      </c>
      <c r="AL43">
        <f t="shared" si="65"/>
        <v>1.800760713042999</v>
      </c>
      <c r="AM43">
        <f t="shared" si="66"/>
        <v>1.0053848977492486</v>
      </c>
      <c r="AN43" s="13">
        <f t="shared" si="67"/>
        <v>1.4294321304732951</v>
      </c>
      <c r="AO43">
        <f t="shared" si="20"/>
        <v>13.683536309441321</v>
      </c>
      <c r="AP43">
        <f t="shared" si="21"/>
        <v>13.012429185476803</v>
      </c>
      <c r="AQ43">
        <f t="shared" si="33"/>
        <v>13.807805000770554</v>
      </c>
      <c r="AR43">
        <f t="shared" si="22"/>
        <v>13.383757768046507</v>
      </c>
      <c r="AT43" s="19" t="s">
        <v>68</v>
      </c>
      <c r="AU43">
        <f t="shared" si="44"/>
        <v>2.9878781325876216</v>
      </c>
      <c r="AV43" s="13">
        <v>2.5</v>
      </c>
      <c r="AW43" s="29">
        <f t="shared" si="78"/>
        <v>1.6143974181528542E-3</v>
      </c>
      <c r="AX43" s="17">
        <f t="shared" si="69"/>
        <v>15</v>
      </c>
      <c r="AY43">
        <f t="shared" si="70"/>
        <v>0.17047494081099804</v>
      </c>
      <c r="AZ43" s="13">
        <f t="shared" si="54"/>
        <v>1.6179780950571352E-2</v>
      </c>
      <c r="BA43" s="19">
        <f t="shared" si="71"/>
        <v>2.6966301584285587E-3</v>
      </c>
      <c r="BB43">
        <f t="shared" si="55"/>
        <v>6.7722839831149013</v>
      </c>
      <c r="BC43">
        <f t="shared" si="56"/>
        <v>10.795577557817522</v>
      </c>
      <c r="BD43">
        <f t="shared" si="57"/>
        <v>6.0272919997068408</v>
      </c>
      <c r="BE43" s="13">
        <f t="shared" si="58"/>
        <v>8.5694591826606104</v>
      </c>
      <c r="BF43">
        <f t="shared" si="26"/>
        <v>8.0410612951235301</v>
      </c>
      <c r="BG43">
        <f t="shared" si="27"/>
        <v>4.0177677204209097</v>
      </c>
      <c r="BH43">
        <f t="shared" si="28"/>
        <v>8.7860532785315897</v>
      </c>
      <c r="BI43">
        <f t="shared" si="29"/>
        <v>6.243886095577821</v>
      </c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</row>
    <row r="44" spans="1:93" x14ac:dyDescent="0.25">
      <c r="A44">
        <v>3</v>
      </c>
      <c r="B44" s="13" t="s">
        <v>45</v>
      </c>
      <c r="D44" s="13">
        <v>911</v>
      </c>
      <c r="F44" s="13">
        <v>988</v>
      </c>
      <c r="G44">
        <v>142118</v>
      </c>
      <c r="H44" s="21">
        <f t="shared" ref="H44:H70" si="80">F44/D44</f>
        <v>1.0845225027442371</v>
      </c>
      <c r="K44" s="21">
        <v>8</v>
      </c>
      <c r="L44" s="21" t="s">
        <v>29</v>
      </c>
      <c r="M44" s="21">
        <v>6372</v>
      </c>
      <c r="N44">
        <f t="shared" si="76"/>
        <v>6320.3317762393262</v>
      </c>
      <c r="O44" s="21">
        <v>0.5</v>
      </c>
      <c r="P44">
        <f t="shared" si="73"/>
        <v>5</v>
      </c>
      <c r="Q44">
        <f t="shared" si="74"/>
        <v>4.1759081873315358</v>
      </c>
      <c r="R44">
        <f t="shared" si="75"/>
        <v>0.82409181266846421</v>
      </c>
      <c r="S44">
        <f t="shared" si="72"/>
        <v>8.2409181266846418E-2</v>
      </c>
      <c r="AA44">
        <v>28</v>
      </c>
      <c r="AB44" s="19" t="s">
        <v>69</v>
      </c>
      <c r="AC44" s="13">
        <v>308</v>
      </c>
      <c r="AD44" s="65">
        <f t="shared" si="79"/>
        <v>-5</v>
      </c>
      <c r="AE44" s="13">
        <v>2.5</v>
      </c>
      <c r="AF44" s="29">
        <f t="shared" si="77"/>
        <v>0</v>
      </c>
      <c r="AG44" s="17">
        <f t="shared" si="61"/>
        <v>15</v>
      </c>
      <c r="AH44">
        <f t="shared" si="62"/>
        <v>0</v>
      </c>
      <c r="AI44" s="13">
        <f t="shared" si="53"/>
        <v>0</v>
      </c>
      <c r="AJ44" s="19">
        <f t="shared" si="63"/>
        <v>0</v>
      </c>
      <c r="AK44">
        <f t="shared" si="64"/>
        <v>0</v>
      </c>
      <c r="AL44">
        <f t="shared" si="65"/>
        <v>0</v>
      </c>
      <c r="AM44">
        <f t="shared" si="66"/>
        <v>0</v>
      </c>
      <c r="AN44" s="13">
        <f t="shared" si="67"/>
        <v>0</v>
      </c>
      <c r="AO44">
        <f t="shared" si="20"/>
        <v>15</v>
      </c>
      <c r="AP44">
        <f t="shared" si="21"/>
        <v>15</v>
      </c>
      <c r="AQ44">
        <f t="shared" si="33"/>
        <v>15</v>
      </c>
      <c r="AR44">
        <f t="shared" si="22"/>
        <v>15</v>
      </c>
      <c r="AT44" s="19" t="s">
        <v>69</v>
      </c>
      <c r="AU44">
        <f t="shared" si="44"/>
        <v>0</v>
      </c>
      <c r="AV44" s="13">
        <v>2.5</v>
      </c>
      <c r="AW44" s="29">
        <f t="shared" si="78"/>
        <v>0</v>
      </c>
      <c r="AX44" s="17">
        <f t="shared" si="69"/>
        <v>15</v>
      </c>
      <c r="AY44">
        <f t="shared" si="70"/>
        <v>0</v>
      </c>
      <c r="AZ44" s="13">
        <f t="shared" si="54"/>
        <v>0</v>
      </c>
      <c r="BA44" s="19">
        <f t="shared" si="71"/>
        <v>0</v>
      </c>
      <c r="BB44">
        <f t="shared" si="55"/>
        <v>0</v>
      </c>
      <c r="BC44">
        <f t="shared" si="56"/>
        <v>0</v>
      </c>
      <c r="BD44">
        <f t="shared" si="57"/>
        <v>0</v>
      </c>
      <c r="BE44" s="13">
        <f t="shared" si="58"/>
        <v>0</v>
      </c>
      <c r="BF44">
        <f t="shared" si="26"/>
        <v>15</v>
      </c>
      <c r="BG44">
        <f t="shared" si="27"/>
        <v>15</v>
      </c>
      <c r="BH44">
        <f t="shared" si="28"/>
        <v>15</v>
      </c>
      <c r="BI44">
        <f t="shared" si="29"/>
        <v>15</v>
      </c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</row>
    <row r="45" spans="1:93" ht="15.75" thickBot="1" x14ac:dyDescent="0.3">
      <c r="A45">
        <v>4</v>
      </c>
      <c r="B45" s="13" t="s">
        <v>46</v>
      </c>
      <c r="D45" s="13"/>
      <c r="F45" s="13">
        <v>960</v>
      </c>
      <c r="G45">
        <v>164500</v>
      </c>
      <c r="H45" s="21"/>
      <c r="K45" s="21">
        <v>13</v>
      </c>
      <c r="L45" s="21" t="s">
        <v>25</v>
      </c>
      <c r="M45" s="17">
        <v>0</v>
      </c>
      <c r="N45">
        <f t="shared" si="76"/>
        <v>0</v>
      </c>
      <c r="O45" s="21">
        <v>0</v>
      </c>
      <c r="P45">
        <f t="shared" si="73"/>
        <v>0</v>
      </c>
      <c r="Q45">
        <f t="shared" si="74"/>
        <v>0</v>
      </c>
      <c r="R45">
        <f t="shared" si="75"/>
        <v>0</v>
      </c>
      <c r="S45">
        <f t="shared" si="72"/>
        <v>0</v>
      </c>
      <c r="AA45">
        <v>29</v>
      </c>
      <c r="AB45" s="80" t="s">
        <v>70</v>
      </c>
      <c r="AC45" s="82">
        <v>495</v>
      </c>
      <c r="AD45" s="90">
        <f t="shared" si="79"/>
        <v>182</v>
      </c>
      <c r="AE45" s="82">
        <v>2.5</v>
      </c>
      <c r="AF45" s="105">
        <f t="shared" si="77"/>
        <v>2.9888165172570354E-3</v>
      </c>
      <c r="AG45" s="84">
        <f t="shared" si="61"/>
        <v>15</v>
      </c>
      <c r="AH45" s="83">
        <f t="shared" si="62"/>
        <v>0.31560897778026814</v>
      </c>
      <c r="AI45" s="82">
        <f t="shared" si="53"/>
        <v>2.9954456075628917E-2</v>
      </c>
      <c r="AJ45" s="80">
        <f t="shared" si="63"/>
        <v>4.9924093459381529E-3</v>
      </c>
      <c r="AK45" s="83">
        <f t="shared" si="64"/>
        <v>2.0896459571324524</v>
      </c>
      <c r="AL45" s="83">
        <f t="shared" si="65"/>
        <v>3.3310674884350129</v>
      </c>
      <c r="AM45" s="83">
        <f t="shared" si="66"/>
        <v>1.8597723295488808</v>
      </c>
      <c r="AN45" s="82">
        <f t="shared" si="67"/>
        <v>2.6441796859826834</v>
      </c>
      <c r="AO45" s="83">
        <f t="shared" si="20"/>
        <v>12.56479060901165</v>
      </c>
      <c r="AP45" s="83">
        <f t="shared" si="21"/>
        <v>11.32336907770909</v>
      </c>
      <c r="AQ45" s="83">
        <f t="shared" si="33"/>
        <v>12.794664236595223</v>
      </c>
      <c r="AR45" s="83">
        <f t="shared" si="22"/>
        <v>12.010256880161419</v>
      </c>
      <c r="AS45" s="17"/>
      <c r="AT45" s="80" t="s">
        <v>70</v>
      </c>
      <c r="AU45" s="83">
        <f t="shared" si="44"/>
        <v>181.21036947395737</v>
      </c>
      <c r="AV45" s="82">
        <v>2.5</v>
      </c>
      <c r="AW45" s="105">
        <f t="shared" si="78"/>
        <v>2.9830492624911779E-3</v>
      </c>
      <c r="AX45" s="84">
        <f t="shared" si="69"/>
        <v>15</v>
      </c>
      <c r="AY45" s="83">
        <f t="shared" si="70"/>
        <v>0.31499997506272387</v>
      </c>
      <c r="AZ45" s="82">
        <f t="shared" si="54"/>
        <v>2.9896655612280505E-2</v>
      </c>
      <c r="BA45" s="80">
        <f t="shared" si="71"/>
        <v>4.9827759353800842E-3</v>
      </c>
      <c r="BB45" s="81">
        <f t="shared" si="55"/>
        <v>12.513682513396436</v>
      </c>
      <c r="BC45" s="83">
        <f t="shared" si="56"/>
        <v>19.94783893352632</v>
      </c>
      <c r="BD45" s="83">
        <f t="shared" si="57"/>
        <v>11.137102148686735</v>
      </c>
      <c r="BE45" s="82">
        <f t="shared" si="58"/>
        <v>15.834464678488247</v>
      </c>
      <c r="BF45" s="81">
        <f t="shared" si="26"/>
        <v>2.1414208559285601</v>
      </c>
      <c r="BG45" s="83">
        <f t="shared" si="27"/>
        <v>-5.2927355642013261</v>
      </c>
      <c r="BH45" s="83">
        <f t="shared" si="28"/>
        <v>3.5180012206382614</v>
      </c>
      <c r="BI45" s="83">
        <f t="shared" si="29"/>
        <v>-1.1793613091632515</v>
      </c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</row>
    <row r="46" spans="1:93" x14ac:dyDescent="0.25">
      <c r="A46">
        <v>5</v>
      </c>
      <c r="B46" s="13" t="s">
        <v>26</v>
      </c>
      <c r="D46" s="13">
        <v>1828</v>
      </c>
      <c r="F46" s="13">
        <v>1567</v>
      </c>
      <c r="G46">
        <v>130252</v>
      </c>
      <c r="H46" s="21">
        <f t="shared" si="80"/>
        <v>0.85722100656455147</v>
      </c>
      <c r="AF46" s="13"/>
      <c r="AI46" s="21"/>
      <c r="AJ46" s="21"/>
      <c r="AK46" s="21"/>
      <c r="AL46" s="21"/>
      <c r="AM46" s="21"/>
      <c r="AN46" s="21"/>
      <c r="AW46" s="13"/>
      <c r="AZ46" s="21"/>
      <c r="BA46" s="21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</row>
    <row r="47" spans="1:93" x14ac:dyDescent="0.25">
      <c r="A47">
        <v>6</v>
      </c>
      <c r="B47" s="13" t="s">
        <v>27</v>
      </c>
      <c r="C47">
        <v>39557</v>
      </c>
      <c r="D47" s="13">
        <v>6758</v>
      </c>
      <c r="E47" s="56">
        <v>3375</v>
      </c>
      <c r="F47" s="57">
        <v>15579</v>
      </c>
      <c r="G47">
        <v>121327</v>
      </c>
      <c r="H47" s="21">
        <f t="shared" si="80"/>
        <v>2.3052678307191479</v>
      </c>
      <c r="AA47" s="27">
        <v>44413</v>
      </c>
      <c r="AF47" s="13"/>
      <c r="AI47" s="21"/>
      <c r="AJ47" s="21"/>
      <c r="AK47" s="21"/>
      <c r="AL47" s="21"/>
      <c r="AM47" s="21"/>
      <c r="AN47" s="21"/>
      <c r="AW47" s="13"/>
      <c r="AZ47" s="21"/>
      <c r="BA47" s="21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</row>
    <row r="48" spans="1:93" x14ac:dyDescent="0.25">
      <c r="A48">
        <v>7</v>
      </c>
      <c r="B48" s="13" t="s">
        <v>28</v>
      </c>
      <c r="D48" s="13">
        <v>11925</v>
      </c>
      <c r="F48" s="13">
        <v>9523</v>
      </c>
      <c r="G48">
        <v>165847</v>
      </c>
      <c r="H48" s="21">
        <f t="shared" si="80"/>
        <v>0.79857442348008389</v>
      </c>
      <c r="AA48" t="s">
        <v>12</v>
      </c>
      <c r="AF48" s="13"/>
      <c r="AI48" s="21"/>
      <c r="AJ48" s="21"/>
      <c r="AK48" s="21"/>
      <c r="AL48" s="21"/>
      <c r="AM48" s="21"/>
      <c r="AN48" s="21"/>
      <c r="AW48" s="13"/>
      <c r="AZ48" s="21"/>
      <c r="BA48" s="21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</row>
    <row r="49" spans="1:93" x14ac:dyDescent="0.25">
      <c r="A49">
        <v>8</v>
      </c>
      <c r="B49" s="13" t="s">
        <v>29</v>
      </c>
      <c r="D49" s="13">
        <v>9251</v>
      </c>
      <c r="F49" s="13">
        <v>7646</v>
      </c>
      <c r="G49">
        <v>155469</v>
      </c>
      <c r="H49" s="21">
        <f t="shared" si="80"/>
        <v>0.82650524267646741</v>
      </c>
      <c r="AA49" s="21">
        <v>9</v>
      </c>
      <c r="AB49" s="72" t="s">
        <v>79</v>
      </c>
      <c r="AC49" s="72">
        <v>285</v>
      </c>
      <c r="AD49" s="91">
        <f>IF(AVERAGE($AC$49:$AC$50)&gt;0, AC49-MAX($AC$49:$AC$50), AC49)</f>
        <v>0</v>
      </c>
      <c r="AE49" s="72">
        <v>0</v>
      </c>
      <c r="AF49" s="72">
        <f>IF(AD49&lt;=0,0,(AD49-21.61)/78209.704)</f>
        <v>0</v>
      </c>
      <c r="AG49" s="87">
        <f>AE49*6</f>
        <v>0</v>
      </c>
      <c r="AH49" s="86">
        <f>AF49*$X$13</f>
        <v>0</v>
      </c>
      <c r="AI49" s="72">
        <f t="shared" ref="AI49:AI60" si="81">(AF49/$AI$2)*6</f>
        <v>0</v>
      </c>
      <c r="AJ49" s="71">
        <f t="shared" si="63"/>
        <v>0</v>
      </c>
      <c r="AK49" s="86">
        <f>($AJ49*$AN$2)*20</f>
        <v>0</v>
      </c>
      <c r="AL49" s="86">
        <f>($AJ49*$AN$3)*20</f>
        <v>0</v>
      </c>
      <c r="AM49" s="86">
        <f>($AJ49*$AN$4)*20</f>
        <v>0</v>
      </c>
      <c r="AN49" s="72">
        <f>($AJ49*$AN$5)*20</f>
        <v>0</v>
      </c>
      <c r="AO49" s="86">
        <f t="shared" si="20"/>
        <v>0</v>
      </c>
      <c r="AP49" s="86">
        <f t="shared" si="21"/>
        <v>0</v>
      </c>
      <c r="AQ49" s="86">
        <f t="shared" si="33"/>
        <v>0</v>
      </c>
      <c r="AR49" s="86">
        <f t="shared" si="22"/>
        <v>0</v>
      </c>
      <c r="AT49" s="72" t="s">
        <v>79</v>
      </c>
      <c r="AU49" s="86">
        <f t="shared" ref="AU49:AU60" si="82">IF(AD49&lt;=0,0,AD49*((87.462*0+85590.534)/(87.462*AA49+85590.534)))</f>
        <v>0</v>
      </c>
      <c r="AV49" s="72">
        <v>0</v>
      </c>
      <c r="AW49" s="72">
        <f>IF(AU49&lt;=0,0,((AU49-23.007)/77601.59))</f>
        <v>0</v>
      </c>
      <c r="AX49" s="87">
        <f>AV49*6</f>
        <v>0</v>
      </c>
      <c r="AY49" s="86">
        <f>AW49*$X$13</f>
        <v>0</v>
      </c>
      <c r="AZ49" s="72">
        <f t="shared" ref="AZ49:AZ60" si="83">(AW49/$AI$2)*6</f>
        <v>0</v>
      </c>
      <c r="BA49" s="71">
        <f t="shared" si="71"/>
        <v>0</v>
      </c>
      <c r="BB49" s="86">
        <f t="shared" ref="BB49:BB60" si="84">($AZ49*$AN$2)*20</f>
        <v>0</v>
      </c>
      <c r="BC49" s="86">
        <f t="shared" ref="BC49:BC60" si="85">($AZ49*$AN$3)*20</f>
        <v>0</v>
      </c>
      <c r="BD49" s="86">
        <f t="shared" ref="BD49:BD60" si="86">($AZ49*$AN$4)*20</f>
        <v>0</v>
      </c>
      <c r="BE49" s="72">
        <f t="shared" ref="BE49:BE60" si="87">($AZ49*$AN$5)*20</f>
        <v>0</v>
      </c>
      <c r="BF49" s="86">
        <f t="shared" si="26"/>
        <v>0</v>
      </c>
      <c r="BG49" s="86">
        <f t="shared" si="27"/>
        <v>0</v>
      </c>
      <c r="BH49" s="86">
        <f t="shared" si="28"/>
        <v>0</v>
      </c>
      <c r="BI49" s="86">
        <f t="shared" si="29"/>
        <v>0</v>
      </c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</row>
    <row r="50" spans="1:93" x14ac:dyDescent="0.25">
      <c r="A50" s="10">
        <v>9</v>
      </c>
      <c r="B50" s="11" t="s">
        <v>25</v>
      </c>
      <c r="C50" s="10"/>
      <c r="D50" s="11"/>
      <c r="E50" s="10"/>
      <c r="F50" s="11"/>
      <c r="G50" s="60">
        <v>169430</v>
      </c>
      <c r="H50" s="21"/>
      <c r="AA50" s="21">
        <v>10</v>
      </c>
      <c r="AB50" s="72" t="s">
        <v>80</v>
      </c>
      <c r="AC50" s="72">
        <v>0</v>
      </c>
      <c r="AD50" s="91">
        <f>IF(AVERAGE($AC$49:$AC$50)&gt;0, AC50-MAX($AC$49:$AC$50), AC50)</f>
        <v>-285</v>
      </c>
      <c r="AE50" s="72">
        <v>0</v>
      </c>
      <c r="AF50" s="72">
        <f t="shared" ref="AF50:AF60" si="88">IF(AD50&lt;=0,0,(AD50-21.61)/78209.704)</f>
        <v>0</v>
      </c>
      <c r="AG50" s="87">
        <f t="shared" ref="AG50:AG60" si="89">AE50*6</f>
        <v>0</v>
      </c>
      <c r="AH50" s="86">
        <f t="shared" ref="AH50:AH60" si="90">AF50*$X$13</f>
        <v>0</v>
      </c>
      <c r="AI50" s="72">
        <f t="shared" si="81"/>
        <v>0</v>
      </c>
      <c r="AJ50" s="71">
        <f t="shared" si="63"/>
        <v>0</v>
      </c>
      <c r="AK50" s="86">
        <f t="shared" ref="AK50:AK60" si="91">($AJ50*$AN$2)*20</f>
        <v>0</v>
      </c>
      <c r="AL50" s="86">
        <f t="shared" ref="AL50:AL60" si="92">($AJ50*$AN$3)*20</f>
        <v>0</v>
      </c>
      <c r="AM50" s="86">
        <f t="shared" ref="AM50:AM60" si="93">($AJ50*$AN$4)*20</f>
        <v>0</v>
      </c>
      <c r="AN50" s="72">
        <f t="shared" ref="AN50:AN60" si="94">($AJ50*$AN$5)*20</f>
        <v>0</v>
      </c>
      <c r="AO50" s="86">
        <f t="shared" si="20"/>
        <v>0</v>
      </c>
      <c r="AP50" s="86">
        <f t="shared" si="21"/>
        <v>0</v>
      </c>
      <c r="AQ50" s="86">
        <f t="shared" si="33"/>
        <v>0</v>
      </c>
      <c r="AR50" s="86">
        <f t="shared" si="22"/>
        <v>0</v>
      </c>
      <c r="AT50" s="72" t="s">
        <v>80</v>
      </c>
      <c r="AU50" s="86">
        <f t="shared" si="82"/>
        <v>0</v>
      </c>
      <c r="AV50" s="72">
        <v>0</v>
      </c>
      <c r="AW50" s="72">
        <f t="shared" ref="AW50:AW54" si="95">IF(AU50&lt;=0,0,((AU50-23.007)/77601.59))</f>
        <v>0</v>
      </c>
      <c r="AX50" s="87">
        <f t="shared" ref="AX50:AX60" si="96">AV50*6</f>
        <v>0</v>
      </c>
      <c r="AY50" s="86">
        <f t="shared" ref="AY50:AY60" si="97">AW50*$X$13</f>
        <v>0</v>
      </c>
      <c r="AZ50" s="72">
        <f t="shared" si="83"/>
        <v>0</v>
      </c>
      <c r="BA50" s="71">
        <f t="shared" si="71"/>
        <v>0</v>
      </c>
      <c r="BB50" s="86">
        <f t="shared" si="84"/>
        <v>0</v>
      </c>
      <c r="BC50" s="86">
        <f t="shared" si="85"/>
        <v>0</v>
      </c>
      <c r="BD50" s="86">
        <f t="shared" si="86"/>
        <v>0</v>
      </c>
      <c r="BE50" s="72">
        <f t="shared" si="87"/>
        <v>0</v>
      </c>
      <c r="BF50" s="86">
        <f t="shared" si="26"/>
        <v>0</v>
      </c>
      <c r="BG50" s="86">
        <f t="shared" si="27"/>
        <v>0</v>
      </c>
      <c r="BH50" s="86">
        <f t="shared" si="28"/>
        <v>0</v>
      </c>
      <c r="BI50" s="86">
        <f t="shared" si="29"/>
        <v>0</v>
      </c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</row>
    <row r="51" spans="1:93" x14ac:dyDescent="0.25">
      <c r="A51">
        <v>10</v>
      </c>
      <c r="B51" s="19" t="s">
        <v>52</v>
      </c>
      <c r="D51" s="13"/>
      <c r="F51" s="13"/>
      <c r="H51" s="21"/>
      <c r="AA51" s="21">
        <v>11</v>
      </c>
      <c r="AB51" s="13" t="s">
        <v>81</v>
      </c>
      <c r="AC51" s="13">
        <v>1196</v>
      </c>
      <c r="AD51" s="92">
        <f t="shared" ref="AD51:AD54" si="98">IF(AVERAGE($AC$49:$AC$50)&gt;0, AC51-MAX($AC$49:$AC$50), AC51)</f>
        <v>911</v>
      </c>
      <c r="AE51" s="13">
        <v>2.5</v>
      </c>
      <c r="AF51" s="30">
        <f t="shared" si="88"/>
        <v>1.1371862499313384E-2</v>
      </c>
      <c r="AG51" s="17">
        <f t="shared" si="89"/>
        <v>15</v>
      </c>
      <c r="AH51">
        <f t="shared" si="90"/>
        <v>1.2105669475684171</v>
      </c>
      <c r="AI51" s="13">
        <f t="shared" si="81"/>
        <v>0.11397084891861893</v>
      </c>
      <c r="AJ51" s="19">
        <f t="shared" si="63"/>
        <v>1.8995141486436488E-2</v>
      </c>
      <c r="AK51">
        <f t="shared" si="91"/>
        <v>0.25011880990024871</v>
      </c>
      <c r="AL51">
        <f t="shared" si="92"/>
        <v>1.7156596801820543</v>
      </c>
      <c r="AM51">
        <f t="shared" si="93"/>
        <v>0.22683997963102454</v>
      </c>
      <c r="AN51" s="13">
        <f t="shared" si="94"/>
        <v>1.5844227416666403</v>
      </c>
      <c r="AO51">
        <f t="shared" si="20"/>
        <v>13.425343393612716</v>
      </c>
      <c r="AP51">
        <f t="shared" si="21"/>
        <v>11.959802523330911</v>
      </c>
      <c r="AQ51">
        <f t="shared" si="33"/>
        <v>13.448622223881939</v>
      </c>
      <c r="AR51">
        <f t="shared" si="22"/>
        <v>12.091039461846323</v>
      </c>
      <c r="AT51" s="13" t="s">
        <v>81</v>
      </c>
      <c r="AU51">
        <f t="shared" si="82"/>
        <v>900.87371217064083</v>
      </c>
      <c r="AV51" s="13">
        <v>2.5</v>
      </c>
      <c r="AW51" s="30">
        <f t="shared" si="95"/>
        <v>1.1312483573734003E-2</v>
      </c>
      <c r="AX51" s="17">
        <f t="shared" si="96"/>
        <v>15</v>
      </c>
      <c r="AY51">
        <f t="shared" si="97"/>
        <v>1.2042458928869291</v>
      </c>
      <c r="AZ51" s="13">
        <f t="shared" si="83"/>
        <v>0.11337574265906242</v>
      </c>
      <c r="BA51" s="19">
        <f t="shared" si="71"/>
        <v>1.8895957109843736E-2</v>
      </c>
      <c r="BB51">
        <f t="shared" si="84"/>
        <v>1.4928767888194041</v>
      </c>
      <c r="BC51">
        <f t="shared" si="85"/>
        <v>10.240207504100095</v>
      </c>
      <c r="BD51">
        <f t="shared" si="86"/>
        <v>1.3539331188345232</v>
      </c>
      <c r="BE51" s="13">
        <f t="shared" si="87"/>
        <v>9.4568974466777149</v>
      </c>
      <c r="BF51">
        <f t="shared" si="26"/>
        <v>12.189501575634605</v>
      </c>
      <c r="BG51">
        <f t="shared" si="27"/>
        <v>3.4421708603539134</v>
      </c>
      <c r="BH51">
        <f t="shared" si="28"/>
        <v>12.328445245619484</v>
      </c>
      <c r="BI51">
        <f t="shared" si="29"/>
        <v>4.2254809177762933</v>
      </c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</row>
    <row r="52" spans="1:93" x14ac:dyDescent="0.25">
      <c r="A52">
        <v>11</v>
      </c>
      <c r="B52" s="19" t="s">
        <v>53</v>
      </c>
      <c r="D52" s="13">
        <v>1239</v>
      </c>
      <c r="F52" s="13">
        <v>1093</v>
      </c>
      <c r="H52" s="21">
        <f t="shared" si="80"/>
        <v>0.88216303470540758</v>
      </c>
      <c r="AA52" s="21">
        <v>12</v>
      </c>
      <c r="AB52" s="13" t="s">
        <v>82</v>
      </c>
      <c r="AC52" s="13">
        <v>1349</v>
      </c>
      <c r="AD52" s="92">
        <f t="shared" si="98"/>
        <v>1064</v>
      </c>
      <c r="AE52" s="13">
        <v>2.5</v>
      </c>
      <c r="AF52" s="30">
        <f t="shared" si="88"/>
        <v>1.3328141479732492E-2</v>
      </c>
      <c r="AG52" s="17">
        <f t="shared" si="89"/>
        <v>15</v>
      </c>
      <c r="AH52">
        <f t="shared" si="90"/>
        <v>1.4188183816726549</v>
      </c>
      <c r="AI52" s="13">
        <f t="shared" si="81"/>
        <v>0.13357702830510709</v>
      </c>
      <c r="AJ52" s="19">
        <f t="shared" si="63"/>
        <v>2.2262838050851181E-2</v>
      </c>
      <c r="AK52">
        <f t="shared" si="91"/>
        <v>0.29314625333309374</v>
      </c>
      <c r="AL52">
        <f t="shared" si="92"/>
        <v>2.0108012165922391</v>
      </c>
      <c r="AM52">
        <f t="shared" si="93"/>
        <v>0.26586281200326478</v>
      </c>
      <c r="AN52" s="13">
        <f t="shared" si="94"/>
        <v>1.8569878474975987</v>
      </c>
      <c r="AO52">
        <f t="shared" si="20"/>
        <v>13.154458336689144</v>
      </c>
      <c r="AP52">
        <f t="shared" si="21"/>
        <v>11.436803373429999</v>
      </c>
      <c r="AQ52">
        <f t="shared" si="33"/>
        <v>13.181741778018973</v>
      </c>
      <c r="AR52">
        <f t="shared" si="22"/>
        <v>11.590616742524638</v>
      </c>
      <c r="AT52" s="13" t="s">
        <v>82</v>
      </c>
      <c r="AU52">
        <f t="shared" si="82"/>
        <v>1051.1108747616779</v>
      </c>
      <c r="AV52" s="13">
        <v>2.5</v>
      </c>
      <c r="AW52" s="30">
        <f t="shared" si="95"/>
        <v>1.3248489815243191E-2</v>
      </c>
      <c r="AX52" s="17">
        <f t="shared" si="96"/>
        <v>15</v>
      </c>
      <c r="AY52">
        <f t="shared" si="97"/>
        <v>1.4103392365585299</v>
      </c>
      <c r="AZ52" s="13">
        <f t="shared" si="83"/>
        <v>0.13277874501420603</v>
      </c>
      <c r="BA52" s="19">
        <f t="shared" si="71"/>
        <v>2.2129790835701005E-2</v>
      </c>
      <c r="BB52">
        <f t="shared" si="84"/>
        <v>1.7483661128144676</v>
      </c>
      <c r="BC52">
        <f t="shared" si="85"/>
        <v>11.99270557519724</v>
      </c>
      <c r="BD52">
        <f t="shared" si="86"/>
        <v>1.5856437729596484</v>
      </c>
      <c r="BE52" s="13">
        <f t="shared" si="87"/>
        <v>11.075340679124954</v>
      </c>
      <c r="BF52">
        <f t="shared" si="26"/>
        <v>11.708515905612796</v>
      </c>
      <c r="BG52">
        <f t="shared" si="27"/>
        <v>1.4641764432300235</v>
      </c>
      <c r="BH52">
        <f t="shared" si="28"/>
        <v>11.871238245467616</v>
      </c>
      <c r="BI52">
        <f t="shared" si="29"/>
        <v>2.3815413393023093</v>
      </c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</row>
    <row r="53" spans="1:93" x14ac:dyDescent="0.25">
      <c r="A53">
        <v>12</v>
      </c>
      <c r="B53" s="19" t="s">
        <v>54</v>
      </c>
      <c r="D53" s="13">
        <v>1579</v>
      </c>
      <c r="F53" s="13">
        <v>1045</v>
      </c>
      <c r="H53" s="21">
        <f t="shared" si="80"/>
        <v>0.66181127295756803</v>
      </c>
      <c r="AA53" s="21">
        <v>14</v>
      </c>
      <c r="AB53" s="13" t="s">
        <v>83</v>
      </c>
      <c r="AC53" s="13">
        <v>938</v>
      </c>
      <c r="AD53" s="92">
        <f t="shared" si="98"/>
        <v>653</v>
      </c>
      <c r="AE53" s="13">
        <v>2.5</v>
      </c>
      <c r="AF53" s="30">
        <f t="shared" si="88"/>
        <v>8.0730391205674421E-3</v>
      </c>
      <c r="AG53" s="17">
        <f t="shared" si="89"/>
        <v>15</v>
      </c>
      <c r="AH53">
        <f t="shared" si="90"/>
        <v>0.85939786260833029</v>
      </c>
      <c r="AI53" s="13">
        <f t="shared" si="81"/>
        <v>8.090944838454088E-2</v>
      </c>
      <c r="AJ53" s="19">
        <f t="shared" si="63"/>
        <v>1.3484908064090147E-2</v>
      </c>
      <c r="AK53">
        <f t="shared" si="91"/>
        <v>0.17756272881741197</v>
      </c>
      <c r="AL53">
        <f t="shared" si="92"/>
        <v>1.2179700305491938</v>
      </c>
      <c r="AM53">
        <f t="shared" si="93"/>
        <v>0.16103677210136452</v>
      </c>
      <c r="AN53" s="13">
        <f t="shared" si="94"/>
        <v>1.1248031514418875</v>
      </c>
      <c r="AO53">
        <f t="shared" si="20"/>
        <v>13.882129960189717</v>
      </c>
      <c r="AP53">
        <f t="shared" si="21"/>
        <v>12.841722658457936</v>
      </c>
      <c r="AQ53">
        <f t="shared" si="33"/>
        <v>13.898655916905764</v>
      </c>
      <c r="AR53">
        <f t="shared" si="22"/>
        <v>12.93488953756524</v>
      </c>
      <c r="AT53" s="13" t="s">
        <v>83</v>
      </c>
      <c r="AU53">
        <f t="shared" si="82"/>
        <v>643.78986827645303</v>
      </c>
      <c r="AV53" s="13">
        <v>2.5</v>
      </c>
      <c r="AW53" s="30">
        <f t="shared" si="95"/>
        <v>7.9996153207228509E-3</v>
      </c>
      <c r="AX53" s="17">
        <f t="shared" si="96"/>
        <v>15</v>
      </c>
      <c r="AY53">
        <f t="shared" si="97"/>
        <v>0.8515816913116665</v>
      </c>
      <c r="AZ53" s="13">
        <f t="shared" si="83"/>
        <v>8.0173581871942429E-2</v>
      </c>
      <c r="BA53" s="19">
        <f t="shared" si="71"/>
        <v>1.3362263645323738E-2</v>
      </c>
      <c r="BB53">
        <f t="shared" si="84"/>
        <v>1.0556868395831227</v>
      </c>
      <c r="BC53">
        <f t="shared" si="85"/>
        <v>7.2413560031487378</v>
      </c>
      <c r="BD53">
        <f t="shared" si="86"/>
        <v>0.95743291471473646</v>
      </c>
      <c r="BE53" s="13">
        <f t="shared" si="87"/>
        <v>6.6874388111024619</v>
      </c>
      <c r="BF53">
        <f t="shared" si="26"/>
        <v>13.012557887233267</v>
      </c>
      <c r="BG53">
        <f t="shared" si="27"/>
        <v>6.8268887236676541</v>
      </c>
      <c r="BH53">
        <f t="shared" si="28"/>
        <v>13.110811812101655</v>
      </c>
      <c r="BI53">
        <f t="shared" si="29"/>
        <v>7.3808059157139292</v>
      </c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</row>
    <row r="54" spans="1:93" x14ac:dyDescent="0.25">
      <c r="A54">
        <v>13</v>
      </c>
      <c r="B54" s="19" t="s">
        <v>55</v>
      </c>
      <c r="D54" s="13">
        <v>1409</v>
      </c>
      <c r="F54" s="13">
        <v>1092</v>
      </c>
      <c r="H54" s="21">
        <f t="shared" si="80"/>
        <v>0.77501774308019877</v>
      </c>
      <c r="AA54" s="21">
        <v>15</v>
      </c>
      <c r="AB54" s="11" t="s">
        <v>84</v>
      </c>
      <c r="AC54" s="20">
        <v>1068</v>
      </c>
      <c r="AD54" s="89">
        <f t="shared" si="98"/>
        <v>783</v>
      </c>
      <c r="AE54" s="11">
        <v>2.5</v>
      </c>
      <c r="AF54" s="28">
        <f t="shared" si="88"/>
        <v>9.7352369470673356E-3</v>
      </c>
      <c r="AG54" s="23">
        <f t="shared" si="89"/>
        <v>15</v>
      </c>
      <c r="AH54" s="10">
        <f t="shared" si="90"/>
        <v>1.0363435255727151</v>
      </c>
      <c r="AI54" s="11">
        <f t="shared" si="81"/>
        <v>9.7568293614890292E-2</v>
      </c>
      <c r="AJ54" s="20">
        <f t="shared" si="63"/>
        <v>1.6261382269148382E-2</v>
      </c>
      <c r="AK54" s="10">
        <f t="shared" si="91"/>
        <v>0.21412199447930647</v>
      </c>
      <c r="AL54" s="10">
        <f t="shared" si="92"/>
        <v>1.468743885015364</v>
      </c>
      <c r="AM54" s="10">
        <f t="shared" si="93"/>
        <v>0.19419342705816997</v>
      </c>
      <c r="AN54" s="11">
        <f t="shared" si="94"/>
        <v>1.3563944178342049</v>
      </c>
      <c r="AO54" s="10">
        <f t="shared" si="20"/>
        <v>13.651966186333087</v>
      </c>
      <c r="AP54" s="10">
        <f t="shared" si="21"/>
        <v>12.39734429579703</v>
      </c>
      <c r="AQ54" s="10">
        <f t="shared" si="33"/>
        <v>13.671894753754225</v>
      </c>
      <c r="AR54" s="10">
        <f t="shared" si="22"/>
        <v>12.509693762978189</v>
      </c>
      <c r="AS54" s="17"/>
      <c r="AT54" s="11" t="s">
        <v>84</v>
      </c>
      <c r="AU54" s="10">
        <f t="shared" si="82"/>
        <v>771.17937785975789</v>
      </c>
      <c r="AV54" s="11">
        <v>2.5</v>
      </c>
      <c r="AW54" s="28">
        <f t="shared" si="95"/>
        <v>9.6411990767168304E-3</v>
      </c>
      <c r="AX54" s="23">
        <f t="shared" si="96"/>
        <v>15</v>
      </c>
      <c r="AY54" s="10">
        <f t="shared" si="97"/>
        <v>1.0263329281289879</v>
      </c>
      <c r="AZ54" s="11">
        <f t="shared" si="83"/>
        <v>9.6625829184372139E-2</v>
      </c>
      <c r="BA54" s="20">
        <f t="shared" si="71"/>
        <v>1.6104304864062023E-2</v>
      </c>
      <c r="BB54" s="9">
        <f t="shared" si="84"/>
        <v>1.27232205237729</v>
      </c>
      <c r="BC54" s="10">
        <f t="shared" si="85"/>
        <v>8.727339004774409</v>
      </c>
      <c r="BD54" s="10">
        <f t="shared" si="86"/>
        <v>1.1539056521197719</v>
      </c>
      <c r="BE54" s="11">
        <f t="shared" si="87"/>
        <v>8.0597536639268501</v>
      </c>
      <c r="BF54" s="9">
        <f t="shared" si="26"/>
        <v>12.60471919030935</v>
      </c>
      <c r="BG54" s="10">
        <f t="shared" si="27"/>
        <v>5.1497022379122299</v>
      </c>
      <c r="BH54" s="10">
        <f t="shared" si="28"/>
        <v>12.723135590566867</v>
      </c>
      <c r="BI54" s="10">
        <f t="shared" si="29"/>
        <v>5.8172875787597889</v>
      </c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</row>
    <row r="55" spans="1:93" x14ac:dyDescent="0.25">
      <c r="A55">
        <v>14</v>
      </c>
      <c r="B55" s="19" t="s">
        <v>56</v>
      </c>
      <c r="D55" s="13">
        <v>1485</v>
      </c>
      <c r="F55" s="13">
        <v>1265</v>
      </c>
      <c r="H55" s="21">
        <f t="shared" si="80"/>
        <v>0.85185185185185186</v>
      </c>
      <c r="AA55" s="21">
        <v>16</v>
      </c>
      <c r="AB55" s="72" t="s">
        <v>85</v>
      </c>
      <c r="AC55" s="72">
        <v>0</v>
      </c>
      <c r="AD55" s="86">
        <f>IF(AVERAGE($AC$55:$AC$56)&gt;0, AC55-MAX($AC$55:$AC$56), AC55)</f>
        <v>0</v>
      </c>
      <c r="AE55" s="72">
        <v>0</v>
      </c>
      <c r="AF55" s="72">
        <f t="shared" si="88"/>
        <v>0</v>
      </c>
      <c r="AG55" s="87">
        <f t="shared" si="89"/>
        <v>0</v>
      </c>
      <c r="AH55" s="86">
        <f t="shared" si="90"/>
        <v>0</v>
      </c>
      <c r="AI55" s="72">
        <f t="shared" si="81"/>
        <v>0</v>
      </c>
      <c r="AJ55" s="71">
        <f t="shared" si="63"/>
        <v>0</v>
      </c>
      <c r="AK55" s="86">
        <f t="shared" si="91"/>
        <v>0</v>
      </c>
      <c r="AL55" s="86">
        <f t="shared" si="92"/>
        <v>0</v>
      </c>
      <c r="AM55" s="86">
        <f t="shared" si="93"/>
        <v>0</v>
      </c>
      <c r="AN55" s="72">
        <f t="shared" si="94"/>
        <v>0</v>
      </c>
      <c r="AO55" s="86">
        <f t="shared" si="20"/>
        <v>0</v>
      </c>
      <c r="AP55" s="86">
        <f t="shared" si="21"/>
        <v>0</v>
      </c>
      <c r="AQ55" s="86">
        <f t="shared" si="33"/>
        <v>0</v>
      </c>
      <c r="AR55" s="86">
        <f t="shared" si="22"/>
        <v>0</v>
      </c>
      <c r="AT55" s="72" t="s">
        <v>85</v>
      </c>
      <c r="AU55" s="86">
        <f t="shared" si="82"/>
        <v>0</v>
      </c>
      <c r="AV55" s="72">
        <v>0</v>
      </c>
      <c r="AW55" s="72">
        <f>IF(AU55&lt;=0,0,((AU55-23.007)/77601.59))</f>
        <v>0</v>
      </c>
      <c r="AX55" s="87">
        <f t="shared" si="96"/>
        <v>0</v>
      </c>
      <c r="AY55" s="86">
        <f t="shared" si="97"/>
        <v>0</v>
      </c>
      <c r="AZ55" s="72">
        <f t="shared" si="83"/>
        <v>0</v>
      </c>
      <c r="BA55" s="71">
        <f t="shared" si="71"/>
        <v>0</v>
      </c>
      <c r="BB55" s="86">
        <f t="shared" si="84"/>
        <v>0</v>
      </c>
      <c r="BC55" s="86">
        <f t="shared" si="85"/>
        <v>0</v>
      </c>
      <c r="BD55" s="86">
        <f t="shared" si="86"/>
        <v>0</v>
      </c>
      <c r="BE55" s="72">
        <f t="shared" si="87"/>
        <v>0</v>
      </c>
      <c r="BF55" s="86">
        <f t="shared" si="26"/>
        <v>0</v>
      </c>
      <c r="BG55" s="86">
        <f t="shared" si="27"/>
        <v>0</v>
      </c>
      <c r="BH55" s="86">
        <f t="shared" si="28"/>
        <v>0</v>
      </c>
      <c r="BI55" s="86">
        <f t="shared" si="29"/>
        <v>0</v>
      </c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</row>
    <row r="56" spans="1:93" x14ac:dyDescent="0.25">
      <c r="A56">
        <v>15</v>
      </c>
      <c r="B56" s="19" t="s">
        <v>57</v>
      </c>
      <c r="D56" s="13">
        <v>1496</v>
      </c>
      <c r="F56" s="13">
        <v>1050</v>
      </c>
      <c r="H56" s="21">
        <f t="shared" si="80"/>
        <v>0.70187165775401072</v>
      </c>
      <c r="AA56" s="21">
        <v>17</v>
      </c>
      <c r="AB56" s="72" t="s">
        <v>86</v>
      </c>
      <c r="AC56" s="72">
        <v>0</v>
      </c>
      <c r="AD56" s="86">
        <f>IF(AVERAGE($AC$55:$AC$56)&gt;0, AC56-MAX($AC$55:$AC$56), AC56)</f>
        <v>0</v>
      </c>
      <c r="AE56" s="72">
        <v>0</v>
      </c>
      <c r="AF56" s="72">
        <f t="shared" si="88"/>
        <v>0</v>
      </c>
      <c r="AG56" s="87">
        <f t="shared" si="89"/>
        <v>0</v>
      </c>
      <c r="AH56" s="86">
        <f t="shared" si="90"/>
        <v>0</v>
      </c>
      <c r="AI56" s="72">
        <f t="shared" si="81"/>
        <v>0</v>
      </c>
      <c r="AJ56" s="71">
        <f t="shared" si="63"/>
        <v>0</v>
      </c>
      <c r="AK56" s="86">
        <f t="shared" si="91"/>
        <v>0</v>
      </c>
      <c r="AL56" s="86">
        <f t="shared" si="92"/>
        <v>0</v>
      </c>
      <c r="AM56" s="86">
        <f t="shared" si="93"/>
        <v>0</v>
      </c>
      <c r="AN56" s="72">
        <f t="shared" si="94"/>
        <v>0</v>
      </c>
      <c r="AO56" s="86">
        <f t="shared" si="20"/>
        <v>0</v>
      </c>
      <c r="AP56" s="86">
        <f t="shared" si="21"/>
        <v>0</v>
      </c>
      <c r="AQ56" s="86">
        <f t="shared" si="33"/>
        <v>0</v>
      </c>
      <c r="AR56" s="86">
        <f t="shared" si="22"/>
        <v>0</v>
      </c>
      <c r="AT56" s="72" t="s">
        <v>86</v>
      </c>
      <c r="AU56" s="86">
        <f t="shared" si="82"/>
        <v>0</v>
      </c>
      <c r="AV56" s="72">
        <v>0</v>
      </c>
      <c r="AW56" s="72">
        <f t="shared" ref="AW56:AW60" si="99">IF(AU56&lt;=0,0,((AU56-23.007)/77601.59))</f>
        <v>0</v>
      </c>
      <c r="AX56" s="87">
        <f t="shared" si="96"/>
        <v>0</v>
      </c>
      <c r="AY56" s="86">
        <f t="shared" si="97"/>
        <v>0</v>
      </c>
      <c r="AZ56" s="72">
        <f t="shared" si="83"/>
        <v>0</v>
      </c>
      <c r="BA56" s="71">
        <f t="shared" si="71"/>
        <v>0</v>
      </c>
      <c r="BB56" s="86">
        <f t="shared" si="84"/>
        <v>0</v>
      </c>
      <c r="BC56" s="86">
        <f t="shared" si="85"/>
        <v>0</v>
      </c>
      <c r="BD56" s="86">
        <f t="shared" si="86"/>
        <v>0</v>
      </c>
      <c r="BE56" s="72">
        <f t="shared" si="87"/>
        <v>0</v>
      </c>
      <c r="BF56" s="86">
        <f t="shared" si="26"/>
        <v>0</v>
      </c>
      <c r="BG56" s="86">
        <f t="shared" si="27"/>
        <v>0</v>
      </c>
      <c r="BH56" s="86">
        <f t="shared" si="28"/>
        <v>0</v>
      </c>
      <c r="BI56" s="86">
        <f t="shared" si="29"/>
        <v>0</v>
      </c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</row>
    <row r="57" spans="1:93" x14ac:dyDescent="0.25">
      <c r="A57" s="10">
        <v>16</v>
      </c>
      <c r="B57" s="20" t="s">
        <v>58</v>
      </c>
      <c r="C57" s="10"/>
      <c r="D57" s="11">
        <v>1228</v>
      </c>
      <c r="E57" s="10"/>
      <c r="F57" s="11">
        <v>1222</v>
      </c>
      <c r="G57" s="10"/>
      <c r="H57" s="21">
        <f t="shared" si="80"/>
        <v>0.99511400651465798</v>
      </c>
      <c r="AA57" s="21">
        <v>18</v>
      </c>
      <c r="AB57" s="13" t="s">
        <v>87</v>
      </c>
      <c r="AC57" s="13">
        <v>769</v>
      </c>
      <c r="AD57" s="65">
        <f t="shared" ref="AD57:AD60" si="100">IF(AVERAGE($AC$55:$AC$56)&gt;0, AC57-MAX($AC$55:$AC$56), AC57)</f>
        <v>769</v>
      </c>
      <c r="AE57" s="13">
        <v>2.5</v>
      </c>
      <c r="AF57" s="30">
        <f t="shared" si="88"/>
        <v>9.5562310272904235E-3</v>
      </c>
      <c r="AG57" s="17">
        <f t="shared" si="89"/>
        <v>15</v>
      </c>
      <c r="AH57">
        <f t="shared" si="90"/>
        <v>1.0172878387919353</v>
      </c>
      <c r="AI57" s="13">
        <f t="shared" si="81"/>
        <v>9.5774264128544964E-2</v>
      </c>
      <c r="AJ57" s="19">
        <f t="shared" si="63"/>
        <v>1.5962377354757494E-2</v>
      </c>
      <c r="AK57">
        <f t="shared" si="91"/>
        <v>0.21018484279264088</v>
      </c>
      <c r="AL57">
        <f t="shared" si="92"/>
        <v>1.4417374699190069</v>
      </c>
      <c r="AM57">
        <f t="shared" si="93"/>
        <v>0.19062271037051398</v>
      </c>
      <c r="AN57" s="13">
        <f t="shared" si="94"/>
        <v>1.3314538199150321</v>
      </c>
      <c r="AO57">
        <f t="shared" si="20"/>
        <v>13.676753054286879</v>
      </c>
      <c r="AP57">
        <f t="shared" si="21"/>
        <v>12.445200427160513</v>
      </c>
      <c r="AQ57">
        <f t="shared" si="33"/>
        <v>13.696315186709006</v>
      </c>
      <c r="AR57">
        <f t="shared" si="22"/>
        <v>12.555484077164488</v>
      </c>
      <c r="AT57" s="13" t="s">
        <v>87</v>
      </c>
      <c r="AU57">
        <f t="shared" si="82"/>
        <v>755.11081182380281</v>
      </c>
      <c r="AV57" s="13">
        <v>2.5</v>
      </c>
      <c r="AW57" s="30">
        <f t="shared" si="99"/>
        <v>9.4341341694648643E-3</v>
      </c>
      <c r="AX57" s="17">
        <f t="shared" si="96"/>
        <v>15</v>
      </c>
      <c r="AY57">
        <f t="shared" si="97"/>
        <v>1.0042902827192597</v>
      </c>
      <c r="AZ57" s="13">
        <f t="shared" si="83"/>
        <v>9.4550587484766052E-2</v>
      </c>
      <c r="BA57" s="19">
        <f t="shared" si="71"/>
        <v>1.575843124746101E-2</v>
      </c>
      <c r="BB57">
        <f t="shared" si="84"/>
        <v>1.2449962762291376</v>
      </c>
      <c r="BC57">
        <f t="shared" si="85"/>
        <v>8.5399011531959435</v>
      </c>
      <c r="BD57">
        <f t="shared" si="86"/>
        <v>1.1291231157430761</v>
      </c>
      <c r="BE57" s="13">
        <f t="shared" si="87"/>
        <v>7.8866536032793064</v>
      </c>
      <c r="BF57">
        <f t="shared" si="26"/>
        <v>12.656162853566837</v>
      </c>
      <c r="BG57">
        <f t="shared" si="27"/>
        <v>5.3612579766000312</v>
      </c>
      <c r="BH57">
        <f t="shared" si="28"/>
        <v>12.772036014052897</v>
      </c>
      <c r="BI57">
        <f t="shared" si="29"/>
        <v>6.0145055265166683</v>
      </c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</row>
    <row r="58" spans="1:93" x14ac:dyDescent="0.25">
      <c r="A58">
        <v>17</v>
      </c>
      <c r="B58" s="13" t="s">
        <v>59</v>
      </c>
      <c r="D58" s="13">
        <v>487</v>
      </c>
      <c r="F58" s="13">
        <v>434</v>
      </c>
      <c r="H58" s="21">
        <f t="shared" si="80"/>
        <v>0.89117043121149897</v>
      </c>
      <c r="AA58" s="21">
        <v>19</v>
      </c>
      <c r="AB58" s="13" t="s">
        <v>88</v>
      </c>
      <c r="AC58" s="13">
        <v>935</v>
      </c>
      <c r="AD58" s="65">
        <f t="shared" si="100"/>
        <v>935</v>
      </c>
      <c r="AE58" s="13">
        <v>2.5</v>
      </c>
      <c r="AF58" s="30">
        <f t="shared" si="88"/>
        <v>1.1678729790359518E-2</v>
      </c>
      <c r="AG58" s="17">
        <f>AE58*6</f>
        <v>15</v>
      </c>
      <c r="AH58">
        <f t="shared" si="90"/>
        <v>1.2432338391926112</v>
      </c>
      <c r="AI58" s="13">
        <f t="shared" si="81"/>
        <v>0.11704632803806805</v>
      </c>
      <c r="AJ58" s="19">
        <f t="shared" si="63"/>
        <v>1.950772133967801E-2</v>
      </c>
      <c r="AK58">
        <f t="shared" si="91"/>
        <v>0.25686821279167538</v>
      </c>
      <c r="AL58">
        <f t="shared" si="92"/>
        <v>1.7619563917758092</v>
      </c>
      <c r="AM58">
        <f t="shared" si="93"/>
        <v>0.2329612082384348</v>
      </c>
      <c r="AN58" s="13">
        <f t="shared" si="94"/>
        <v>1.6271780523852222</v>
      </c>
      <c r="AO58">
        <f t="shared" si="20"/>
        <v>13.382851619977645</v>
      </c>
      <c r="AP58">
        <f t="shared" si="21"/>
        <v>11.877763440993512</v>
      </c>
      <c r="AQ58">
        <f t="shared" si="33"/>
        <v>13.406758624530886</v>
      </c>
      <c r="AR58">
        <f t="shared" si="22"/>
        <v>12.012541780384097</v>
      </c>
      <c r="AT58" s="13" t="s">
        <v>88</v>
      </c>
      <c r="AU58">
        <f t="shared" si="82"/>
        <v>917.19230649154588</v>
      </c>
      <c r="AV58" s="13">
        <v>2.5</v>
      </c>
      <c r="AW58" s="30">
        <f t="shared" si="99"/>
        <v>1.1522770428950566E-2</v>
      </c>
      <c r="AX58" s="17">
        <f>AV58*6</f>
        <v>15</v>
      </c>
      <c r="AY58">
        <f t="shared" si="97"/>
        <v>1.2266315237762093</v>
      </c>
      <c r="AZ58" s="13">
        <f t="shared" si="83"/>
        <v>0.11548327529999132</v>
      </c>
      <c r="BA58" s="19">
        <f t="shared" si="71"/>
        <v>1.9247212549998553E-2</v>
      </c>
      <c r="BB58">
        <f t="shared" si="84"/>
        <v>1.5206277564208546</v>
      </c>
      <c r="BC58">
        <f t="shared" si="85"/>
        <v>10.430561904949974</v>
      </c>
      <c r="BD58">
        <f t="shared" si="86"/>
        <v>1.3791012736324961</v>
      </c>
      <c r="BE58" s="13">
        <f t="shared" si="87"/>
        <v>9.6326909593228773</v>
      </c>
      <c r="BF58">
        <f t="shared" si="26"/>
        <v>12.137257444502945</v>
      </c>
      <c r="BG58">
        <f t="shared" si="27"/>
        <v>3.2273232959738252</v>
      </c>
      <c r="BH58">
        <f t="shared" si="28"/>
        <v>12.278783927291304</v>
      </c>
      <c r="BI58">
        <f t="shared" si="29"/>
        <v>4.0251942416009214</v>
      </c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</row>
    <row r="59" spans="1:93" x14ac:dyDescent="0.25">
      <c r="A59">
        <v>18</v>
      </c>
      <c r="B59" s="13" t="s">
        <v>60</v>
      </c>
      <c r="D59" s="13">
        <v>493</v>
      </c>
      <c r="F59" s="13">
        <v>553</v>
      </c>
      <c r="H59" s="21">
        <f t="shared" si="80"/>
        <v>1.1217038539553752</v>
      </c>
      <c r="AA59" s="21">
        <v>20</v>
      </c>
      <c r="AB59" s="13" t="s">
        <v>89</v>
      </c>
      <c r="AC59" s="13">
        <v>921</v>
      </c>
      <c r="AD59" s="65">
        <f t="shared" si="100"/>
        <v>921</v>
      </c>
      <c r="AE59" s="13">
        <v>2.5</v>
      </c>
      <c r="AF59" s="30">
        <f t="shared" si="88"/>
        <v>1.1499723870582608E-2</v>
      </c>
      <c r="AG59" s="17">
        <f t="shared" si="89"/>
        <v>15</v>
      </c>
      <c r="AH59">
        <f t="shared" si="90"/>
        <v>1.2241781524118316</v>
      </c>
      <c r="AI59" s="13">
        <f t="shared" si="81"/>
        <v>0.11525229855172275</v>
      </c>
      <c r="AJ59" s="19">
        <f t="shared" si="63"/>
        <v>1.9208716425287126E-2</v>
      </c>
      <c r="AK59">
        <f t="shared" si="91"/>
        <v>0.25293106110500985</v>
      </c>
      <c r="AL59">
        <f t="shared" si="92"/>
        <v>1.7349499766794523</v>
      </c>
      <c r="AM59">
        <f t="shared" si="93"/>
        <v>0.22939049155077884</v>
      </c>
      <c r="AN59" s="13">
        <f t="shared" si="94"/>
        <v>1.6022374544660498</v>
      </c>
      <c r="AO59">
        <f t="shared" si="20"/>
        <v>13.407638487931436</v>
      </c>
      <c r="AP59">
        <f t="shared" si="21"/>
        <v>11.925619572356993</v>
      </c>
      <c r="AQ59">
        <f t="shared" si="33"/>
        <v>13.431179057485666</v>
      </c>
      <c r="AR59">
        <f t="shared" si="22"/>
        <v>12.058332094570396</v>
      </c>
      <c r="AT59" s="13" t="s">
        <v>89</v>
      </c>
      <c r="AU59">
        <f t="shared" si="82"/>
        <v>902.55422247829483</v>
      </c>
      <c r="AV59" s="13">
        <v>2.5</v>
      </c>
      <c r="AW59" s="30">
        <f t="shared" si="99"/>
        <v>1.1334139190682754E-2</v>
      </c>
      <c r="AX59" s="17">
        <f t="shared" si="96"/>
        <v>15</v>
      </c>
      <c r="AY59">
        <f t="shared" si="97"/>
        <v>1.2065511946006056</v>
      </c>
      <c r="AZ59" s="13">
        <f t="shared" si="83"/>
        <v>0.11359277914254563</v>
      </c>
      <c r="BA59" s="19">
        <f t="shared" si="71"/>
        <v>1.8932129857090939E-2</v>
      </c>
      <c r="BB59">
        <f t="shared" si="84"/>
        <v>1.495734619964938</v>
      </c>
      <c r="BC59">
        <f t="shared" si="85"/>
        <v>10.259810450680224</v>
      </c>
      <c r="BD59">
        <f t="shared" si="86"/>
        <v>1.3565249685202798</v>
      </c>
      <c r="BE59" s="13">
        <f t="shared" si="87"/>
        <v>9.4750008938380166</v>
      </c>
      <c r="BF59">
        <f t="shared" si="26"/>
        <v>12.184121406291911</v>
      </c>
      <c r="BG59">
        <f t="shared" si="27"/>
        <v>3.4200455755766246</v>
      </c>
      <c r="BH59">
        <f t="shared" si="28"/>
        <v>12.323331057736569</v>
      </c>
      <c r="BI59">
        <f t="shared" si="29"/>
        <v>4.2048551324188317</v>
      </c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</row>
    <row r="60" spans="1:93" x14ac:dyDescent="0.25">
      <c r="A60">
        <v>19</v>
      </c>
      <c r="B60" s="13" t="s">
        <v>61</v>
      </c>
      <c r="D60" s="13">
        <v>532</v>
      </c>
      <c r="F60" s="13">
        <v>426</v>
      </c>
      <c r="H60" s="21">
        <f t="shared" si="80"/>
        <v>0.8007518796992481</v>
      </c>
      <c r="AA60" s="21">
        <v>21</v>
      </c>
      <c r="AB60" s="13" t="s">
        <v>90</v>
      </c>
      <c r="AC60" s="13">
        <v>871</v>
      </c>
      <c r="AD60" s="65">
        <f t="shared" si="100"/>
        <v>871</v>
      </c>
      <c r="AE60" s="13">
        <v>2.5</v>
      </c>
      <c r="AF60" s="30">
        <f t="shared" si="88"/>
        <v>1.0860417014236495E-2</v>
      </c>
      <c r="AG60" s="17">
        <f t="shared" si="89"/>
        <v>15</v>
      </c>
      <c r="AH60">
        <f t="shared" si="90"/>
        <v>1.1561221281947605</v>
      </c>
      <c r="AI60" s="13">
        <f t="shared" si="81"/>
        <v>0.10884505038620373</v>
      </c>
      <c r="AJ60" s="19">
        <f t="shared" si="63"/>
        <v>1.8140841731033957E-2</v>
      </c>
      <c r="AK60">
        <f t="shared" si="91"/>
        <v>0.23886980508120426</v>
      </c>
      <c r="AL60">
        <f t="shared" si="92"/>
        <v>1.6384984941924639</v>
      </c>
      <c r="AM60">
        <f t="shared" si="93"/>
        <v>0.21663793195200748</v>
      </c>
      <c r="AN60" s="13">
        <f t="shared" si="94"/>
        <v>1.5131638904690046</v>
      </c>
      <c r="AO60">
        <f t="shared" si="20"/>
        <v>13.496163016337832</v>
      </c>
      <c r="AP60">
        <f t="shared" si="21"/>
        <v>12.096534327226571</v>
      </c>
      <c r="AQ60">
        <f t="shared" si="33"/>
        <v>13.518394889467029</v>
      </c>
      <c r="AR60">
        <f t="shared" si="22"/>
        <v>12.221868930950031</v>
      </c>
      <c r="AT60" s="13" t="s">
        <v>90</v>
      </c>
      <c r="AU60">
        <f t="shared" si="82"/>
        <v>852.70172688520074</v>
      </c>
      <c r="AV60" s="13">
        <v>2.5</v>
      </c>
      <c r="AW60" s="30">
        <f t="shared" si="99"/>
        <v>1.0691723286664626E-2</v>
      </c>
      <c r="AX60" s="17">
        <f t="shared" si="96"/>
        <v>15</v>
      </c>
      <c r="AY60">
        <f t="shared" si="97"/>
        <v>1.1381642034596571</v>
      </c>
      <c r="AZ60" s="13">
        <f t="shared" si="83"/>
        <v>0.10715437154271854</v>
      </c>
      <c r="BA60" s="19">
        <f t="shared" si="71"/>
        <v>1.7859061923786421E-2</v>
      </c>
      <c r="BB60">
        <f t="shared" si="84"/>
        <v>1.4109567915043626</v>
      </c>
      <c r="BC60">
        <f t="shared" si="85"/>
        <v>9.678287205302528</v>
      </c>
      <c r="BD60">
        <f t="shared" si="86"/>
        <v>1.2796375049631448</v>
      </c>
      <c r="BE60" s="13">
        <f t="shared" si="87"/>
        <v>8.9379604391212393</v>
      </c>
      <c r="BF60">
        <f t="shared" si="26"/>
        <v>12.343724633493261</v>
      </c>
      <c r="BG60">
        <f t="shared" si="27"/>
        <v>4.0763942196950964</v>
      </c>
      <c r="BH60">
        <f t="shared" si="28"/>
        <v>12.47504392003448</v>
      </c>
      <c r="BI60">
        <f t="shared" si="29"/>
        <v>4.8167209858763851</v>
      </c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</row>
    <row r="61" spans="1:93" x14ac:dyDescent="0.25">
      <c r="A61">
        <v>20</v>
      </c>
      <c r="B61" s="13" t="s">
        <v>36</v>
      </c>
      <c r="D61" s="13"/>
      <c r="F61" s="13"/>
      <c r="G61" s="16">
        <v>122881</v>
      </c>
      <c r="H61" s="21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</row>
    <row r="62" spans="1:93" x14ac:dyDescent="0.25">
      <c r="A62">
        <v>21</v>
      </c>
      <c r="B62" s="13" t="s">
        <v>64</v>
      </c>
      <c r="D62" s="13">
        <v>645</v>
      </c>
      <c r="F62" s="13">
        <v>511</v>
      </c>
      <c r="H62" s="21">
        <f t="shared" si="80"/>
        <v>0.79224806201550391</v>
      </c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</row>
    <row r="63" spans="1:93" x14ac:dyDescent="0.25">
      <c r="A63">
        <v>22</v>
      </c>
      <c r="B63" s="13" t="s">
        <v>62</v>
      </c>
      <c r="D63" s="13">
        <v>515</v>
      </c>
      <c r="F63" s="13">
        <v>370</v>
      </c>
      <c r="H63" s="21">
        <f t="shared" si="80"/>
        <v>0.71844660194174759</v>
      </c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</row>
    <row r="64" spans="1:93" x14ac:dyDescent="0.25">
      <c r="A64">
        <v>23</v>
      </c>
      <c r="B64" s="13" t="s">
        <v>65</v>
      </c>
      <c r="D64" s="13">
        <v>479</v>
      </c>
      <c r="F64" s="13">
        <v>397</v>
      </c>
      <c r="H64" s="21">
        <f t="shared" si="80"/>
        <v>0.82881002087682676</v>
      </c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</row>
    <row r="65" spans="1:93" x14ac:dyDescent="0.25">
      <c r="A65">
        <v>24</v>
      </c>
      <c r="B65" s="18" t="s">
        <v>63</v>
      </c>
      <c r="D65" s="13">
        <v>313</v>
      </c>
      <c r="F65" s="13"/>
      <c r="H65" s="21">
        <f t="shared" si="80"/>
        <v>0</v>
      </c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</row>
    <row r="66" spans="1:93" x14ac:dyDescent="0.25">
      <c r="A66">
        <v>25</v>
      </c>
      <c r="B66" s="19" t="s">
        <v>66</v>
      </c>
      <c r="D66" s="13"/>
      <c r="F66" s="13"/>
      <c r="H66" s="21"/>
      <c r="BM66" s="17"/>
      <c r="BN66" s="99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</row>
    <row r="67" spans="1:93" x14ac:dyDescent="0.25">
      <c r="A67">
        <v>26</v>
      </c>
      <c r="B67" s="19" t="s">
        <v>67</v>
      </c>
      <c r="D67" s="13">
        <v>302</v>
      </c>
      <c r="F67" s="13"/>
      <c r="H67" s="21">
        <f t="shared" si="80"/>
        <v>0</v>
      </c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</row>
    <row r="68" spans="1:93" x14ac:dyDescent="0.25">
      <c r="A68">
        <v>27</v>
      </c>
      <c r="B68" s="19" t="s">
        <v>68</v>
      </c>
      <c r="D68" s="13">
        <v>316</v>
      </c>
      <c r="F68" s="13"/>
      <c r="H68" s="21">
        <f t="shared" si="80"/>
        <v>0</v>
      </c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</row>
    <row r="69" spans="1:93" x14ac:dyDescent="0.25">
      <c r="A69">
        <v>28</v>
      </c>
      <c r="B69" s="19" t="s">
        <v>69</v>
      </c>
      <c r="D69" s="13">
        <v>308</v>
      </c>
      <c r="F69" s="13">
        <v>414</v>
      </c>
      <c r="H69" s="21">
        <f t="shared" si="80"/>
        <v>1.3441558441558441</v>
      </c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</row>
    <row r="70" spans="1:93" x14ac:dyDescent="0.25">
      <c r="A70">
        <v>29</v>
      </c>
      <c r="B70" s="20" t="s">
        <v>70</v>
      </c>
      <c r="D70" s="13">
        <v>495</v>
      </c>
      <c r="F70" s="13">
        <v>362</v>
      </c>
      <c r="H70" s="21">
        <f t="shared" si="80"/>
        <v>0.73131313131313136</v>
      </c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</row>
    <row r="71" spans="1:93" x14ac:dyDescent="0.25"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</row>
    <row r="72" spans="1:93" x14ac:dyDescent="0.25"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</row>
    <row r="73" spans="1:93" x14ac:dyDescent="0.25">
      <c r="A73" t="s">
        <v>78</v>
      </c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</row>
    <row r="74" spans="1:93" x14ac:dyDescent="0.25">
      <c r="A74" t="s">
        <v>23</v>
      </c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</row>
    <row r="75" spans="1:93" x14ac:dyDescent="0.25">
      <c r="A75" t="s">
        <v>1</v>
      </c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</row>
    <row r="76" spans="1:93" x14ac:dyDescent="0.25">
      <c r="A76" t="s">
        <v>5</v>
      </c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</row>
    <row r="77" spans="1:93" x14ac:dyDescent="0.25">
      <c r="A77" s="4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</row>
    <row r="78" spans="1:93" x14ac:dyDescent="0.25">
      <c r="A78" s="9" t="s">
        <v>12</v>
      </c>
      <c r="B78" s="25"/>
      <c r="C78" s="3" t="s">
        <v>10</v>
      </c>
      <c r="D78" s="13"/>
      <c r="E78" t="s">
        <v>9</v>
      </c>
      <c r="F78" s="13"/>
      <c r="G78" s="19" t="s">
        <v>7</v>
      </c>
      <c r="H78" s="19" t="s">
        <v>94</v>
      </c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</row>
    <row r="79" spans="1:93" x14ac:dyDescent="0.25">
      <c r="B79" s="11" t="s">
        <v>13</v>
      </c>
      <c r="C79" s="9" t="s">
        <v>20</v>
      </c>
      <c r="D79" s="11" t="s">
        <v>108</v>
      </c>
      <c r="E79" s="9" t="s">
        <v>158</v>
      </c>
      <c r="F79" s="11" t="s">
        <v>159</v>
      </c>
      <c r="G79" s="11" t="s">
        <v>92</v>
      </c>
      <c r="H79" s="20" t="s">
        <v>160</v>
      </c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</row>
    <row r="80" spans="1:93" x14ac:dyDescent="0.25">
      <c r="A80">
        <v>1</v>
      </c>
      <c r="B80" s="13" t="s">
        <v>77</v>
      </c>
      <c r="C80" s="6"/>
      <c r="D80" s="7"/>
      <c r="E80" s="6"/>
      <c r="F80" s="7"/>
      <c r="G80" s="59">
        <v>77246</v>
      </c>
      <c r="H80" s="21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</row>
    <row r="81" spans="1:93" x14ac:dyDescent="0.25">
      <c r="A81">
        <v>2</v>
      </c>
      <c r="B81" s="13" t="s">
        <v>24</v>
      </c>
      <c r="C81" s="12"/>
      <c r="D81" s="13"/>
      <c r="E81" s="12"/>
      <c r="F81" s="13"/>
      <c r="G81" s="58">
        <v>94964</v>
      </c>
      <c r="H81" s="21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</row>
    <row r="82" spans="1:93" x14ac:dyDescent="0.25">
      <c r="A82">
        <v>3</v>
      </c>
      <c r="B82" s="13" t="s">
        <v>45</v>
      </c>
      <c r="C82" s="12"/>
      <c r="D82" s="13">
        <v>682</v>
      </c>
      <c r="E82" s="12"/>
      <c r="F82" s="13">
        <v>742</v>
      </c>
      <c r="G82" s="19">
        <v>105511</v>
      </c>
      <c r="H82" s="21">
        <f t="shared" ref="H82:H100" si="101">F82/D82</f>
        <v>1.0879765395894427</v>
      </c>
      <c r="BM82" s="17"/>
      <c r="BN82" s="17"/>
      <c r="BO82" s="17"/>
      <c r="BP82" s="17"/>
      <c r="BQ82" s="17"/>
      <c r="BR82" s="17"/>
      <c r="BS82" s="17"/>
      <c r="BT82" s="17"/>
    </row>
    <row r="83" spans="1:93" x14ac:dyDescent="0.25">
      <c r="A83">
        <v>4</v>
      </c>
      <c r="B83" s="13" t="s">
        <v>46</v>
      </c>
      <c r="C83" s="12"/>
      <c r="D83" s="13">
        <v>687</v>
      </c>
      <c r="E83" s="12"/>
      <c r="F83" s="13">
        <v>591</v>
      </c>
      <c r="G83" s="19">
        <v>97232</v>
      </c>
      <c r="H83" s="21">
        <f t="shared" si="101"/>
        <v>0.86026200873362446</v>
      </c>
    </row>
    <row r="84" spans="1:93" x14ac:dyDescent="0.25">
      <c r="A84">
        <v>5</v>
      </c>
      <c r="B84" s="13" t="s">
        <v>26</v>
      </c>
      <c r="C84" s="12"/>
      <c r="D84" s="13">
        <v>1550</v>
      </c>
      <c r="E84" s="12"/>
      <c r="F84" s="13">
        <v>1261</v>
      </c>
      <c r="G84" s="19">
        <v>89395</v>
      </c>
      <c r="H84" s="21">
        <f t="shared" si="101"/>
        <v>0.81354838709677424</v>
      </c>
    </row>
    <row r="85" spans="1:93" x14ac:dyDescent="0.25">
      <c r="A85">
        <v>6</v>
      </c>
      <c r="B85" s="13" t="s">
        <v>27</v>
      </c>
      <c r="C85" s="12"/>
      <c r="D85" s="13">
        <v>1111</v>
      </c>
      <c r="E85" s="12"/>
      <c r="F85" s="13">
        <v>1213</v>
      </c>
      <c r="G85" s="19">
        <v>71996</v>
      </c>
      <c r="H85" s="21">
        <f t="shared" si="101"/>
        <v>1.0918091809180919</v>
      </c>
      <c r="L85" s="21"/>
      <c r="M85" s="21"/>
    </row>
    <row r="86" spans="1:93" x14ac:dyDescent="0.25">
      <c r="A86">
        <v>7</v>
      </c>
      <c r="B86" s="13" t="s">
        <v>28</v>
      </c>
      <c r="C86" s="12"/>
      <c r="D86" s="13">
        <v>6550</v>
      </c>
      <c r="E86" s="12"/>
      <c r="F86" s="13">
        <v>4888</v>
      </c>
      <c r="G86" s="19">
        <v>97223</v>
      </c>
      <c r="H86" s="21">
        <f t="shared" si="101"/>
        <v>0.74625954198473288</v>
      </c>
      <c r="L86" s="21"/>
      <c r="M86" s="21"/>
    </row>
    <row r="87" spans="1:93" x14ac:dyDescent="0.25">
      <c r="A87">
        <v>8</v>
      </c>
      <c r="B87" s="13" t="s">
        <v>29</v>
      </c>
      <c r="C87" s="12"/>
      <c r="D87" s="13">
        <v>6372</v>
      </c>
      <c r="E87" s="12"/>
      <c r="F87" s="13">
        <v>5023</v>
      </c>
      <c r="G87" s="19">
        <v>92207</v>
      </c>
      <c r="H87" s="21">
        <f t="shared" si="101"/>
        <v>0.7882925298179535</v>
      </c>
    </row>
    <row r="88" spans="1:93" x14ac:dyDescent="0.25">
      <c r="A88">
        <v>9</v>
      </c>
      <c r="B88" s="13" t="s">
        <v>79</v>
      </c>
      <c r="C88" s="12"/>
      <c r="D88" s="13">
        <v>285</v>
      </c>
      <c r="E88" s="12"/>
      <c r="F88" s="13"/>
      <c r="G88" s="19"/>
      <c r="H88" s="21">
        <f t="shared" si="101"/>
        <v>0</v>
      </c>
    </row>
    <row r="89" spans="1:93" x14ac:dyDescent="0.25">
      <c r="A89">
        <v>10</v>
      </c>
      <c r="B89" s="13" t="s">
        <v>80</v>
      </c>
      <c r="C89" s="12"/>
      <c r="D89" s="13"/>
      <c r="E89" s="12"/>
      <c r="F89" s="13"/>
      <c r="G89" s="19"/>
      <c r="H89" s="21"/>
    </row>
    <row r="90" spans="1:93" x14ac:dyDescent="0.25">
      <c r="A90">
        <v>11</v>
      </c>
      <c r="B90" s="13" t="s">
        <v>81</v>
      </c>
      <c r="C90" s="12"/>
      <c r="D90" s="13">
        <v>1196</v>
      </c>
      <c r="E90" s="12"/>
      <c r="F90" s="13">
        <v>918</v>
      </c>
      <c r="G90" s="19"/>
      <c r="H90" s="21">
        <f t="shared" si="101"/>
        <v>0.76755852842809369</v>
      </c>
    </row>
    <row r="91" spans="1:93" x14ac:dyDescent="0.25">
      <c r="A91">
        <v>12</v>
      </c>
      <c r="B91" s="13" t="s">
        <v>82</v>
      </c>
      <c r="C91" s="12"/>
      <c r="D91" s="13">
        <v>1349</v>
      </c>
      <c r="E91" s="12"/>
      <c r="F91" s="13">
        <v>1135</v>
      </c>
      <c r="G91" s="19"/>
      <c r="H91" s="21">
        <f t="shared" si="101"/>
        <v>0.84136397331356561</v>
      </c>
    </row>
    <row r="92" spans="1:93" x14ac:dyDescent="0.25">
      <c r="A92">
        <v>13</v>
      </c>
      <c r="B92" s="13" t="s">
        <v>25</v>
      </c>
      <c r="C92" s="12"/>
      <c r="D92" s="13"/>
      <c r="E92" s="12"/>
      <c r="F92" s="13"/>
      <c r="G92" s="58">
        <v>85961</v>
      </c>
      <c r="H92" s="21" t="e">
        <f t="shared" si="101"/>
        <v>#DIV/0!</v>
      </c>
    </row>
    <row r="93" spans="1:93" x14ac:dyDescent="0.25">
      <c r="A93">
        <v>14</v>
      </c>
      <c r="B93" s="13" t="s">
        <v>83</v>
      </c>
      <c r="C93" s="12"/>
      <c r="D93" s="13">
        <v>938</v>
      </c>
      <c r="E93" s="12"/>
      <c r="F93" s="13">
        <v>618</v>
      </c>
      <c r="G93" s="19"/>
      <c r="H93" s="21">
        <f t="shared" si="101"/>
        <v>0.65884861407249462</v>
      </c>
    </row>
    <row r="94" spans="1:93" x14ac:dyDescent="0.25">
      <c r="A94">
        <v>15</v>
      </c>
      <c r="B94" s="13" t="s">
        <v>84</v>
      </c>
      <c r="C94" s="12"/>
      <c r="D94" s="13">
        <v>1068</v>
      </c>
      <c r="E94" s="12"/>
      <c r="F94" s="13"/>
      <c r="G94" s="19"/>
      <c r="H94" s="21">
        <f t="shared" si="101"/>
        <v>0</v>
      </c>
    </row>
    <row r="95" spans="1:93" x14ac:dyDescent="0.25">
      <c r="A95">
        <v>16</v>
      </c>
      <c r="B95" s="13" t="s">
        <v>85</v>
      </c>
      <c r="C95" s="12"/>
      <c r="D95" s="13"/>
      <c r="E95" s="12"/>
      <c r="F95" s="13"/>
      <c r="G95" s="19"/>
      <c r="H95" s="21"/>
    </row>
    <row r="96" spans="1:93" x14ac:dyDescent="0.25">
      <c r="A96">
        <v>17</v>
      </c>
      <c r="B96" s="13" t="s">
        <v>86</v>
      </c>
      <c r="C96" s="12"/>
      <c r="D96" s="13"/>
      <c r="E96" s="12"/>
      <c r="F96" s="13">
        <v>253</v>
      </c>
      <c r="G96" s="19"/>
      <c r="H96" s="21"/>
    </row>
    <row r="97" spans="1:8" x14ac:dyDescent="0.25">
      <c r="A97">
        <v>18</v>
      </c>
      <c r="B97" s="13" t="s">
        <v>87</v>
      </c>
      <c r="C97" s="12"/>
      <c r="D97" s="13">
        <v>769</v>
      </c>
      <c r="E97" s="12"/>
      <c r="F97" s="13">
        <v>657</v>
      </c>
      <c r="G97" s="19"/>
      <c r="H97" s="21">
        <f t="shared" si="101"/>
        <v>0.85435630689206765</v>
      </c>
    </row>
    <row r="98" spans="1:8" x14ac:dyDescent="0.25">
      <c r="A98">
        <v>19</v>
      </c>
      <c r="B98" s="13" t="s">
        <v>88</v>
      </c>
      <c r="C98" s="12"/>
      <c r="D98" s="13">
        <v>935</v>
      </c>
      <c r="E98" s="12"/>
      <c r="F98" s="13">
        <v>778</v>
      </c>
      <c r="G98" s="19"/>
      <c r="H98" s="21">
        <f t="shared" si="101"/>
        <v>0.83208556149732615</v>
      </c>
    </row>
    <row r="99" spans="1:8" x14ac:dyDescent="0.25">
      <c r="A99">
        <v>20</v>
      </c>
      <c r="B99" s="13" t="s">
        <v>89</v>
      </c>
      <c r="C99" s="12"/>
      <c r="D99" s="13">
        <v>921</v>
      </c>
      <c r="E99" s="12"/>
      <c r="F99" s="13">
        <v>837</v>
      </c>
      <c r="G99" s="19"/>
      <c r="H99" s="21">
        <f t="shared" si="101"/>
        <v>0.90879478827361559</v>
      </c>
    </row>
    <row r="100" spans="1:8" x14ac:dyDescent="0.25">
      <c r="A100">
        <v>21</v>
      </c>
      <c r="B100" s="13" t="s">
        <v>90</v>
      </c>
      <c r="C100" s="12"/>
      <c r="D100" s="13">
        <v>871</v>
      </c>
      <c r="E100" s="12"/>
      <c r="F100" s="13">
        <v>900</v>
      </c>
      <c r="G100" s="19"/>
      <c r="H100" s="21">
        <f t="shared" si="101"/>
        <v>1.0332950631458093</v>
      </c>
    </row>
    <row r="101" spans="1:8" x14ac:dyDescent="0.25">
      <c r="D101" s="21"/>
      <c r="E101" s="21"/>
      <c r="F101" s="21"/>
      <c r="G101" s="21"/>
      <c r="H101" s="21"/>
    </row>
    <row r="102" spans="1:8" x14ac:dyDescent="0.25">
      <c r="D102" s="21"/>
      <c r="E102" s="21"/>
      <c r="F102" s="21"/>
      <c r="G102" s="21"/>
      <c r="H102" s="2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229AB-5541-4336-9A0B-9244A946A7C1}">
  <dimension ref="A1:AH118"/>
  <sheetViews>
    <sheetView topLeftCell="C61" zoomScale="85" zoomScaleNormal="85" workbookViewId="0">
      <selection activeCell="D6" sqref="D6"/>
    </sheetView>
  </sheetViews>
  <sheetFormatPr baseColWidth="10" defaultRowHeight="15" x14ac:dyDescent="0.25"/>
  <cols>
    <col min="2" max="2" width="27.28515625" bestFit="1" customWidth="1"/>
    <col min="4" max="4" width="20" bestFit="1" customWidth="1"/>
    <col min="8" max="8" width="27.28515625" bestFit="1" customWidth="1"/>
    <col min="9" max="9" width="12.7109375" bestFit="1" customWidth="1"/>
    <col min="12" max="12" width="15.85546875" bestFit="1" customWidth="1"/>
    <col min="13" max="13" width="14.7109375" bestFit="1" customWidth="1"/>
    <col min="15" max="15" width="15.42578125" bestFit="1" customWidth="1"/>
    <col min="22" max="22" width="13.28515625" bestFit="1" customWidth="1"/>
    <col min="24" max="24" width="15.28515625" customWidth="1"/>
    <col min="25" max="25" width="20.42578125" customWidth="1"/>
    <col min="32" max="32" width="13.28515625" bestFit="1" customWidth="1"/>
    <col min="34" max="34" width="13.7109375" bestFit="1" customWidth="1"/>
  </cols>
  <sheetData>
    <row r="1" spans="1:28" x14ac:dyDescent="0.25">
      <c r="A1" t="s">
        <v>22</v>
      </c>
      <c r="G1" t="s">
        <v>95</v>
      </c>
      <c r="H1" s="16">
        <v>0.59867216611329166</v>
      </c>
      <c r="Y1" s="45" t="s">
        <v>148</v>
      </c>
      <c r="Z1" s="46" t="s">
        <v>135</v>
      </c>
      <c r="AA1" s="46" t="s">
        <v>136</v>
      </c>
      <c r="AB1" s="47" t="s">
        <v>137</v>
      </c>
    </row>
    <row r="2" spans="1:28" x14ac:dyDescent="0.25">
      <c r="A2" t="s">
        <v>23</v>
      </c>
      <c r="Y2" s="48"/>
      <c r="Z2" s="49" t="s">
        <v>124</v>
      </c>
      <c r="AA2" s="49" t="s">
        <v>126</v>
      </c>
      <c r="AB2" s="50" t="s">
        <v>127</v>
      </c>
    </row>
    <row r="3" spans="1:28" x14ac:dyDescent="0.25">
      <c r="A3" t="s">
        <v>1</v>
      </c>
      <c r="Y3" s="48" t="s">
        <v>138</v>
      </c>
      <c r="Z3" s="51">
        <v>1.071586842105263</v>
      </c>
      <c r="AA3" s="51">
        <v>0.80161578947368428</v>
      </c>
      <c r="AB3" s="52">
        <v>1.3257263157894739</v>
      </c>
    </row>
    <row r="4" spans="1:28" x14ac:dyDescent="0.25">
      <c r="A4" t="s">
        <v>5</v>
      </c>
      <c r="Y4" s="48" t="s">
        <v>139</v>
      </c>
      <c r="Z4" s="51">
        <v>20</v>
      </c>
      <c r="AA4" s="51">
        <v>20</v>
      </c>
      <c r="AB4" s="52">
        <v>20</v>
      </c>
    </row>
    <row r="5" spans="1:28" x14ac:dyDescent="0.25">
      <c r="A5" s="4"/>
      <c r="B5" s="5"/>
      <c r="C5" t="s">
        <v>105</v>
      </c>
      <c r="D5" t="s">
        <v>106</v>
      </c>
      <c r="G5" s="27">
        <v>44411</v>
      </c>
      <c r="H5" s="26" t="s">
        <v>96</v>
      </c>
      <c r="I5" t="s">
        <v>97</v>
      </c>
      <c r="K5" t="s">
        <v>98</v>
      </c>
      <c r="L5" t="s">
        <v>99</v>
      </c>
      <c r="M5" t="s">
        <v>100</v>
      </c>
      <c r="N5" t="s">
        <v>101</v>
      </c>
      <c r="O5" t="s">
        <v>102</v>
      </c>
      <c r="Y5" s="48" t="s">
        <v>140</v>
      </c>
      <c r="Z5" s="51">
        <f>Z4/Z3</f>
        <v>18.66390964703109</v>
      </c>
      <c r="AA5" s="51">
        <f t="shared" ref="AA5:AB5" si="0">AA4/AA3</f>
        <v>24.949608356805658</v>
      </c>
      <c r="AB5" s="52">
        <f t="shared" si="0"/>
        <v>15.086069999364796</v>
      </c>
    </row>
    <row r="6" spans="1:28" x14ac:dyDescent="0.25">
      <c r="A6" s="9" t="s">
        <v>12</v>
      </c>
      <c r="B6" s="10" t="s">
        <v>13</v>
      </c>
      <c r="C6" t="s">
        <v>107</v>
      </c>
      <c r="D6" t="s">
        <v>108</v>
      </c>
      <c r="H6" t="s">
        <v>103</v>
      </c>
      <c r="I6" t="s">
        <v>108</v>
      </c>
      <c r="J6" t="s">
        <v>20</v>
      </c>
      <c r="K6" t="s">
        <v>4</v>
      </c>
      <c r="L6" t="s">
        <v>104</v>
      </c>
      <c r="M6" t="s">
        <v>104</v>
      </c>
      <c r="N6" t="s">
        <v>104</v>
      </c>
      <c r="O6" t="s">
        <v>4</v>
      </c>
      <c r="Y6" s="48" t="s">
        <v>143</v>
      </c>
      <c r="Z6" s="49">
        <v>2.65</v>
      </c>
      <c r="AA6" s="49">
        <f>0.8*2.65+0.2*1.3</f>
        <v>2.38</v>
      </c>
      <c r="AB6" s="50">
        <v>2.65</v>
      </c>
    </row>
    <row r="7" spans="1:28" x14ac:dyDescent="0.25">
      <c r="A7">
        <v>1</v>
      </c>
      <c r="B7" t="s">
        <v>24</v>
      </c>
      <c r="C7">
        <v>0</v>
      </c>
      <c r="D7" s="21"/>
      <c r="H7" t="s">
        <v>24</v>
      </c>
      <c r="I7" s="21"/>
      <c r="K7">
        <v>0</v>
      </c>
      <c r="L7">
        <f>K7*10</f>
        <v>0</v>
      </c>
      <c r="M7">
        <f>(K7*10*10)/($H$1*(10+10))</f>
        <v>0</v>
      </c>
      <c r="N7">
        <f>L7-M7</f>
        <v>0</v>
      </c>
      <c r="O7">
        <f>N7/10</f>
        <v>0</v>
      </c>
      <c r="Y7" s="48" t="s">
        <v>141</v>
      </c>
      <c r="Z7" s="49">
        <f>Z4/Z6</f>
        <v>7.5471698113207548</v>
      </c>
      <c r="AA7" s="49">
        <f t="shared" ref="AA7:AB7" si="1">AA4/AA6</f>
        <v>8.4033613445378155</v>
      </c>
      <c r="AB7" s="50">
        <f t="shared" si="1"/>
        <v>7.5471698113207548</v>
      </c>
    </row>
    <row r="8" spans="1:28" x14ac:dyDescent="0.25">
      <c r="A8">
        <v>2</v>
      </c>
      <c r="B8" t="s">
        <v>25</v>
      </c>
      <c r="C8">
        <v>0</v>
      </c>
      <c r="D8" s="21"/>
      <c r="H8" t="s">
        <v>25</v>
      </c>
      <c r="I8" s="21"/>
      <c r="K8">
        <v>0</v>
      </c>
      <c r="L8">
        <f t="shared" ref="L8:L18" si="2">K8*10</f>
        <v>0</v>
      </c>
      <c r="M8">
        <f t="shared" ref="M8:M18" si="3">(K8*10*10)/($H$1*(10+10))</f>
        <v>0</v>
      </c>
      <c r="N8">
        <f t="shared" ref="N8:N18" si="4">L8-M8</f>
        <v>0</v>
      </c>
      <c r="O8">
        <f t="shared" ref="O8:O18" si="5">N8/10</f>
        <v>0</v>
      </c>
      <c r="Y8" s="48" t="s">
        <v>144</v>
      </c>
      <c r="Z8" s="51">
        <f>Z5-Z7</f>
        <v>11.116739835710336</v>
      </c>
      <c r="AA8" s="51">
        <f t="shared" ref="AA8:AB8" si="6">AA5-AA7</f>
        <v>16.546247012267841</v>
      </c>
      <c r="AB8" s="52">
        <f t="shared" si="6"/>
        <v>7.5389001880440407</v>
      </c>
    </row>
    <row r="9" spans="1:28" x14ac:dyDescent="0.25">
      <c r="A9">
        <v>3</v>
      </c>
      <c r="B9" t="s">
        <v>26</v>
      </c>
      <c r="C9">
        <v>0.1</v>
      </c>
      <c r="D9" s="21">
        <v>1143</v>
      </c>
      <c r="H9" s="21" t="s">
        <v>36</v>
      </c>
      <c r="I9" s="21"/>
      <c r="K9"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Y9" s="48" t="s">
        <v>142</v>
      </c>
      <c r="Z9" s="51">
        <f>(Z8/Z5)*100</f>
        <v>59.562760675273097</v>
      </c>
      <c r="AA9" s="51">
        <f>(AA8/AA5)*100</f>
        <v>66.318664307828385</v>
      </c>
      <c r="AB9" s="52">
        <f>(AB8/AB5)*100</f>
        <v>49.972591857000985</v>
      </c>
    </row>
    <row r="10" spans="1:28" x14ac:dyDescent="0.25">
      <c r="A10">
        <v>4</v>
      </c>
      <c r="B10" t="s">
        <v>27</v>
      </c>
      <c r="C10">
        <v>0.1</v>
      </c>
      <c r="D10" s="21">
        <v>1980</v>
      </c>
      <c r="H10" s="21" t="s">
        <v>44</v>
      </c>
      <c r="I10" s="21">
        <v>821</v>
      </c>
      <c r="K10"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Y10" s="48"/>
      <c r="Z10" s="49"/>
      <c r="AA10" s="49"/>
      <c r="AB10" s="50"/>
    </row>
    <row r="11" spans="1:28" x14ac:dyDescent="0.25">
      <c r="A11">
        <v>5</v>
      </c>
      <c r="B11" t="s">
        <v>28</v>
      </c>
      <c r="C11">
        <v>0.5</v>
      </c>
      <c r="D11" s="21">
        <v>7720</v>
      </c>
      <c r="H11" s="21" t="s">
        <v>45</v>
      </c>
      <c r="I11" s="21">
        <v>909</v>
      </c>
      <c r="K11">
        <v>0.05</v>
      </c>
      <c r="L11">
        <f t="shared" si="2"/>
        <v>0.5</v>
      </c>
      <c r="M11">
        <f t="shared" si="3"/>
        <v>0.41759081873315362</v>
      </c>
      <c r="N11">
        <f t="shared" si="4"/>
        <v>8.2409181266846376E-2</v>
      </c>
      <c r="O11">
        <f t="shared" si="5"/>
        <v>8.2409181266846383E-3</v>
      </c>
      <c r="Y11" s="48" t="s">
        <v>145</v>
      </c>
      <c r="Z11" s="49">
        <v>120</v>
      </c>
      <c r="AA11" s="49">
        <v>120</v>
      </c>
      <c r="AB11" s="50">
        <v>120</v>
      </c>
    </row>
    <row r="12" spans="1:28" x14ac:dyDescent="0.25">
      <c r="A12">
        <v>6</v>
      </c>
      <c r="B12" t="s">
        <v>29</v>
      </c>
      <c r="C12">
        <v>0.5</v>
      </c>
      <c r="D12" s="21">
        <v>6702</v>
      </c>
      <c r="H12" s="21" t="s">
        <v>46</v>
      </c>
      <c r="I12" s="21">
        <v>947</v>
      </c>
      <c r="K12">
        <v>0.05</v>
      </c>
      <c r="L12">
        <f t="shared" si="2"/>
        <v>0.5</v>
      </c>
      <c r="M12">
        <f t="shared" si="3"/>
        <v>0.41759081873315362</v>
      </c>
      <c r="N12">
        <f t="shared" si="4"/>
        <v>8.2409181266846376E-2</v>
      </c>
      <c r="O12">
        <f t="shared" si="5"/>
        <v>8.2409181266846383E-3</v>
      </c>
      <c r="Y12" s="48" t="s">
        <v>146</v>
      </c>
      <c r="Z12" s="49">
        <v>8</v>
      </c>
      <c r="AA12" s="49">
        <v>6</v>
      </c>
      <c r="AB12" s="50">
        <v>6</v>
      </c>
    </row>
    <row r="13" spans="1:28" x14ac:dyDescent="0.25">
      <c r="A13">
        <v>7</v>
      </c>
      <c r="B13" t="s">
        <v>30</v>
      </c>
      <c r="C13">
        <v>1</v>
      </c>
      <c r="D13" s="21">
        <v>14694</v>
      </c>
      <c r="H13" t="s">
        <v>26</v>
      </c>
      <c r="I13" s="21">
        <v>1143</v>
      </c>
      <c r="K13">
        <v>0.1</v>
      </c>
      <c r="L13">
        <f t="shared" si="2"/>
        <v>1</v>
      </c>
      <c r="M13">
        <f t="shared" si="3"/>
        <v>0.83518163746630725</v>
      </c>
      <c r="N13">
        <f t="shared" si="4"/>
        <v>0.16481836253369275</v>
      </c>
      <c r="O13">
        <f t="shared" si="5"/>
        <v>1.6481836253369277E-2</v>
      </c>
      <c r="Y13" s="53" t="s">
        <v>147</v>
      </c>
      <c r="Z13" s="54">
        <f>Z11-Z7-Z12</f>
        <v>104.45283018867924</v>
      </c>
      <c r="AA13" s="54">
        <f t="shared" ref="AA13:AB13" si="7">AA11-AA7-AA12</f>
        <v>105.59663865546219</v>
      </c>
      <c r="AB13" s="55">
        <f t="shared" si="7"/>
        <v>106.45283018867924</v>
      </c>
    </row>
    <row r="14" spans="1:28" x14ac:dyDescent="0.25">
      <c r="A14">
        <v>8</v>
      </c>
      <c r="B14" t="s">
        <v>31</v>
      </c>
      <c r="C14">
        <v>1</v>
      </c>
      <c r="D14" s="21">
        <v>16948</v>
      </c>
      <c r="H14" t="s">
        <v>27</v>
      </c>
      <c r="I14" s="21">
        <v>1980</v>
      </c>
      <c r="K14">
        <v>0.1</v>
      </c>
      <c r="L14">
        <f t="shared" si="2"/>
        <v>1</v>
      </c>
      <c r="M14">
        <f t="shared" si="3"/>
        <v>0.83518163746630725</v>
      </c>
      <c r="N14">
        <f t="shared" si="4"/>
        <v>0.16481836253369275</v>
      </c>
      <c r="O14">
        <f t="shared" si="5"/>
        <v>1.6481836253369277E-2</v>
      </c>
    </row>
    <row r="15" spans="1:28" x14ac:dyDescent="0.25">
      <c r="A15" s="10">
        <v>9</v>
      </c>
      <c r="B15" s="10" t="s">
        <v>36</v>
      </c>
      <c r="C15">
        <v>0</v>
      </c>
      <c r="D15" s="21"/>
      <c r="H15" t="s">
        <v>28</v>
      </c>
      <c r="I15" s="21">
        <v>7720</v>
      </c>
      <c r="K15">
        <v>0.5</v>
      </c>
      <c r="L15">
        <f t="shared" si="2"/>
        <v>5</v>
      </c>
      <c r="M15">
        <f t="shared" si="3"/>
        <v>4.1759081873315358</v>
      </c>
      <c r="N15">
        <f t="shared" si="4"/>
        <v>0.82409181266846421</v>
      </c>
      <c r="O15">
        <f t="shared" si="5"/>
        <v>8.2409181266846418E-2</v>
      </c>
    </row>
    <row r="16" spans="1:28" x14ac:dyDescent="0.25">
      <c r="A16">
        <v>10</v>
      </c>
      <c r="B16" s="19" t="s">
        <v>32</v>
      </c>
      <c r="D16" s="21">
        <v>370</v>
      </c>
      <c r="H16" s="21" t="s">
        <v>29</v>
      </c>
      <c r="I16" s="21">
        <v>6702</v>
      </c>
      <c r="K16">
        <v>0.5</v>
      </c>
      <c r="L16">
        <f t="shared" si="2"/>
        <v>5</v>
      </c>
      <c r="M16">
        <f t="shared" si="3"/>
        <v>4.1759081873315358</v>
      </c>
      <c r="N16">
        <f t="shared" si="4"/>
        <v>0.82409181266846421</v>
      </c>
      <c r="O16">
        <f t="shared" si="5"/>
        <v>8.2409181266846418E-2</v>
      </c>
    </row>
    <row r="17" spans="1:34" x14ac:dyDescent="0.25">
      <c r="A17">
        <v>11</v>
      </c>
      <c r="B17" s="19" t="s">
        <v>33</v>
      </c>
      <c r="D17" s="21">
        <v>860</v>
      </c>
      <c r="H17" s="21" t="s">
        <v>30</v>
      </c>
      <c r="I17" s="21">
        <v>14694</v>
      </c>
      <c r="K17">
        <v>1</v>
      </c>
      <c r="L17">
        <f t="shared" si="2"/>
        <v>10</v>
      </c>
      <c r="M17">
        <f t="shared" si="3"/>
        <v>8.3518163746630716</v>
      </c>
      <c r="N17">
        <f t="shared" si="4"/>
        <v>1.6481836253369284</v>
      </c>
      <c r="O17">
        <f t="shared" si="5"/>
        <v>0.16481836253369284</v>
      </c>
    </row>
    <row r="18" spans="1:34" x14ac:dyDescent="0.25">
      <c r="A18">
        <v>12</v>
      </c>
      <c r="B18" s="19" t="s">
        <v>34</v>
      </c>
      <c r="D18" s="21">
        <v>1443</v>
      </c>
      <c r="H18" s="21" t="s">
        <v>31</v>
      </c>
      <c r="I18" s="21">
        <v>16948</v>
      </c>
      <c r="K18">
        <v>1</v>
      </c>
      <c r="L18">
        <f t="shared" si="2"/>
        <v>10</v>
      </c>
      <c r="M18">
        <f t="shared" si="3"/>
        <v>8.3518163746630716</v>
      </c>
      <c r="N18">
        <f t="shared" si="4"/>
        <v>1.6481836253369284</v>
      </c>
      <c r="O18">
        <f t="shared" si="5"/>
        <v>0.16481836253369284</v>
      </c>
    </row>
    <row r="19" spans="1:34" x14ac:dyDescent="0.25">
      <c r="A19" s="10">
        <v>13</v>
      </c>
      <c r="B19" s="20" t="s">
        <v>35</v>
      </c>
      <c r="D19" s="21">
        <v>1042</v>
      </c>
    </row>
    <row r="20" spans="1:34" x14ac:dyDescent="0.25">
      <c r="A20">
        <v>14</v>
      </c>
      <c r="B20" s="19" t="s">
        <v>37</v>
      </c>
      <c r="D20" s="21">
        <v>361</v>
      </c>
      <c r="S20" s="6" t="s">
        <v>0</v>
      </c>
      <c r="T20" s="3" t="s">
        <v>125</v>
      </c>
      <c r="U20" s="7"/>
      <c r="AC20" s="6" t="s">
        <v>0</v>
      </c>
      <c r="AD20" s="3" t="s">
        <v>125</v>
      </c>
      <c r="AE20" s="7"/>
    </row>
    <row r="21" spans="1:34" x14ac:dyDescent="0.25">
      <c r="A21">
        <v>15</v>
      </c>
      <c r="B21" s="19" t="s">
        <v>38</v>
      </c>
      <c r="D21" s="21">
        <v>1247</v>
      </c>
      <c r="L21" t="s">
        <v>109</v>
      </c>
      <c r="O21" s="6" t="s">
        <v>110</v>
      </c>
      <c r="P21" s="3"/>
      <c r="Q21" s="3"/>
      <c r="R21" s="3"/>
      <c r="S21" s="4" t="s">
        <v>124</v>
      </c>
      <c r="T21" s="5" t="s">
        <v>126</v>
      </c>
      <c r="U21" s="25" t="s">
        <v>127</v>
      </c>
      <c r="V21" s="4" t="s">
        <v>134</v>
      </c>
      <c r="W21" s="25"/>
      <c r="Y21" s="6" t="s">
        <v>110</v>
      </c>
      <c r="Z21" s="3"/>
      <c r="AA21" s="3"/>
      <c r="AB21" s="3"/>
      <c r="AC21" s="4" t="s">
        <v>124</v>
      </c>
      <c r="AD21" s="5" t="s">
        <v>126</v>
      </c>
      <c r="AE21" s="25" t="s">
        <v>127</v>
      </c>
      <c r="AF21" s="4" t="s">
        <v>134</v>
      </c>
      <c r="AG21" s="25"/>
    </row>
    <row r="22" spans="1:34" x14ac:dyDescent="0.25">
      <c r="A22">
        <v>16</v>
      </c>
      <c r="B22" s="19" t="s">
        <v>39</v>
      </c>
      <c r="D22" s="21">
        <v>1266</v>
      </c>
      <c r="L22" t="s">
        <v>111</v>
      </c>
      <c r="O22" s="12" t="s">
        <v>111</v>
      </c>
      <c r="P22" s="32" t="s">
        <v>149</v>
      </c>
      <c r="Q22" s="21"/>
      <c r="R22" s="21" t="s">
        <v>156</v>
      </c>
      <c r="S22" s="21">
        <v>0.83080399164905405</v>
      </c>
      <c r="T22" s="21">
        <v>17.996241775545876</v>
      </c>
      <c r="U22" s="13">
        <v>0.67558471049077207</v>
      </c>
      <c r="V22" s="31" t="s">
        <v>131</v>
      </c>
      <c r="W22" s="33" t="s">
        <v>151</v>
      </c>
      <c r="X22" s="21"/>
      <c r="Y22" s="12" t="s">
        <v>111</v>
      </c>
      <c r="Z22" s="32" t="s">
        <v>149</v>
      </c>
      <c r="AA22" s="21"/>
      <c r="AB22" s="21" t="s">
        <v>156</v>
      </c>
      <c r="AC22" s="21">
        <v>0.83080399164905405</v>
      </c>
      <c r="AD22" s="21">
        <v>17.996241775545876</v>
      </c>
      <c r="AE22" s="13">
        <v>0.67558471049077207</v>
      </c>
      <c r="AF22" s="31" t="s">
        <v>131</v>
      </c>
      <c r="AG22" s="33" t="s">
        <v>151</v>
      </c>
    </row>
    <row r="23" spans="1:34" x14ac:dyDescent="0.25">
      <c r="A23">
        <v>17</v>
      </c>
      <c r="B23" s="19" t="s">
        <v>40</v>
      </c>
      <c r="D23" s="21">
        <v>1354</v>
      </c>
      <c r="H23" s="26" t="s">
        <v>3</v>
      </c>
      <c r="I23" t="s">
        <v>97</v>
      </c>
      <c r="K23" t="s">
        <v>112</v>
      </c>
      <c r="L23" t="s">
        <v>113</v>
      </c>
      <c r="N23" t="s">
        <v>114</v>
      </c>
      <c r="O23" s="12" t="s">
        <v>121</v>
      </c>
      <c r="Q23" s="21"/>
      <c r="R23" s="21" t="s">
        <v>157</v>
      </c>
      <c r="S23">
        <v>0.91269999999999996</v>
      </c>
      <c r="T23">
        <v>17.673999999999999</v>
      </c>
      <c r="U23">
        <v>0.61119999999999997</v>
      </c>
      <c r="V23" s="19" t="s">
        <v>132</v>
      </c>
      <c r="W23" s="13" t="s">
        <v>133</v>
      </c>
      <c r="X23" s="21"/>
      <c r="Y23" s="12" t="s">
        <v>122</v>
      </c>
      <c r="Z23" s="17"/>
      <c r="AA23" s="21"/>
      <c r="AB23" s="21" t="s">
        <v>157</v>
      </c>
      <c r="AC23">
        <v>0.91269999999999996</v>
      </c>
      <c r="AD23">
        <v>17.673999999999999</v>
      </c>
      <c r="AE23">
        <v>0.61119999999999997</v>
      </c>
      <c r="AF23" s="19" t="s">
        <v>132</v>
      </c>
      <c r="AG23" s="13" t="s">
        <v>133</v>
      </c>
    </row>
    <row r="24" spans="1:34" x14ac:dyDescent="0.25">
      <c r="A24">
        <v>18</v>
      </c>
      <c r="B24" s="19" t="s">
        <v>41</v>
      </c>
      <c r="D24" s="21">
        <v>1158</v>
      </c>
      <c r="H24" t="s">
        <v>115</v>
      </c>
      <c r="I24" t="s">
        <v>108</v>
      </c>
      <c r="J24" t="s">
        <v>120</v>
      </c>
      <c r="K24" t="s">
        <v>4</v>
      </c>
      <c r="L24" t="s">
        <v>121</v>
      </c>
      <c r="M24" t="s">
        <v>122</v>
      </c>
      <c r="N24" t="s">
        <v>116</v>
      </c>
      <c r="O24" s="12" t="s">
        <v>117</v>
      </c>
      <c r="P24" s="21" t="s">
        <v>118</v>
      </c>
      <c r="Q24" s="21" t="s">
        <v>119</v>
      </c>
      <c r="R24" s="21" t="s">
        <v>123</v>
      </c>
      <c r="S24" s="21" t="s">
        <v>128</v>
      </c>
      <c r="T24" s="21" t="s">
        <v>129</v>
      </c>
      <c r="U24" s="13"/>
      <c r="V24" s="28" t="s">
        <v>130</v>
      </c>
      <c r="W24" s="22" t="s">
        <v>152</v>
      </c>
      <c r="X24" s="17"/>
      <c r="Y24" s="12" t="s">
        <v>117</v>
      </c>
      <c r="Z24" s="21" t="s">
        <v>118</v>
      </c>
      <c r="AA24" s="21" t="s">
        <v>119</v>
      </c>
      <c r="AB24" s="21" t="s">
        <v>123</v>
      </c>
      <c r="AC24" s="21" t="s">
        <v>128</v>
      </c>
      <c r="AD24" s="21" t="s">
        <v>129</v>
      </c>
      <c r="AE24" s="13"/>
      <c r="AF24" s="28" t="s">
        <v>130</v>
      </c>
      <c r="AG24" s="22" t="s">
        <v>152</v>
      </c>
    </row>
    <row r="25" spans="1:34" x14ac:dyDescent="0.25">
      <c r="A25">
        <v>19</v>
      </c>
      <c r="B25" s="19" t="s">
        <v>42</v>
      </c>
      <c r="D25" s="21">
        <v>1103</v>
      </c>
      <c r="G25" s="34" t="s">
        <v>150</v>
      </c>
      <c r="H25" s="37" t="s">
        <v>32</v>
      </c>
      <c r="I25" s="38">
        <v>370</v>
      </c>
      <c r="J25" s="3">
        <v>1</v>
      </c>
      <c r="K25" s="3">
        <v>0</v>
      </c>
      <c r="L25" s="3">
        <f>I25/14507</f>
        <v>2.5504928655132004E-2</v>
      </c>
      <c r="M25" s="3">
        <f>(I25-194.93)/14024</f>
        <v>1.2483599543639475E-2</v>
      </c>
      <c r="N25" s="3">
        <v>8</v>
      </c>
      <c r="O25" s="6">
        <f>K25*N25</f>
        <v>0</v>
      </c>
      <c r="P25" s="3">
        <f>L25*$Z$13</f>
        <v>2.6640619817888824</v>
      </c>
      <c r="Q25" s="3">
        <f>(L25/$H$1)*N25</f>
        <v>0.34081996924247182</v>
      </c>
      <c r="R25" s="3">
        <f>O25-(P25+Q25)</f>
        <v>-3.0048819510313542</v>
      </c>
      <c r="S25" s="3">
        <f t="shared" ref="S25:S39" si="8">(S$22*(Q25/N25))*20</f>
        <v>0.7078864772008836</v>
      </c>
      <c r="T25" s="3"/>
      <c r="U25" s="7"/>
      <c r="V25" s="3">
        <f>SUM(S25:U25,P25:Q25)</f>
        <v>3.7127684282322377</v>
      </c>
      <c r="W25" s="7">
        <f>O25-V25</f>
        <v>-3.7127684282322377</v>
      </c>
      <c r="Y25" s="6">
        <f>K25*N25</f>
        <v>0</v>
      </c>
      <c r="Z25" s="3">
        <f>M25*$Z$13</f>
        <v>1.3039473032752478</v>
      </c>
      <c r="AA25" s="3">
        <f>(M25/$H$1)*N25</f>
        <v>0.16681716973328739</v>
      </c>
      <c r="AB25" s="3">
        <f>Y25-(Z25+AA25)</f>
        <v>-1.4707644730085352</v>
      </c>
      <c r="AC25" s="3">
        <f t="shared" ref="AC25:AC39" si="9">(AC$22*(AA25/N25))*20</f>
        <v>0.34648092622503235</v>
      </c>
      <c r="AD25" s="3"/>
      <c r="AE25" s="7"/>
      <c r="AF25" s="6">
        <f>SUM(AC25:AE25,Z25:AA25)</f>
        <v>1.8172453992335675</v>
      </c>
      <c r="AG25" s="7">
        <f>Y25-AF25</f>
        <v>-1.8172453992335675</v>
      </c>
    </row>
    <row r="26" spans="1:34" x14ac:dyDescent="0.25">
      <c r="A26" s="10">
        <v>20</v>
      </c>
      <c r="B26" s="20" t="s">
        <v>43</v>
      </c>
      <c r="D26" s="21">
        <v>1402</v>
      </c>
      <c r="H26" s="19" t="s">
        <v>33</v>
      </c>
      <c r="I26" s="21">
        <v>860</v>
      </c>
      <c r="J26" s="21">
        <v>1</v>
      </c>
      <c r="K26" s="21">
        <v>2.5</v>
      </c>
      <c r="L26" s="21">
        <f t="shared" ref="L26:L39" si="10">I26/14507</f>
        <v>5.9281726063279798E-2</v>
      </c>
      <c r="M26" s="21">
        <f t="shared" ref="M26:M39" si="11">(I26-194.93)/14024</f>
        <v>4.7423702224757551E-2</v>
      </c>
      <c r="N26" s="21">
        <v>8</v>
      </c>
      <c r="O26" s="12">
        <f t="shared" ref="O26:O39" si="12">K26*N26</f>
        <v>20</v>
      </c>
      <c r="P26" s="21">
        <f>L26*$Z$13</f>
        <v>6.1921440657795648</v>
      </c>
      <c r="Q26" s="21">
        <f t="shared" ref="Q26:Q39" si="13">(L26/$H$1)*N26</f>
        <v>0.79217614472574538</v>
      </c>
      <c r="R26" s="21">
        <f t="shared" ref="R26:R39" si="14">O26-(P26+Q26)</f>
        <v>13.015679789494691</v>
      </c>
      <c r="S26" s="21">
        <f t="shared" si="8"/>
        <v>1.6453577578182699</v>
      </c>
      <c r="T26" s="21"/>
      <c r="U26" s="13"/>
      <c r="V26" s="21">
        <f t="shared" ref="V26:V39" si="15">SUM(S26:U26,P26:Q26)</f>
        <v>8.6296779683235805</v>
      </c>
      <c r="W26" s="13">
        <f t="shared" ref="W26:W39" si="16">O26-V26</f>
        <v>11.37032203167642</v>
      </c>
      <c r="Y26" s="12">
        <f t="shared" ref="Y26:Y39" si="17">K26*N26</f>
        <v>20</v>
      </c>
      <c r="Z26" s="21">
        <f t="shared" ref="Z26:Z38" si="18">M26*$Z$13</f>
        <v>4.9535399154010902</v>
      </c>
      <c r="AA26" s="21">
        <f t="shared" ref="AA26:AA39" si="19">(M26/$H$1)*N26</f>
        <v>0.63371848446060108</v>
      </c>
      <c r="AB26" s="21">
        <f t="shared" ref="AB26:AB39" si="20">Y26-(Z26+AA26)</f>
        <v>14.412741600138308</v>
      </c>
      <c r="AC26" s="21">
        <f t="shared" si="9"/>
        <v>1.316239616179141</v>
      </c>
      <c r="AD26" s="21"/>
      <c r="AE26" s="13"/>
      <c r="AF26" s="12">
        <f t="shared" ref="AF26:AF39" si="21">SUM(AC26:AE26,Z26:AA26)</f>
        <v>6.9034980160408326</v>
      </c>
      <c r="AG26" s="13">
        <f t="shared" ref="AG26:AG39" si="22">Y26-AF26</f>
        <v>13.096501983959168</v>
      </c>
    </row>
    <row r="27" spans="1:34" x14ac:dyDescent="0.25">
      <c r="A27">
        <v>21</v>
      </c>
      <c r="B27" t="s">
        <v>44</v>
      </c>
      <c r="C27">
        <v>0</v>
      </c>
      <c r="D27" s="21">
        <v>821</v>
      </c>
      <c r="H27" s="19" t="s">
        <v>34</v>
      </c>
      <c r="I27" s="21">
        <v>1443</v>
      </c>
      <c r="J27" s="21">
        <v>1</v>
      </c>
      <c r="K27" s="21">
        <v>2.5</v>
      </c>
      <c r="L27" s="21">
        <f t="shared" si="10"/>
        <v>9.9469221755014825E-2</v>
      </c>
      <c r="M27" s="21">
        <f t="shared" si="11"/>
        <v>8.8995293782087842E-2</v>
      </c>
      <c r="N27" s="21">
        <v>8</v>
      </c>
      <c r="O27" s="12">
        <f t="shared" si="12"/>
        <v>20</v>
      </c>
      <c r="P27" s="21">
        <f t="shared" ref="P27:P39" si="23">L27*$Z$13</f>
        <v>10.389841728976643</v>
      </c>
      <c r="Q27" s="21">
        <f t="shared" si="13"/>
        <v>1.3291978800456401</v>
      </c>
      <c r="R27" s="21">
        <f t="shared" si="14"/>
        <v>8.2809603909777163</v>
      </c>
      <c r="S27" s="21">
        <f t="shared" si="8"/>
        <v>2.7607572610834459</v>
      </c>
      <c r="T27" s="21"/>
      <c r="U27" s="13"/>
      <c r="V27" s="21">
        <f t="shared" si="15"/>
        <v>14.47979687010573</v>
      </c>
      <c r="W27" s="13">
        <f t="shared" si="16"/>
        <v>5.52020312989427</v>
      </c>
      <c r="X27" t="s">
        <v>155</v>
      </c>
      <c r="Y27" s="12">
        <f t="shared" si="17"/>
        <v>20</v>
      </c>
      <c r="Z27" s="21">
        <f t="shared" si="18"/>
        <v>9.2958103090120439</v>
      </c>
      <c r="AA27" s="21">
        <f t="shared" si="19"/>
        <v>1.1892357630035071</v>
      </c>
      <c r="AB27" s="21">
        <f t="shared" si="20"/>
        <v>9.5149539279844486</v>
      </c>
      <c r="AC27" s="21">
        <f t="shared" si="9"/>
        <v>2.470054547287805</v>
      </c>
      <c r="AD27" s="21"/>
      <c r="AE27" s="13"/>
      <c r="AF27" s="12">
        <f t="shared" si="21"/>
        <v>12.955100619303357</v>
      </c>
      <c r="AG27" s="13">
        <f t="shared" si="22"/>
        <v>7.0448993806966431</v>
      </c>
      <c r="AH27" t="s">
        <v>155</v>
      </c>
    </row>
    <row r="28" spans="1:34" ht="15.75" thickBot="1" x14ac:dyDescent="0.3">
      <c r="A28">
        <v>22</v>
      </c>
      <c r="B28" t="s">
        <v>45</v>
      </c>
      <c r="C28">
        <v>0.05</v>
      </c>
      <c r="D28" s="21">
        <v>909</v>
      </c>
      <c r="H28" s="20" t="s">
        <v>35</v>
      </c>
      <c r="I28" s="10">
        <v>1042</v>
      </c>
      <c r="J28" s="10">
        <v>1</v>
      </c>
      <c r="K28" s="10">
        <v>2.5</v>
      </c>
      <c r="L28" s="10">
        <f t="shared" si="10"/>
        <v>7.1827393672020401E-2</v>
      </c>
      <c r="M28" s="10">
        <f t="shared" si="11"/>
        <v>6.0401454649172841E-2</v>
      </c>
      <c r="N28" s="10">
        <v>8</v>
      </c>
      <c r="O28" s="9">
        <f t="shared" si="12"/>
        <v>20</v>
      </c>
      <c r="P28" s="10">
        <f t="shared" si="23"/>
        <v>7.5025745541189606</v>
      </c>
      <c r="Q28" s="10">
        <f t="shared" si="13"/>
        <v>0.95982272419096115</v>
      </c>
      <c r="R28" s="10">
        <f t="shared" si="14"/>
        <v>11.537602721690078</v>
      </c>
      <c r="S28" s="10">
        <f t="shared" si="8"/>
        <v>1.9935613763332991</v>
      </c>
      <c r="T28" s="10"/>
      <c r="U28" s="11"/>
      <c r="V28" s="21">
        <f t="shared" si="15"/>
        <v>10.45595865464322</v>
      </c>
      <c r="W28" s="13">
        <f t="shared" si="16"/>
        <v>9.5440413453567796</v>
      </c>
      <c r="X28">
        <f>AVERAGE(W26:W28)</f>
        <v>8.8115221689758219</v>
      </c>
      <c r="Y28" s="9">
        <f t="shared" si="17"/>
        <v>20</v>
      </c>
      <c r="Z28" s="10">
        <f t="shared" si="18"/>
        <v>6.3091028856192608</v>
      </c>
      <c r="AA28" s="10">
        <f t="shared" si="19"/>
        <v>0.80713897278788904</v>
      </c>
      <c r="AB28" s="10">
        <f t="shared" si="20"/>
        <v>12.88375814159285</v>
      </c>
      <c r="AC28" s="10">
        <f t="shared" si="9"/>
        <v>1.6764357010192386</v>
      </c>
      <c r="AD28" s="10"/>
      <c r="AE28" s="11"/>
      <c r="AF28" s="12">
        <f t="shared" si="21"/>
        <v>8.7926775594263891</v>
      </c>
      <c r="AG28" s="13">
        <f t="shared" si="22"/>
        <v>11.207322440573611</v>
      </c>
      <c r="AH28">
        <f>AVERAGE(AG26:AG28)</f>
        <v>10.449574601743143</v>
      </c>
    </row>
    <row r="29" spans="1:34" x14ac:dyDescent="0.25">
      <c r="A29" s="10">
        <v>23</v>
      </c>
      <c r="B29" s="10" t="s">
        <v>46</v>
      </c>
      <c r="C29">
        <v>0.05</v>
      </c>
      <c r="D29" s="21">
        <v>947</v>
      </c>
      <c r="G29" s="34" t="s">
        <v>150</v>
      </c>
      <c r="H29" s="37" t="s">
        <v>37</v>
      </c>
      <c r="I29" s="38">
        <v>361</v>
      </c>
      <c r="J29" s="3">
        <v>1</v>
      </c>
      <c r="K29" s="3">
        <v>0</v>
      </c>
      <c r="L29" s="3">
        <f t="shared" si="10"/>
        <v>2.4884538498655823E-2</v>
      </c>
      <c r="M29" s="3">
        <f t="shared" si="11"/>
        <v>1.1841842555618938E-2</v>
      </c>
      <c r="N29" s="3">
        <v>8</v>
      </c>
      <c r="O29" s="6">
        <f t="shared" si="12"/>
        <v>0</v>
      </c>
      <c r="P29" s="3">
        <f t="shared" si="23"/>
        <v>2.5992604741237479</v>
      </c>
      <c r="Q29" s="3">
        <f t="shared" si="13"/>
        <v>0.33252975377441168</v>
      </c>
      <c r="R29" s="3">
        <f t="shared" si="14"/>
        <v>-2.9317902278981598</v>
      </c>
      <c r="S29" s="3">
        <f t="shared" si="8"/>
        <v>0.69066761694464585</v>
      </c>
      <c r="T29" s="3"/>
      <c r="U29" s="3"/>
      <c r="V29" s="39">
        <f t="shared" si="15"/>
        <v>3.6224578448428058</v>
      </c>
      <c r="W29" s="1">
        <f t="shared" si="16"/>
        <v>-3.6224578448428058</v>
      </c>
      <c r="Y29" s="12">
        <f t="shared" si="17"/>
        <v>0</v>
      </c>
      <c r="Z29" s="21">
        <f t="shared" si="18"/>
        <v>1.2369139695831404</v>
      </c>
      <c r="AA29" s="21">
        <f t="shared" si="19"/>
        <v>0.1582414312995204</v>
      </c>
      <c r="AB29" s="21">
        <f t="shared" si="20"/>
        <v>-1.3951554008826608</v>
      </c>
      <c r="AC29" s="21">
        <f t="shared" si="9"/>
        <v>0.32866903191975277</v>
      </c>
      <c r="AD29" s="21"/>
      <c r="AE29" s="21"/>
      <c r="AF29" s="39">
        <f t="shared" si="21"/>
        <v>1.7238244328024135</v>
      </c>
      <c r="AG29" s="1">
        <f t="shared" si="22"/>
        <v>-1.7238244328024135</v>
      </c>
    </row>
    <row r="30" spans="1:34" x14ac:dyDescent="0.25">
      <c r="A30">
        <v>24</v>
      </c>
      <c r="B30" s="19" t="s">
        <v>47</v>
      </c>
      <c r="D30" s="21">
        <v>281</v>
      </c>
      <c r="H30" s="19" t="s">
        <v>38</v>
      </c>
      <c r="I30" s="21">
        <v>1247</v>
      </c>
      <c r="J30" s="21">
        <v>1</v>
      </c>
      <c r="K30" s="21">
        <v>2.5</v>
      </c>
      <c r="L30" s="21">
        <f t="shared" si="10"/>
        <v>8.5958502791755709E-2</v>
      </c>
      <c r="M30" s="21">
        <f t="shared" si="11"/>
        <v>7.5019252709640605E-2</v>
      </c>
      <c r="N30" s="21">
        <v>8</v>
      </c>
      <c r="O30" s="12">
        <f t="shared" si="12"/>
        <v>20</v>
      </c>
      <c r="P30" s="21">
        <f t="shared" si="23"/>
        <v>8.9786088953803702</v>
      </c>
      <c r="Q30" s="21">
        <f t="shared" si="13"/>
        <v>1.1486554098523307</v>
      </c>
      <c r="R30" s="21">
        <f t="shared" si="14"/>
        <v>9.8727356947672984</v>
      </c>
      <c r="S30" s="21">
        <f t="shared" si="8"/>
        <v>2.3857687488364911</v>
      </c>
      <c r="T30" s="21"/>
      <c r="U30" s="21"/>
      <c r="V30" s="8">
        <f t="shared" si="15"/>
        <v>12.513033054069194</v>
      </c>
      <c r="W30" s="2">
        <f t="shared" si="16"/>
        <v>7.4869669459308064</v>
      </c>
      <c r="Y30" s="12">
        <f t="shared" si="17"/>
        <v>20</v>
      </c>
      <c r="Z30" s="21">
        <f t="shared" si="18"/>
        <v>7.835973264161705</v>
      </c>
      <c r="AA30" s="21">
        <f t="shared" si="19"/>
        <v>1.0024752371125816</v>
      </c>
      <c r="AB30" s="21">
        <f t="shared" si="20"/>
        <v>11.161551498725714</v>
      </c>
      <c r="AC30" s="21">
        <f t="shared" si="9"/>
        <v>2.0821510713061615</v>
      </c>
      <c r="AD30" s="21"/>
      <c r="AE30" s="21"/>
      <c r="AF30" s="8">
        <f t="shared" si="21"/>
        <v>10.920599572580446</v>
      </c>
      <c r="AG30" s="2">
        <f t="shared" si="22"/>
        <v>9.0794004274195537</v>
      </c>
    </row>
    <row r="31" spans="1:34" x14ac:dyDescent="0.25">
      <c r="A31">
        <v>25</v>
      </c>
      <c r="B31" s="19" t="s">
        <v>48</v>
      </c>
      <c r="D31" s="21">
        <v>1061</v>
      </c>
      <c r="H31" s="19" t="s">
        <v>39</v>
      </c>
      <c r="I31" s="21">
        <v>1266</v>
      </c>
      <c r="J31" s="21">
        <v>1</v>
      </c>
      <c r="K31" s="21">
        <v>2.5</v>
      </c>
      <c r="L31" s="21">
        <f t="shared" si="10"/>
        <v>8.7268215344316544E-2</v>
      </c>
      <c r="M31" s="21">
        <f t="shared" si="11"/>
        <v>7.6374073017683966E-2</v>
      </c>
      <c r="N31" s="21">
        <v>8</v>
      </c>
      <c r="O31" s="12">
        <f t="shared" si="12"/>
        <v>20</v>
      </c>
      <c r="P31" s="21">
        <f t="shared" si="23"/>
        <v>9.1154120782289887</v>
      </c>
      <c r="Q31" s="21">
        <f t="shared" si="13"/>
        <v>1.1661569758404577</v>
      </c>
      <c r="R31" s="21">
        <f t="shared" si="14"/>
        <v>9.7184309459305531</v>
      </c>
      <c r="S31" s="21">
        <f t="shared" si="8"/>
        <v>2.4221196760441046</v>
      </c>
      <c r="T31" s="21"/>
      <c r="U31" s="21"/>
      <c r="V31" s="8">
        <f t="shared" si="15"/>
        <v>12.703688730113551</v>
      </c>
      <c r="W31" s="2">
        <f t="shared" si="16"/>
        <v>7.2963112698864485</v>
      </c>
      <c r="Y31" s="12">
        <f t="shared" si="17"/>
        <v>20</v>
      </c>
      <c r="Z31" s="21">
        <f t="shared" si="18"/>
        <v>7.9774880797339325</v>
      </c>
      <c r="AA31" s="21">
        <f t="shared" si="19"/>
        <v>1.0205795738060897</v>
      </c>
      <c r="AB31" s="21">
        <f t="shared" si="20"/>
        <v>11.001932346459977</v>
      </c>
      <c r="AC31" s="21">
        <f t="shared" si="9"/>
        <v>2.1197539592839743</v>
      </c>
      <c r="AD31" s="21"/>
      <c r="AE31" s="21"/>
      <c r="AF31" s="8">
        <f t="shared" si="21"/>
        <v>11.117821612823997</v>
      </c>
      <c r="AG31" s="2">
        <f t="shared" si="22"/>
        <v>8.8821783871760029</v>
      </c>
    </row>
    <row r="32" spans="1:34" x14ac:dyDescent="0.25">
      <c r="A32">
        <v>26</v>
      </c>
      <c r="B32" s="19" t="s">
        <v>49</v>
      </c>
      <c r="D32" s="21">
        <v>856</v>
      </c>
      <c r="H32" s="19" t="s">
        <v>40</v>
      </c>
      <c r="I32" s="21">
        <v>1354</v>
      </c>
      <c r="J32" s="21">
        <v>1</v>
      </c>
      <c r="K32" s="21">
        <v>2.5</v>
      </c>
      <c r="L32" s="21">
        <f t="shared" si="10"/>
        <v>9.3334252429861445E-2</v>
      </c>
      <c r="M32" s="21">
        <f t="shared" si="11"/>
        <v>8.2649030233884771E-2</v>
      </c>
      <c r="N32" s="21">
        <v>8</v>
      </c>
      <c r="O32" s="12">
        <f t="shared" si="12"/>
        <v>20</v>
      </c>
      <c r="P32" s="21">
        <f t="shared" si="23"/>
        <v>9.7490268198436407</v>
      </c>
      <c r="Q32" s="21">
        <f t="shared" si="13"/>
        <v>1.2472168604170455</v>
      </c>
      <c r="R32" s="21">
        <f t="shared" si="14"/>
        <v>9.0037563197393133</v>
      </c>
      <c r="S32" s="21">
        <f t="shared" si="8"/>
        <v>2.5904818652162058</v>
      </c>
      <c r="T32" s="21"/>
      <c r="U32" s="21"/>
      <c r="V32" s="8">
        <f t="shared" si="15"/>
        <v>13.586725545476893</v>
      </c>
      <c r="W32" s="2">
        <f t="shared" si="16"/>
        <v>6.4132744545231066</v>
      </c>
      <c r="Y32" s="12">
        <f t="shared" si="17"/>
        <v>20</v>
      </c>
      <c r="Z32" s="21">
        <f t="shared" si="18"/>
        <v>8.6329251202789834</v>
      </c>
      <c r="AA32" s="21">
        <f t="shared" si="19"/>
        <v>1.1044312384918114</v>
      </c>
      <c r="AB32" s="21">
        <f t="shared" si="20"/>
        <v>10.262643641229205</v>
      </c>
      <c r="AC32" s="21">
        <f t="shared" si="9"/>
        <v>2.2939147036022631</v>
      </c>
      <c r="AD32" s="21"/>
      <c r="AE32" s="21"/>
      <c r="AF32" s="8">
        <f t="shared" si="21"/>
        <v>12.031271062373058</v>
      </c>
      <c r="AG32" s="2">
        <f t="shared" si="22"/>
        <v>7.9687289376269419</v>
      </c>
    </row>
    <row r="33" spans="1:34" x14ac:dyDescent="0.25">
      <c r="A33">
        <v>27</v>
      </c>
      <c r="B33" s="19" t="s">
        <v>50</v>
      </c>
      <c r="D33" s="21">
        <v>1476</v>
      </c>
      <c r="H33" s="19" t="s">
        <v>41</v>
      </c>
      <c r="I33" s="21">
        <v>1158</v>
      </c>
      <c r="J33" s="21">
        <v>1</v>
      </c>
      <c r="K33" s="21">
        <v>2.5</v>
      </c>
      <c r="L33" s="21">
        <f t="shared" si="10"/>
        <v>7.9823533466602328E-2</v>
      </c>
      <c r="M33" s="21">
        <f t="shared" si="11"/>
        <v>6.8672989161437534E-2</v>
      </c>
      <c r="N33" s="21">
        <v>8</v>
      </c>
      <c r="O33" s="12">
        <f t="shared" si="12"/>
        <v>20</v>
      </c>
      <c r="P33" s="21">
        <f t="shared" si="23"/>
        <v>8.3377939862473678</v>
      </c>
      <c r="Q33" s="21">
        <f t="shared" si="13"/>
        <v>1.0666743902237361</v>
      </c>
      <c r="R33" s="21">
        <f t="shared" si="14"/>
        <v>10.595531623528895</v>
      </c>
      <c r="S33" s="21">
        <f t="shared" si="8"/>
        <v>2.2154933529692515</v>
      </c>
      <c r="T33" s="21"/>
      <c r="U33" s="21"/>
      <c r="V33" s="8">
        <f t="shared" si="15"/>
        <v>11.619961729440357</v>
      </c>
      <c r="W33" s="2">
        <f t="shared" si="16"/>
        <v>8.380038270559643</v>
      </c>
      <c r="Y33" s="12">
        <f t="shared" si="17"/>
        <v>20</v>
      </c>
      <c r="Z33" s="21">
        <f t="shared" si="18"/>
        <v>7.1730880754286446</v>
      </c>
      <c r="AA33" s="21">
        <f t="shared" si="19"/>
        <v>0.91767071260088584</v>
      </c>
      <c r="AB33" s="21">
        <f t="shared" si="20"/>
        <v>11.909241211970469</v>
      </c>
      <c r="AC33" s="21">
        <f t="shared" si="9"/>
        <v>1.9060112276206196</v>
      </c>
      <c r="AD33" s="21"/>
      <c r="AE33" s="21"/>
      <c r="AF33" s="8">
        <f t="shared" si="21"/>
        <v>9.9967700156501511</v>
      </c>
      <c r="AG33" s="2">
        <f t="shared" si="22"/>
        <v>10.003229984349849</v>
      </c>
    </row>
    <row r="34" spans="1:34" x14ac:dyDescent="0.25">
      <c r="H34" s="19" t="s">
        <v>42</v>
      </c>
      <c r="I34" s="21">
        <v>1103</v>
      </c>
      <c r="J34" s="21">
        <v>1</v>
      </c>
      <c r="K34" s="21">
        <v>2.5</v>
      </c>
      <c r="L34" s="21">
        <f t="shared" si="10"/>
        <v>7.6032260288136755E-2</v>
      </c>
      <c r="M34" s="21">
        <f t="shared" si="11"/>
        <v>6.4751140901312038E-2</v>
      </c>
      <c r="N34" s="21">
        <v>8</v>
      </c>
      <c r="O34" s="12">
        <f t="shared" si="12"/>
        <v>20</v>
      </c>
      <c r="P34" s="21">
        <f t="shared" si="23"/>
        <v>7.9417847727382087</v>
      </c>
      <c r="Q34" s="21">
        <f t="shared" si="13"/>
        <v>1.0160119623633685</v>
      </c>
      <c r="R34" s="21">
        <f t="shared" si="14"/>
        <v>11.042203264898422</v>
      </c>
      <c r="S34" s="21">
        <f t="shared" si="8"/>
        <v>2.1102669847366875</v>
      </c>
      <c r="T34" s="21"/>
      <c r="U34" s="21"/>
      <c r="V34" s="8">
        <f t="shared" si="15"/>
        <v>11.068063719838264</v>
      </c>
      <c r="W34" s="2">
        <f t="shared" si="16"/>
        <v>8.9319362801617359</v>
      </c>
      <c r="X34" t="s">
        <v>155</v>
      </c>
      <c r="Y34" s="12">
        <f t="shared" si="17"/>
        <v>20</v>
      </c>
      <c r="Z34" s="21">
        <f t="shared" si="18"/>
        <v>6.7634399250879893</v>
      </c>
      <c r="AA34" s="21">
        <f t="shared" si="19"/>
        <v>0.86526342217230989</v>
      </c>
      <c r="AB34" s="21">
        <f t="shared" si="20"/>
        <v>12.371296652739701</v>
      </c>
      <c r="AC34" s="21">
        <f t="shared" si="9"/>
        <v>1.7971607624216892</v>
      </c>
      <c r="AD34" s="21"/>
      <c r="AE34" s="21"/>
      <c r="AF34" s="8">
        <f t="shared" si="21"/>
        <v>9.4258641096819886</v>
      </c>
      <c r="AG34" s="2">
        <f t="shared" si="22"/>
        <v>10.574135890318011</v>
      </c>
      <c r="AH34" t="s">
        <v>155</v>
      </c>
    </row>
    <row r="35" spans="1:34" ht="15.75" thickBot="1" x14ac:dyDescent="0.3">
      <c r="H35" s="20" t="s">
        <v>43</v>
      </c>
      <c r="I35" s="10">
        <v>1402</v>
      </c>
      <c r="J35" s="10">
        <v>1</v>
      </c>
      <c r="K35" s="10">
        <v>2.5</v>
      </c>
      <c r="L35" s="10">
        <f t="shared" si="10"/>
        <v>9.6642999931067758E-2</v>
      </c>
      <c r="M35" s="10">
        <f t="shared" si="11"/>
        <v>8.6071734169994293E-2</v>
      </c>
      <c r="N35" s="10">
        <v>8</v>
      </c>
      <c r="O35" s="9">
        <f t="shared" si="12"/>
        <v>20</v>
      </c>
      <c r="P35" s="10">
        <f t="shared" si="23"/>
        <v>10.09463486072436</v>
      </c>
      <c r="Q35" s="10">
        <f t="shared" si="13"/>
        <v>1.2914313429133661</v>
      </c>
      <c r="R35" s="10">
        <f t="shared" si="14"/>
        <v>8.6139337963622733</v>
      </c>
      <c r="S35" s="10">
        <f t="shared" si="8"/>
        <v>2.6823157865828073</v>
      </c>
      <c r="T35" s="10"/>
      <c r="U35" s="10"/>
      <c r="V35" s="14">
        <f t="shared" si="15"/>
        <v>14.068381990220534</v>
      </c>
      <c r="W35" s="15">
        <f t="shared" si="16"/>
        <v>5.9316180097794664</v>
      </c>
      <c r="X35">
        <f>AVERAGE(W30:W35)</f>
        <v>7.4066908718068687</v>
      </c>
      <c r="Y35" s="12">
        <f t="shared" si="17"/>
        <v>20</v>
      </c>
      <c r="Z35" s="21">
        <f t="shared" si="18"/>
        <v>8.990436233303555</v>
      </c>
      <c r="AA35" s="21">
        <f t="shared" si="19"/>
        <v>1.1501685101385686</v>
      </c>
      <c r="AB35" s="21">
        <f t="shared" si="20"/>
        <v>9.8593952565578764</v>
      </c>
      <c r="AC35" s="21">
        <f t="shared" si="9"/>
        <v>2.3889114732304204</v>
      </c>
      <c r="AD35" s="21"/>
      <c r="AE35" s="21"/>
      <c r="AF35" s="14">
        <f t="shared" si="21"/>
        <v>12.529516216672544</v>
      </c>
      <c r="AG35" s="15">
        <f t="shared" si="22"/>
        <v>7.470483783327456</v>
      </c>
      <c r="AH35">
        <f>AVERAGE(AG30:AG35)</f>
        <v>8.9963595683696358</v>
      </c>
    </row>
    <row r="36" spans="1:34" x14ac:dyDescent="0.25">
      <c r="G36" s="34" t="s">
        <v>150</v>
      </c>
      <c r="H36" s="37" t="s">
        <v>47</v>
      </c>
      <c r="I36" s="38">
        <v>281</v>
      </c>
      <c r="J36" s="3">
        <v>1</v>
      </c>
      <c r="K36" s="3">
        <v>0</v>
      </c>
      <c r="L36" s="3">
        <f t="shared" si="10"/>
        <v>1.936995932997863E-2</v>
      </c>
      <c r="M36" s="3">
        <f t="shared" si="11"/>
        <v>6.1373359954363946E-3</v>
      </c>
      <c r="N36" s="3">
        <v>8</v>
      </c>
      <c r="O36" s="6">
        <f t="shared" si="12"/>
        <v>0</v>
      </c>
      <c r="P36" s="3">
        <f t="shared" si="23"/>
        <v>2.0232470726558809</v>
      </c>
      <c r="Q36" s="3">
        <f t="shared" si="13"/>
        <v>0.25883894961387721</v>
      </c>
      <c r="R36" s="3">
        <f t="shared" si="14"/>
        <v>-2.2820860222697581</v>
      </c>
      <c r="S36" s="3">
        <f t="shared" si="8"/>
        <v>0.53761108133364388</v>
      </c>
      <c r="T36" s="3"/>
      <c r="U36" s="7"/>
      <c r="V36" s="21">
        <f t="shared" si="15"/>
        <v>2.819697103603402</v>
      </c>
      <c r="W36" s="13">
        <f t="shared" si="16"/>
        <v>-2.819697103603402</v>
      </c>
      <c r="Y36" s="6">
        <f t="shared" si="17"/>
        <v>0</v>
      </c>
      <c r="Z36" s="3">
        <f t="shared" si="18"/>
        <v>0.64106211454218642</v>
      </c>
      <c r="AA36" s="3">
        <f t="shared" si="19"/>
        <v>8.2012645221591629E-2</v>
      </c>
      <c r="AB36" s="3">
        <f t="shared" si="20"/>
        <v>-0.72307475976377811</v>
      </c>
      <c r="AC36" s="3">
        <f t="shared" si="9"/>
        <v>0.1703410825394901</v>
      </c>
      <c r="AD36" s="3"/>
      <c r="AE36" s="7"/>
      <c r="AF36" s="12">
        <f t="shared" si="21"/>
        <v>0.89341584230326809</v>
      </c>
      <c r="AG36" s="13">
        <f t="shared" si="22"/>
        <v>-0.89341584230326809</v>
      </c>
    </row>
    <row r="37" spans="1:34" x14ac:dyDescent="0.25">
      <c r="H37" s="19" t="s">
        <v>48</v>
      </c>
      <c r="I37" s="21">
        <v>1061</v>
      </c>
      <c r="J37" s="21">
        <v>1</v>
      </c>
      <c r="K37" s="21">
        <v>2.5</v>
      </c>
      <c r="L37" s="21">
        <f t="shared" si="10"/>
        <v>7.3137106224581236E-2</v>
      </c>
      <c r="M37" s="21">
        <f t="shared" si="11"/>
        <v>6.1756274957216195E-2</v>
      </c>
      <c r="N37" s="21">
        <v>8</v>
      </c>
      <c r="O37" s="12">
        <f t="shared" si="12"/>
        <v>20</v>
      </c>
      <c r="P37" s="21">
        <f t="shared" si="23"/>
        <v>7.6393777369675799</v>
      </c>
      <c r="Q37" s="21">
        <f t="shared" si="13"/>
        <v>0.97732429017908806</v>
      </c>
      <c r="R37" s="21">
        <f t="shared" si="14"/>
        <v>11.383297972853333</v>
      </c>
      <c r="S37" s="21">
        <f t="shared" si="8"/>
        <v>2.0299123035409119</v>
      </c>
      <c r="T37" s="21"/>
      <c r="U37" s="13"/>
      <c r="V37" s="21">
        <f>SUM(S37:U37,P37:Q37)</f>
        <v>10.64661433068758</v>
      </c>
      <c r="W37" s="13">
        <f t="shared" si="16"/>
        <v>9.35338566931242</v>
      </c>
      <c r="Y37" s="12">
        <f t="shared" si="17"/>
        <v>20</v>
      </c>
      <c r="Z37" s="21">
        <f t="shared" si="18"/>
        <v>6.4506177011914874</v>
      </c>
      <c r="AA37" s="21">
        <f t="shared" si="19"/>
        <v>0.82524330948139712</v>
      </c>
      <c r="AB37" s="21">
        <f t="shared" si="20"/>
        <v>12.724138989327116</v>
      </c>
      <c r="AC37" s="21">
        <f t="shared" si="9"/>
        <v>1.7140385889970511</v>
      </c>
      <c r="AD37" s="21"/>
      <c r="AE37" s="13"/>
      <c r="AF37" s="12">
        <f t="shared" si="21"/>
        <v>8.9898995996699362</v>
      </c>
      <c r="AG37" s="13">
        <f t="shared" si="22"/>
        <v>11.010100400330064</v>
      </c>
    </row>
    <row r="38" spans="1:34" x14ac:dyDescent="0.25">
      <c r="H38" s="19" t="s">
        <v>49</v>
      </c>
      <c r="I38" s="21">
        <v>856</v>
      </c>
      <c r="J38" s="21">
        <v>1</v>
      </c>
      <c r="K38" s="21">
        <v>2.5</v>
      </c>
      <c r="L38" s="21">
        <f t="shared" si="10"/>
        <v>5.9005997104845935E-2</v>
      </c>
      <c r="M38" s="21">
        <f t="shared" si="11"/>
        <v>4.7138476896748424E-2</v>
      </c>
      <c r="N38" s="21">
        <v>8</v>
      </c>
      <c r="O38" s="12">
        <f t="shared" si="12"/>
        <v>20</v>
      </c>
      <c r="P38" s="21">
        <f t="shared" si="23"/>
        <v>6.1633433957061712</v>
      </c>
      <c r="Q38" s="21">
        <f t="shared" si="13"/>
        <v>0.7884916045177186</v>
      </c>
      <c r="R38" s="21">
        <f t="shared" si="14"/>
        <v>13.048164999776111</v>
      </c>
      <c r="S38" s="21">
        <f t="shared" si="8"/>
        <v>1.6377049310377199</v>
      </c>
      <c r="T38" s="21"/>
      <c r="U38" s="13"/>
      <c r="V38" s="21">
        <f t="shared" si="15"/>
        <v>8.5895399312616103</v>
      </c>
      <c r="W38" s="13">
        <f t="shared" si="16"/>
        <v>11.41046006873839</v>
      </c>
      <c r="X38" t="s">
        <v>155</v>
      </c>
      <c r="Y38" s="12">
        <f t="shared" si="17"/>
        <v>20</v>
      </c>
      <c r="Z38" s="21">
        <f t="shared" si="18"/>
        <v>4.9237473226490431</v>
      </c>
      <c r="AA38" s="21">
        <f t="shared" si="19"/>
        <v>0.62990704515670459</v>
      </c>
      <c r="AB38" s="21">
        <f t="shared" si="20"/>
        <v>14.446345632194252</v>
      </c>
      <c r="AC38" s="21">
        <f t="shared" si="9"/>
        <v>1.3083232187101279</v>
      </c>
      <c r="AD38" s="21"/>
      <c r="AE38" s="13"/>
      <c r="AF38" s="12">
        <f t="shared" si="21"/>
        <v>6.8619775865158754</v>
      </c>
      <c r="AG38" s="13">
        <f t="shared" si="22"/>
        <v>13.138022413484125</v>
      </c>
      <c r="AH38" t="s">
        <v>155</v>
      </c>
    </row>
    <row r="39" spans="1:34" x14ac:dyDescent="0.25">
      <c r="H39" s="20" t="s">
        <v>50</v>
      </c>
      <c r="I39" s="10">
        <v>1476</v>
      </c>
      <c r="J39" s="10">
        <v>1</v>
      </c>
      <c r="K39" s="10">
        <v>2.5</v>
      </c>
      <c r="L39" s="10">
        <f t="shared" si="10"/>
        <v>0.10174398566209417</v>
      </c>
      <c r="M39" s="10">
        <f t="shared" si="11"/>
        <v>9.1348402738163151E-2</v>
      </c>
      <c r="N39" s="10">
        <v>8</v>
      </c>
      <c r="O39" s="9">
        <f t="shared" si="12"/>
        <v>20</v>
      </c>
      <c r="P39" s="10">
        <f t="shared" si="23"/>
        <v>10.627447257082137</v>
      </c>
      <c r="Q39" s="10">
        <f t="shared" si="13"/>
        <v>1.3595953367618605</v>
      </c>
      <c r="R39" s="10">
        <f t="shared" si="14"/>
        <v>8.0129574061560032</v>
      </c>
      <c r="S39" s="10">
        <f t="shared" si="8"/>
        <v>2.8238930820229839</v>
      </c>
      <c r="T39" s="10"/>
      <c r="U39" s="11"/>
      <c r="V39" s="10">
        <f t="shared" si="15"/>
        <v>14.810935675866981</v>
      </c>
      <c r="W39" s="11">
        <f t="shared" si="16"/>
        <v>5.1890643241330192</v>
      </c>
      <c r="X39">
        <f>AVERAGE(W37:W39)</f>
        <v>8.6509700207279447</v>
      </c>
      <c r="Y39" s="9">
        <f t="shared" si="17"/>
        <v>20</v>
      </c>
      <c r="Z39" s="10">
        <f>M39*$Z$13</f>
        <v>9.5415991992164368</v>
      </c>
      <c r="AA39" s="10">
        <f t="shared" si="19"/>
        <v>1.2206801372606528</v>
      </c>
      <c r="AB39" s="10">
        <f t="shared" si="20"/>
        <v>9.2377206635229108</v>
      </c>
      <c r="AC39" s="10">
        <f t="shared" si="9"/>
        <v>2.5353648264071635</v>
      </c>
      <c r="AD39" s="10"/>
      <c r="AE39" s="11"/>
      <c r="AF39" s="9">
        <f t="shared" si="21"/>
        <v>13.297644162884252</v>
      </c>
      <c r="AG39" s="11">
        <f t="shared" si="22"/>
        <v>6.7023558371157481</v>
      </c>
      <c r="AH39">
        <f>AVERAGE(AG37:AG39)</f>
        <v>10.283492883643312</v>
      </c>
    </row>
    <row r="44" spans="1:34" x14ac:dyDescent="0.25">
      <c r="A44" t="s">
        <v>51</v>
      </c>
    </row>
    <row r="45" spans="1:34" x14ac:dyDescent="0.25">
      <c r="A45" t="s">
        <v>23</v>
      </c>
    </row>
    <row r="46" spans="1:34" x14ac:dyDescent="0.25">
      <c r="A46" t="s">
        <v>1</v>
      </c>
    </row>
    <row r="47" spans="1:34" x14ac:dyDescent="0.25">
      <c r="A47" t="s">
        <v>5</v>
      </c>
    </row>
    <row r="48" spans="1:34" x14ac:dyDescent="0.25">
      <c r="A48" s="4"/>
      <c r="B48" s="5"/>
      <c r="C48" t="s">
        <v>105</v>
      </c>
      <c r="D48" t="s">
        <v>106</v>
      </c>
      <c r="G48" s="27">
        <v>44412</v>
      </c>
      <c r="H48" s="26" t="s">
        <v>96</v>
      </c>
      <c r="I48" t="s">
        <v>97</v>
      </c>
      <c r="K48" t="s">
        <v>98</v>
      </c>
      <c r="L48" t="s">
        <v>99</v>
      </c>
      <c r="M48" t="s">
        <v>100</v>
      </c>
      <c r="N48" t="s">
        <v>101</v>
      </c>
      <c r="O48" t="s">
        <v>102</v>
      </c>
    </row>
    <row r="49" spans="1:33" x14ac:dyDescent="0.25">
      <c r="A49" s="9" t="s">
        <v>12</v>
      </c>
      <c r="B49" s="10" t="s">
        <v>13</v>
      </c>
      <c r="C49" t="s">
        <v>107</v>
      </c>
      <c r="D49" t="s">
        <v>108</v>
      </c>
      <c r="H49" t="s">
        <v>103</v>
      </c>
      <c r="I49" t="s">
        <v>108</v>
      </c>
      <c r="J49" t="s">
        <v>20</v>
      </c>
      <c r="K49" t="s">
        <v>4</v>
      </c>
      <c r="L49" t="s">
        <v>104</v>
      </c>
      <c r="M49" t="s">
        <v>104</v>
      </c>
      <c r="N49" t="s">
        <v>104</v>
      </c>
      <c r="O49" t="s">
        <v>4</v>
      </c>
    </row>
    <row r="50" spans="1:33" x14ac:dyDescent="0.25">
      <c r="A50">
        <v>1</v>
      </c>
      <c r="B50" t="s">
        <v>77</v>
      </c>
      <c r="C50">
        <v>0</v>
      </c>
      <c r="D50" s="21"/>
      <c r="H50" t="s">
        <v>77</v>
      </c>
      <c r="I50" s="21"/>
      <c r="K50">
        <v>0</v>
      </c>
      <c r="L50">
        <f>K50*10</f>
        <v>0</v>
      </c>
      <c r="M50">
        <f>(K50*10*10)/($H$1*(10+10))</f>
        <v>0</v>
      </c>
      <c r="N50">
        <f>L50-M50</f>
        <v>0</v>
      </c>
      <c r="O50">
        <f>N50/10</f>
        <v>0</v>
      </c>
    </row>
    <row r="51" spans="1:33" x14ac:dyDescent="0.25">
      <c r="A51">
        <v>2</v>
      </c>
      <c r="B51" t="s">
        <v>24</v>
      </c>
      <c r="C51">
        <v>0</v>
      </c>
      <c r="D51" s="21"/>
      <c r="H51" t="s">
        <v>24</v>
      </c>
      <c r="I51" s="21"/>
      <c r="K51">
        <v>0</v>
      </c>
      <c r="L51">
        <f t="shared" ref="L51:L59" si="24">K51*10</f>
        <v>0</v>
      </c>
      <c r="M51">
        <f t="shared" ref="M51:M59" si="25">(K51*10*10)/($H$1*(10+10))</f>
        <v>0</v>
      </c>
      <c r="N51">
        <f t="shared" ref="N51:N59" si="26">L51-M51</f>
        <v>0</v>
      </c>
      <c r="O51">
        <f t="shared" ref="O51:O59" si="27">N51/10</f>
        <v>0</v>
      </c>
    </row>
    <row r="52" spans="1:33" x14ac:dyDescent="0.25">
      <c r="A52">
        <v>3</v>
      </c>
      <c r="B52" t="s">
        <v>45</v>
      </c>
      <c r="C52">
        <v>0.05</v>
      </c>
      <c r="D52" s="21">
        <v>911</v>
      </c>
      <c r="H52" s="21" t="s">
        <v>25</v>
      </c>
      <c r="I52" s="21"/>
      <c r="K52">
        <v>0</v>
      </c>
      <c r="L52">
        <f t="shared" si="24"/>
        <v>0</v>
      </c>
      <c r="M52">
        <f t="shared" si="25"/>
        <v>0</v>
      </c>
      <c r="N52">
        <f t="shared" si="26"/>
        <v>0</v>
      </c>
      <c r="O52">
        <f t="shared" si="27"/>
        <v>0</v>
      </c>
    </row>
    <row r="53" spans="1:33" x14ac:dyDescent="0.25">
      <c r="A53">
        <v>4</v>
      </c>
      <c r="B53" t="s">
        <v>46</v>
      </c>
      <c r="C53">
        <v>0.05</v>
      </c>
      <c r="D53" s="21"/>
      <c r="H53" s="21" t="s">
        <v>36</v>
      </c>
      <c r="I53" s="21"/>
      <c r="K53">
        <v>0</v>
      </c>
      <c r="L53">
        <f t="shared" si="24"/>
        <v>0</v>
      </c>
      <c r="M53">
        <f t="shared" si="25"/>
        <v>0</v>
      </c>
      <c r="N53">
        <f t="shared" si="26"/>
        <v>0</v>
      </c>
      <c r="O53">
        <f t="shared" si="27"/>
        <v>0</v>
      </c>
    </row>
    <row r="54" spans="1:33" x14ac:dyDescent="0.25">
      <c r="A54">
        <v>5</v>
      </c>
      <c r="B54" t="s">
        <v>26</v>
      </c>
      <c r="C54">
        <v>0.1</v>
      </c>
      <c r="D54" s="21">
        <v>1828</v>
      </c>
      <c r="H54" t="s">
        <v>45</v>
      </c>
      <c r="I54" s="21">
        <v>911</v>
      </c>
      <c r="K54">
        <v>0.05</v>
      </c>
      <c r="L54">
        <f t="shared" si="24"/>
        <v>0.5</v>
      </c>
      <c r="M54">
        <f t="shared" si="25"/>
        <v>0.41759081873315362</v>
      </c>
      <c r="N54">
        <f t="shared" si="26"/>
        <v>8.2409181266846376E-2</v>
      </c>
      <c r="O54">
        <f t="shared" si="27"/>
        <v>8.2409181266846383E-3</v>
      </c>
    </row>
    <row r="55" spans="1:33" x14ac:dyDescent="0.25">
      <c r="A55">
        <v>6</v>
      </c>
      <c r="B55" t="s">
        <v>27</v>
      </c>
      <c r="C55">
        <v>0.1</v>
      </c>
      <c r="D55" s="21">
        <v>6758</v>
      </c>
      <c r="H55" t="s">
        <v>46</v>
      </c>
      <c r="I55" s="21"/>
      <c r="K55">
        <v>0.05</v>
      </c>
      <c r="L55">
        <f t="shared" si="24"/>
        <v>0.5</v>
      </c>
      <c r="M55">
        <f t="shared" si="25"/>
        <v>0.41759081873315362</v>
      </c>
      <c r="N55">
        <f t="shared" si="26"/>
        <v>8.2409181266846376E-2</v>
      </c>
      <c r="O55">
        <f t="shared" si="27"/>
        <v>8.2409181266846383E-3</v>
      </c>
    </row>
    <row r="56" spans="1:33" x14ac:dyDescent="0.25">
      <c r="A56">
        <v>7</v>
      </c>
      <c r="B56" t="s">
        <v>28</v>
      </c>
      <c r="C56">
        <v>0.5</v>
      </c>
      <c r="D56" s="21">
        <v>11925</v>
      </c>
      <c r="H56" t="s">
        <v>26</v>
      </c>
      <c r="I56" s="21">
        <v>1828</v>
      </c>
      <c r="K56">
        <v>0.1</v>
      </c>
      <c r="L56">
        <f t="shared" si="24"/>
        <v>1</v>
      </c>
      <c r="M56">
        <f t="shared" si="25"/>
        <v>0.83518163746630725</v>
      </c>
      <c r="N56">
        <f t="shared" si="26"/>
        <v>0.16481836253369275</v>
      </c>
      <c r="O56">
        <f t="shared" si="27"/>
        <v>1.6481836253369277E-2</v>
      </c>
    </row>
    <row r="57" spans="1:33" x14ac:dyDescent="0.25">
      <c r="A57">
        <v>8</v>
      </c>
      <c r="B57" t="s">
        <v>29</v>
      </c>
      <c r="C57">
        <v>0.5</v>
      </c>
      <c r="D57" s="21">
        <v>9251</v>
      </c>
      <c r="H57" t="s">
        <v>27</v>
      </c>
      <c r="I57" s="21">
        <v>6758</v>
      </c>
      <c r="K57">
        <v>0.1</v>
      </c>
      <c r="L57">
        <f t="shared" si="24"/>
        <v>1</v>
      </c>
      <c r="M57">
        <f t="shared" si="25"/>
        <v>0.83518163746630725</v>
      </c>
      <c r="N57">
        <f t="shared" si="26"/>
        <v>0.16481836253369275</v>
      </c>
      <c r="O57">
        <f t="shared" si="27"/>
        <v>1.6481836253369277E-2</v>
      </c>
    </row>
    <row r="58" spans="1:33" x14ac:dyDescent="0.25">
      <c r="A58" s="10">
        <v>9</v>
      </c>
      <c r="B58" s="10" t="s">
        <v>25</v>
      </c>
      <c r="C58">
        <v>0</v>
      </c>
      <c r="D58" s="21"/>
      <c r="H58" t="s">
        <v>28</v>
      </c>
      <c r="I58" s="21">
        <v>11925</v>
      </c>
      <c r="K58">
        <v>0.5</v>
      </c>
      <c r="L58">
        <f t="shared" si="24"/>
        <v>5</v>
      </c>
      <c r="M58">
        <f t="shared" si="25"/>
        <v>4.1759081873315358</v>
      </c>
      <c r="N58">
        <f t="shared" si="26"/>
        <v>0.82409181266846421</v>
      </c>
      <c r="O58">
        <f t="shared" si="27"/>
        <v>8.2409181266846418E-2</v>
      </c>
    </row>
    <row r="59" spans="1:33" x14ac:dyDescent="0.25">
      <c r="A59">
        <v>10</v>
      </c>
      <c r="B59" s="19" t="s">
        <v>52</v>
      </c>
      <c r="D59" s="21"/>
      <c r="H59" t="s">
        <v>29</v>
      </c>
      <c r="I59" s="21">
        <v>9251</v>
      </c>
      <c r="K59">
        <v>0.5</v>
      </c>
      <c r="L59">
        <f t="shared" si="24"/>
        <v>5</v>
      </c>
      <c r="M59">
        <f t="shared" si="25"/>
        <v>4.1759081873315358</v>
      </c>
      <c r="N59">
        <f t="shared" si="26"/>
        <v>0.82409181266846421</v>
      </c>
      <c r="O59">
        <f t="shared" si="27"/>
        <v>8.2409181266846418E-2</v>
      </c>
    </row>
    <row r="60" spans="1:33" x14ac:dyDescent="0.25">
      <c r="A60">
        <v>11</v>
      </c>
      <c r="B60" s="19" t="s">
        <v>53</v>
      </c>
      <c r="D60" s="21">
        <v>1239</v>
      </c>
    </row>
    <row r="61" spans="1:33" x14ac:dyDescent="0.25">
      <c r="A61">
        <v>12</v>
      </c>
      <c r="B61" s="19" t="s">
        <v>54</v>
      </c>
      <c r="D61" s="21">
        <v>1579</v>
      </c>
      <c r="S61" s="6" t="s">
        <v>0</v>
      </c>
      <c r="T61" s="3" t="s">
        <v>125</v>
      </c>
      <c r="U61" s="7"/>
      <c r="AC61" s="6" t="s">
        <v>0</v>
      </c>
      <c r="AD61" s="3" t="s">
        <v>125</v>
      </c>
      <c r="AE61" s="7"/>
    </row>
    <row r="62" spans="1:33" x14ac:dyDescent="0.25">
      <c r="A62">
        <v>13</v>
      </c>
      <c r="B62" s="19" t="s">
        <v>55</v>
      </c>
      <c r="D62" s="21">
        <v>1409</v>
      </c>
      <c r="L62" t="s">
        <v>109</v>
      </c>
      <c r="O62" s="6" t="s">
        <v>110</v>
      </c>
      <c r="P62" s="3"/>
      <c r="Q62" s="3"/>
      <c r="R62" s="3"/>
      <c r="S62" s="4" t="s">
        <v>124</v>
      </c>
      <c r="T62" s="5" t="s">
        <v>126</v>
      </c>
      <c r="U62" s="25" t="s">
        <v>127</v>
      </c>
      <c r="V62" s="4" t="s">
        <v>134</v>
      </c>
      <c r="W62" s="25"/>
      <c r="Y62" s="6" t="s">
        <v>110</v>
      </c>
      <c r="Z62" s="3"/>
      <c r="AA62" s="3"/>
      <c r="AB62" s="3"/>
      <c r="AC62" s="4" t="s">
        <v>124</v>
      </c>
      <c r="AD62" s="5" t="s">
        <v>126</v>
      </c>
      <c r="AE62" s="25" t="s">
        <v>127</v>
      </c>
      <c r="AF62" s="4" t="s">
        <v>134</v>
      </c>
      <c r="AG62" s="25"/>
    </row>
    <row r="63" spans="1:33" x14ac:dyDescent="0.25">
      <c r="A63">
        <v>14</v>
      </c>
      <c r="B63" s="19" t="s">
        <v>56</v>
      </c>
      <c r="D63" s="21">
        <v>1485</v>
      </c>
      <c r="L63" t="s">
        <v>111</v>
      </c>
      <c r="O63" s="12" t="s">
        <v>111</v>
      </c>
      <c r="P63" s="32" t="s">
        <v>149</v>
      </c>
      <c r="Q63" s="21"/>
      <c r="R63" s="21" t="s">
        <v>156</v>
      </c>
      <c r="S63" s="21">
        <v>0.83080399164905405</v>
      </c>
      <c r="T63" s="21">
        <v>17.996241775545876</v>
      </c>
      <c r="U63" s="13">
        <v>0.67558471049077207</v>
      </c>
      <c r="V63" s="31" t="s">
        <v>131</v>
      </c>
      <c r="W63" s="33" t="s">
        <v>151</v>
      </c>
      <c r="X63" s="21"/>
      <c r="Y63" s="12" t="s">
        <v>111</v>
      </c>
      <c r="Z63" s="32" t="s">
        <v>149</v>
      </c>
      <c r="AA63" s="21"/>
      <c r="AB63" s="21" t="s">
        <v>156</v>
      </c>
      <c r="AC63" s="21">
        <v>0.83080399164905405</v>
      </c>
      <c r="AD63" s="21">
        <v>17.996241775545876</v>
      </c>
      <c r="AE63" s="13">
        <v>0.67558471049077207</v>
      </c>
      <c r="AF63" s="31" t="s">
        <v>131</v>
      </c>
      <c r="AG63" s="33" t="s">
        <v>151</v>
      </c>
    </row>
    <row r="64" spans="1:33" x14ac:dyDescent="0.25">
      <c r="A64">
        <v>15</v>
      </c>
      <c r="B64" s="19" t="s">
        <v>57</v>
      </c>
      <c r="D64" s="21">
        <v>1496</v>
      </c>
      <c r="H64" s="26" t="s">
        <v>3</v>
      </c>
      <c r="I64" t="s">
        <v>97</v>
      </c>
      <c r="K64" t="s">
        <v>112</v>
      </c>
      <c r="L64" t="s">
        <v>153</v>
      </c>
      <c r="M64" t="s">
        <v>154</v>
      </c>
      <c r="N64" t="s">
        <v>114</v>
      </c>
      <c r="O64" s="12" t="s">
        <v>121</v>
      </c>
      <c r="P64" s="17"/>
      <c r="Q64" s="21"/>
      <c r="R64" s="21" t="s">
        <v>157</v>
      </c>
      <c r="S64">
        <v>0.91269999999999996</v>
      </c>
      <c r="T64">
        <v>17.673999999999999</v>
      </c>
      <c r="U64">
        <v>0.61119999999999997</v>
      </c>
      <c r="V64" s="19" t="s">
        <v>132</v>
      </c>
      <c r="W64" s="13" t="s">
        <v>133</v>
      </c>
      <c r="X64" s="21"/>
      <c r="Y64" s="12" t="s">
        <v>122</v>
      </c>
      <c r="Z64" s="17"/>
      <c r="AA64" s="21"/>
      <c r="AB64" s="21" t="s">
        <v>157</v>
      </c>
      <c r="AC64">
        <v>0.91269999999999996</v>
      </c>
      <c r="AD64">
        <v>17.673999999999999</v>
      </c>
      <c r="AE64">
        <v>0.61119999999999997</v>
      </c>
      <c r="AF64" s="19" t="s">
        <v>132</v>
      </c>
      <c r="AG64" s="13" t="s">
        <v>133</v>
      </c>
    </row>
    <row r="65" spans="1:34" ht="15.75" thickBot="1" x14ac:dyDescent="0.3">
      <c r="A65" s="10">
        <v>16</v>
      </c>
      <c r="B65" s="20" t="s">
        <v>58</v>
      </c>
      <c r="D65" s="21">
        <v>1228</v>
      </c>
      <c r="H65" t="s">
        <v>115</v>
      </c>
      <c r="I65" t="s">
        <v>108</v>
      </c>
      <c r="J65" t="s">
        <v>120</v>
      </c>
      <c r="K65" t="s">
        <v>4</v>
      </c>
      <c r="L65" t="s">
        <v>121</v>
      </c>
      <c r="M65" t="s">
        <v>122</v>
      </c>
      <c r="N65" t="s">
        <v>116</v>
      </c>
      <c r="O65" s="12" t="s">
        <v>117</v>
      </c>
      <c r="P65" s="21" t="s">
        <v>118</v>
      </c>
      <c r="Q65" s="21" t="s">
        <v>119</v>
      </c>
      <c r="R65" s="21" t="s">
        <v>123</v>
      </c>
      <c r="S65" s="21" t="s">
        <v>128</v>
      </c>
      <c r="T65" s="21" t="s">
        <v>129</v>
      </c>
      <c r="U65" s="13"/>
      <c r="V65" s="29" t="s">
        <v>130</v>
      </c>
      <c r="W65" s="30" t="s">
        <v>152</v>
      </c>
      <c r="X65" s="17"/>
      <c r="Y65" s="12" t="s">
        <v>117</v>
      </c>
      <c r="Z65" s="21" t="s">
        <v>118</v>
      </c>
      <c r="AA65" s="21" t="s">
        <v>119</v>
      </c>
      <c r="AB65" s="21" t="s">
        <v>123</v>
      </c>
      <c r="AC65" s="10" t="s">
        <v>128</v>
      </c>
      <c r="AD65" s="10" t="s">
        <v>129</v>
      </c>
      <c r="AE65" s="11"/>
      <c r="AF65" s="29" t="s">
        <v>130</v>
      </c>
      <c r="AG65" s="30" t="s">
        <v>152</v>
      </c>
    </row>
    <row r="66" spans="1:34" x14ac:dyDescent="0.25">
      <c r="A66">
        <v>17</v>
      </c>
      <c r="B66" s="21" t="s">
        <v>59</v>
      </c>
      <c r="D66" s="21">
        <v>487</v>
      </c>
      <c r="G66" t="s">
        <v>150</v>
      </c>
      <c r="H66" s="18" t="s">
        <v>52</v>
      </c>
      <c r="I66" s="3"/>
      <c r="J66" s="3">
        <v>1</v>
      </c>
      <c r="K66" s="3">
        <v>0</v>
      </c>
      <c r="L66" s="3">
        <f>I66/21105</f>
        <v>0</v>
      </c>
      <c r="M66" s="3">
        <f>(I66+250.67)/21668</f>
        <v>1.1568672697064795E-2</v>
      </c>
      <c r="N66" s="3">
        <v>8</v>
      </c>
      <c r="O66" s="6">
        <f t="shared" ref="O66:O84" si="28">K66*N66</f>
        <v>0</v>
      </c>
      <c r="P66" s="3">
        <f t="shared" ref="P66:P72" si="29">L66*$Z$13</f>
        <v>0</v>
      </c>
      <c r="Q66" s="3">
        <f>(L66/$H$1)*N66</f>
        <v>0</v>
      </c>
      <c r="R66" s="3">
        <f>O66-(P66+Q66)</f>
        <v>0</v>
      </c>
      <c r="S66" s="3">
        <f t="shared" ref="S66:S72" si="30">(S$63*(Q66/N66))*20</f>
        <v>0</v>
      </c>
      <c r="T66" s="3"/>
      <c r="U66" s="3"/>
      <c r="V66" s="39">
        <f>SUM(S66:U66,P66:Q66)</f>
        <v>0</v>
      </c>
      <c r="W66" s="1">
        <f t="shared" ref="W66:W84" si="31">O66-V66</f>
        <v>0</v>
      </c>
      <c r="Y66" s="6">
        <f>K66*N66</f>
        <v>0</v>
      </c>
      <c r="Z66" s="3">
        <f t="shared" ref="Z66:Z72" si="32">M66*$Z$13</f>
        <v>1.208380604734919</v>
      </c>
      <c r="AA66" s="3">
        <f>(M66/$H$1)*N66</f>
        <v>0.15459108810314137</v>
      </c>
      <c r="AB66" s="3">
        <f>Y66-(Z66+AA66)</f>
        <v>-1.3629716928380604</v>
      </c>
      <c r="AC66" s="21">
        <f t="shared" ref="AC66:AC72" si="33">(AC$63*(AA66/N66))*20</f>
        <v>0.32108723267365108</v>
      </c>
      <c r="AD66" s="3"/>
      <c r="AE66" s="3"/>
      <c r="AF66" s="39">
        <f>SUM(AC66:AE66,Z66:AA66)</f>
        <v>1.6840589255117115</v>
      </c>
      <c r="AG66" s="1">
        <f t="shared" ref="AG66:AG84" si="34">Y66-AF66</f>
        <v>-1.6840589255117115</v>
      </c>
    </row>
    <row r="67" spans="1:34" x14ac:dyDescent="0.25">
      <c r="A67">
        <v>18</v>
      </c>
      <c r="B67" s="21" t="s">
        <v>60</v>
      </c>
      <c r="D67" s="21">
        <v>493</v>
      </c>
      <c r="H67" s="19" t="s">
        <v>53</v>
      </c>
      <c r="I67" s="21">
        <v>1239</v>
      </c>
      <c r="J67" s="21">
        <v>1</v>
      </c>
      <c r="K67" s="21">
        <v>2.5</v>
      </c>
      <c r="L67" s="21">
        <f t="shared" ref="L67:L84" si="35">I67/21105</f>
        <v>5.870646766169154E-2</v>
      </c>
      <c r="M67" s="21">
        <f t="shared" ref="M67:M84" si="36">(I67+250.67)/21668</f>
        <v>6.8749769244969547E-2</v>
      </c>
      <c r="N67" s="21">
        <v>8</v>
      </c>
      <c r="O67" s="12">
        <f t="shared" si="28"/>
        <v>20</v>
      </c>
      <c r="P67" s="21">
        <f t="shared" si="29"/>
        <v>6.132056697643856</v>
      </c>
      <c r="Q67" s="21">
        <f>(L67/$H$1)*N67</f>
        <v>0.78448902066486959</v>
      </c>
      <c r="R67" s="21">
        <f t="shared" ref="R67:R84" si="37">O67-(P67+Q67)</f>
        <v>13.083454281691274</v>
      </c>
      <c r="S67" s="21">
        <f t="shared" si="30"/>
        <v>1.6293915244330772</v>
      </c>
      <c r="T67" s="21"/>
      <c r="U67" s="21"/>
      <c r="V67" s="8">
        <f t="shared" ref="V67:V84" si="38">SUM(S67:U67,P67:Q67)</f>
        <v>8.5459372427418039</v>
      </c>
      <c r="W67" s="2">
        <f t="shared" si="31"/>
        <v>11.454062757258196</v>
      </c>
      <c r="Y67" s="12">
        <f t="shared" ref="Y67:Y84" si="39">K67*N67</f>
        <v>20</v>
      </c>
      <c r="Z67" s="21">
        <f t="shared" si="32"/>
        <v>7.1811079724556866</v>
      </c>
      <c r="AA67" s="21">
        <f t="shared" ref="AA67:AA84" si="40">(M67/$H$1)*N67</f>
        <v>0.91869671765511096</v>
      </c>
      <c r="AB67" s="21">
        <f t="shared" ref="AB67:AB84" si="41">Y67-(Z67+AA67)</f>
        <v>11.900195309889202</v>
      </c>
      <c r="AC67" s="21">
        <f t="shared" si="33"/>
        <v>1.9081422503568755</v>
      </c>
      <c r="AD67" s="21"/>
      <c r="AE67" s="21"/>
      <c r="AF67" s="8">
        <f t="shared" ref="AF67:AF84" si="42">SUM(AC67:AE67,Z67:AA67)</f>
        <v>10.007946940467674</v>
      </c>
      <c r="AG67" s="2">
        <f t="shared" si="34"/>
        <v>9.992053059532326</v>
      </c>
    </row>
    <row r="68" spans="1:34" x14ac:dyDescent="0.25">
      <c r="A68">
        <v>19</v>
      </c>
      <c r="B68" s="21" t="s">
        <v>61</v>
      </c>
      <c r="D68" s="21">
        <v>532</v>
      </c>
      <c r="H68" s="19" t="s">
        <v>54</v>
      </c>
      <c r="I68" s="21">
        <v>1579</v>
      </c>
      <c r="J68" s="21">
        <v>1</v>
      </c>
      <c r="K68" s="21">
        <v>2.5</v>
      </c>
      <c r="L68" s="21">
        <f t="shared" si="35"/>
        <v>7.4816394219379301E-2</v>
      </c>
      <c r="M68" s="21">
        <f t="shared" si="36"/>
        <v>8.4441111316226697E-2</v>
      </c>
      <c r="N68" s="21">
        <v>8</v>
      </c>
      <c r="O68" s="12">
        <f t="shared" si="28"/>
        <v>20</v>
      </c>
      <c r="P68" s="21">
        <f t="shared" si="29"/>
        <v>7.8147841207261095</v>
      </c>
      <c r="Q68" s="21">
        <f t="shared" ref="Q68:Q80" si="43">(L68/$H$1)*N68</f>
        <v>0.99976445813545545</v>
      </c>
      <c r="R68" s="21">
        <f t="shared" si="37"/>
        <v>11.185451421138435</v>
      </c>
      <c r="S68" s="21">
        <f t="shared" si="30"/>
        <v>2.076520756319475</v>
      </c>
      <c r="T68" s="21"/>
      <c r="U68" s="21"/>
      <c r="V68" s="8">
        <f t="shared" si="38"/>
        <v>10.89106933518104</v>
      </c>
      <c r="W68" s="2">
        <f t="shared" si="31"/>
        <v>9.1089306648189599</v>
      </c>
      <c r="Y68" s="12">
        <f t="shared" si="39"/>
        <v>20</v>
      </c>
      <c r="Z68" s="21">
        <f t="shared" si="32"/>
        <v>8.8201130612571887</v>
      </c>
      <c r="AA68" s="21">
        <f t="shared" si="40"/>
        <v>1.128378649896975</v>
      </c>
      <c r="AB68" s="21">
        <f t="shared" si="41"/>
        <v>10.051508288845836</v>
      </c>
      <c r="AC68" s="21">
        <f t="shared" si="33"/>
        <v>2.3436537160649431</v>
      </c>
      <c r="AD68" s="21"/>
      <c r="AE68" s="21"/>
      <c r="AF68" s="8">
        <f t="shared" si="42"/>
        <v>12.292145427219106</v>
      </c>
      <c r="AG68" s="2">
        <f t="shared" si="34"/>
        <v>7.707854572780894</v>
      </c>
    </row>
    <row r="69" spans="1:34" x14ac:dyDescent="0.25">
      <c r="A69">
        <v>20</v>
      </c>
      <c r="B69" t="s">
        <v>36</v>
      </c>
      <c r="C69">
        <v>0</v>
      </c>
      <c r="D69" s="21"/>
      <c r="H69" s="19" t="s">
        <v>55</v>
      </c>
      <c r="I69" s="21">
        <v>1409</v>
      </c>
      <c r="J69" s="21">
        <v>1</v>
      </c>
      <c r="K69" s="21">
        <v>2.5</v>
      </c>
      <c r="L69" s="21">
        <f t="shared" si="35"/>
        <v>6.6761430940535424E-2</v>
      </c>
      <c r="M69" s="21">
        <f t="shared" si="36"/>
        <v>7.6595440280598115E-2</v>
      </c>
      <c r="N69" s="21">
        <v>8</v>
      </c>
      <c r="O69" s="12">
        <f t="shared" si="28"/>
        <v>20</v>
      </c>
      <c r="P69" s="21">
        <f t="shared" si="29"/>
        <v>6.9734204091849827</v>
      </c>
      <c r="Q69" s="21">
        <f t="shared" si="43"/>
        <v>0.89212673940016263</v>
      </c>
      <c r="R69" s="21">
        <f t="shared" si="37"/>
        <v>12.134452851414855</v>
      </c>
      <c r="S69" s="21">
        <f t="shared" si="30"/>
        <v>1.8529561403762762</v>
      </c>
      <c r="T69" s="21"/>
      <c r="U69" s="21"/>
      <c r="V69" s="8">
        <f t="shared" si="38"/>
        <v>9.718503288961422</v>
      </c>
      <c r="W69" s="2">
        <f t="shared" si="31"/>
        <v>10.281496711038578</v>
      </c>
      <c r="Y69" s="12">
        <f t="shared" si="39"/>
        <v>20</v>
      </c>
      <c r="Z69" s="21">
        <f t="shared" si="32"/>
        <v>8.0006105168564368</v>
      </c>
      <c r="AA69" s="21">
        <f t="shared" si="40"/>
        <v>1.0235376837760428</v>
      </c>
      <c r="AB69" s="21">
        <f t="shared" si="41"/>
        <v>10.97585179936752</v>
      </c>
      <c r="AC69" s="21">
        <f t="shared" si="33"/>
        <v>2.1258979832109088</v>
      </c>
      <c r="AD69" s="21"/>
      <c r="AE69" s="21"/>
      <c r="AF69" s="8">
        <f t="shared" si="42"/>
        <v>11.150046183843388</v>
      </c>
      <c r="AG69" s="2">
        <f t="shared" si="34"/>
        <v>8.8499538161566118</v>
      </c>
    </row>
    <row r="70" spans="1:34" x14ac:dyDescent="0.25">
      <c r="A70">
        <v>21</v>
      </c>
      <c r="B70" s="21" t="s">
        <v>64</v>
      </c>
      <c r="D70" s="21">
        <v>645</v>
      </c>
      <c r="H70" s="19" t="s">
        <v>56</v>
      </c>
      <c r="I70" s="21">
        <v>1485</v>
      </c>
      <c r="J70" s="21">
        <v>1</v>
      </c>
      <c r="K70" s="21">
        <v>2.5</v>
      </c>
      <c r="L70" s="21">
        <f t="shared" si="35"/>
        <v>7.0362473347547971E-2</v>
      </c>
      <c r="M70" s="21">
        <f t="shared" si="36"/>
        <v>8.0102916743585009E-2</v>
      </c>
      <c r="N70" s="21">
        <v>8</v>
      </c>
      <c r="O70" s="12">
        <f t="shared" si="28"/>
        <v>20</v>
      </c>
      <c r="P70" s="21">
        <f t="shared" si="29"/>
        <v>7.3495594802268975</v>
      </c>
      <c r="Q70" s="21">
        <f t="shared" si="43"/>
        <v>0.9402471313053522</v>
      </c>
      <c r="R70" s="21">
        <f t="shared" si="37"/>
        <v>11.710193388467751</v>
      </c>
      <c r="S70" s="21">
        <f t="shared" si="30"/>
        <v>1.952902674562647</v>
      </c>
      <c r="T70" s="21"/>
      <c r="U70" s="21"/>
      <c r="V70" s="8">
        <f t="shared" si="38"/>
        <v>10.242709286094897</v>
      </c>
      <c r="W70" s="2">
        <f t="shared" si="31"/>
        <v>9.7572907139051033</v>
      </c>
      <c r="Y70" s="12">
        <f t="shared" si="39"/>
        <v>20</v>
      </c>
      <c r="Z70" s="21">
        <f t="shared" si="32"/>
        <v>8.3669763602355971</v>
      </c>
      <c r="AA70" s="21">
        <f t="shared" si="40"/>
        <v>1.0704077627477537</v>
      </c>
      <c r="AB70" s="21">
        <f t="shared" si="41"/>
        <v>10.562615877016649</v>
      </c>
      <c r="AC70" s="21">
        <f t="shared" si="33"/>
        <v>2.2232476049574186</v>
      </c>
      <c r="AD70" s="21"/>
      <c r="AE70" s="21"/>
      <c r="AF70" s="8">
        <f t="shared" si="42"/>
        <v>11.660631727940769</v>
      </c>
      <c r="AG70" s="2">
        <f t="shared" si="34"/>
        <v>8.3393682720592306</v>
      </c>
    </row>
    <row r="71" spans="1:34" x14ac:dyDescent="0.25">
      <c r="A71">
        <v>22</v>
      </c>
      <c r="B71" s="21" t="s">
        <v>62</v>
      </c>
      <c r="D71" s="21">
        <v>515</v>
      </c>
      <c r="H71" s="19" t="s">
        <v>57</v>
      </c>
      <c r="I71" s="21">
        <v>1496</v>
      </c>
      <c r="J71" s="21">
        <v>1</v>
      </c>
      <c r="K71" s="21">
        <v>2.5</v>
      </c>
      <c r="L71" s="21">
        <f t="shared" si="35"/>
        <v>7.0883676853826114E-2</v>
      </c>
      <c r="M71" s="21">
        <f t="shared" si="36"/>
        <v>8.0610577810596273E-2</v>
      </c>
      <c r="N71" s="21">
        <v>8</v>
      </c>
      <c r="O71" s="12">
        <f t="shared" si="28"/>
        <v>20</v>
      </c>
      <c r="P71" s="21">
        <f t="shared" si="29"/>
        <v>7.4040006615619127</v>
      </c>
      <c r="Q71" s="21">
        <f t="shared" si="43"/>
        <v>0.94721192487057715</v>
      </c>
      <c r="R71" s="21">
        <f t="shared" si="37"/>
        <v>11.64878741356751</v>
      </c>
      <c r="S71" s="21">
        <f t="shared" si="30"/>
        <v>1.9673686203001484</v>
      </c>
      <c r="T71" s="21"/>
      <c r="U71" s="21"/>
      <c r="V71" s="8">
        <f t="shared" si="38"/>
        <v>10.318581206732638</v>
      </c>
      <c r="W71" s="2">
        <f t="shared" si="31"/>
        <v>9.6814187932673619</v>
      </c>
      <c r="X71" t="s">
        <v>155</v>
      </c>
      <c r="Y71" s="12">
        <f t="shared" si="39"/>
        <v>20</v>
      </c>
      <c r="Z71" s="21">
        <f t="shared" si="32"/>
        <v>8.4200029954615268</v>
      </c>
      <c r="AA71" s="21">
        <f t="shared" si="40"/>
        <v>1.0771915899673434</v>
      </c>
      <c r="AB71" s="21">
        <f t="shared" si="41"/>
        <v>10.50280541457113</v>
      </c>
      <c r="AC71" s="21">
        <f t="shared" si="33"/>
        <v>2.2373376817891502</v>
      </c>
      <c r="AD71" s="21"/>
      <c r="AE71" s="21"/>
      <c r="AF71" s="8">
        <f t="shared" si="42"/>
        <v>11.73453226721802</v>
      </c>
      <c r="AG71" s="2">
        <f t="shared" si="34"/>
        <v>8.2654677327819801</v>
      </c>
      <c r="AH71" t="s">
        <v>155</v>
      </c>
    </row>
    <row r="72" spans="1:34" ht="15.75" thickBot="1" x14ac:dyDescent="0.3">
      <c r="A72">
        <v>23</v>
      </c>
      <c r="B72" s="21" t="s">
        <v>65</v>
      </c>
      <c r="D72" s="21">
        <v>479</v>
      </c>
      <c r="H72" s="40" t="s">
        <v>58</v>
      </c>
      <c r="I72" s="41">
        <v>1228</v>
      </c>
      <c r="J72" s="41">
        <v>1</v>
      </c>
      <c r="K72" s="41">
        <v>2.5</v>
      </c>
      <c r="L72" s="41">
        <f t="shared" si="35"/>
        <v>5.8185264155413412E-2</v>
      </c>
      <c r="M72" s="41">
        <f t="shared" si="36"/>
        <v>6.8242108177958283E-2</v>
      </c>
      <c r="N72" s="41">
        <v>8</v>
      </c>
      <c r="O72" s="42">
        <f t="shared" si="28"/>
        <v>20</v>
      </c>
      <c r="P72" s="41">
        <f t="shared" si="29"/>
        <v>6.0776155163088426</v>
      </c>
      <c r="Q72" s="41">
        <f t="shared" si="43"/>
        <v>0.77752422709964486</v>
      </c>
      <c r="R72" s="41">
        <f t="shared" si="37"/>
        <v>13.144860256591514</v>
      </c>
      <c r="S72" s="41">
        <f t="shared" si="30"/>
        <v>1.6149255786955763</v>
      </c>
      <c r="T72" s="41"/>
      <c r="U72" s="41"/>
      <c r="V72" s="43">
        <f t="shared" si="38"/>
        <v>8.4700653221040643</v>
      </c>
      <c r="W72" s="44">
        <f t="shared" si="31"/>
        <v>11.529934677895936</v>
      </c>
      <c r="X72" s="43">
        <f>AVERAGE(W67:W72)</f>
        <v>10.302189053030689</v>
      </c>
      <c r="Y72" s="42">
        <f t="shared" si="39"/>
        <v>20</v>
      </c>
      <c r="Z72" s="41">
        <f t="shared" si="32"/>
        <v>7.128081337229756</v>
      </c>
      <c r="AA72" s="41">
        <f t="shared" si="40"/>
        <v>0.91191289043552115</v>
      </c>
      <c r="AB72" s="41">
        <f t="shared" si="41"/>
        <v>11.960005772334723</v>
      </c>
      <c r="AC72" s="41">
        <f t="shared" si="33"/>
        <v>1.8940521735251437</v>
      </c>
      <c r="AD72" s="41"/>
      <c r="AE72" s="41"/>
      <c r="AF72" s="43">
        <f t="shared" si="42"/>
        <v>9.9340464011904217</v>
      </c>
      <c r="AG72" s="44">
        <f t="shared" si="34"/>
        <v>10.065953598809578</v>
      </c>
      <c r="AH72" s="43">
        <f>AVERAGE(AG67:AG72)</f>
        <v>8.870108508686771</v>
      </c>
    </row>
    <row r="73" spans="1:34" ht="15.75" thickTop="1" x14ac:dyDescent="0.25">
      <c r="A73">
        <v>24</v>
      </c>
      <c r="B73" s="18" t="s">
        <v>63</v>
      </c>
      <c r="D73" s="21">
        <v>313</v>
      </c>
      <c r="G73" t="s">
        <v>150</v>
      </c>
      <c r="H73" s="19" t="s">
        <v>59</v>
      </c>
      <c r="I73" s="21">
        <v>0</v>
      </c>
      <c r="J73" s="21">
        <v>2</v>
      </c>
      <c r="K73" s="21">
        <v>0</v>
      </c>
      <c r="L73" s="21">
        <f t="shared" si="35"/>
        <v>0</v>
      </c>
      <c r="M73" s="21">
        <f>(I73+250.67)/21668</f>
        <v>1.1568672697064795E-2</v>
      </c>
      <c r="N73" s="21">
        <v>6</v>
      </c>
      <c r="O73" s="12">
        <f t="shared" si="28"/>
        <v>0</v>
      </c>
      <c r="P73" s="21">
        <f>L73*$AA$13</f>
        <v>0</v>
      </c>
      <c r="Q73" s="21">
        <f t="shared" si="43"/>
        <v>0</v>
      </c>
      <c r="R73" s="21">
        <f t="shared" si="37"/>
        <v>0</v>
      </c>
      <c r="S73" s="21"/>
      <c r="T73" s="21">
        <f t="shared" ref="T73:T84" si="44">(T$63*(Q73/N73))*20</f>
        <v>0</v>
      </c>
      <c r="U73" s="13"/>
      <c r="V73" s="21">
        <f t="shared" si="38"/>
        <v>0</v>
      </c>
      <c r="W73" s="13">
        <f t="shared" si="31"/>
        <v>0</v>
      </c>
      <c r="Y73" s="12">
        <f t="shared" si="39"/>
        <v>0</v>
      </c>
      <c r="Z73" s="21">
        <f>M73*$AA$13</f>
        <v>1.2216129505152624</v>
      </c>
      <c r="AA73" s="21">
        <f t="shared" si="40"/>
        <v>0.11594331607735603</v>
      </c>
      <c r="AB73" s="21">
        <f t="shared" si="41"/>
        <v>-1.3375562665926184</v>
      </c>
      <c r="AC73" s="21"/>
      <c r="AD73" s="21">
        <f t="shared" ref="AD73:AD84" si="45">(AD$63*(AA73/N73))*20</f>
        <v>6.955146494622114</v>
      </c>
      <c r="AE73" s="13"/>
      <c r="AF73" s="12">
        <f t="shared" si="42"/>
        <v>8.2927027612147324</v>
      </c>
      <c r="AG73" s="13">
        <f t="shared" si="34"/>
        <v>-8.2927027612147324</v>
      </c>
    </row>
    <row r="74" spans="1:34" x14ac:dyDescent="0.25">
      <c r="A74">
        <v>25</v>
      </c>
      <c r="B74" s="19" t="s">
        <v>66</v>
      </c>
      <c r="D74" s="21"/>
      <c r="G74" s="34" t="s">
        <v>150</v>
      </c>
      <c r="H74" s="35" t="s">
        <v>60</v>
      </c>
      <c r="I74" s="36">
        <v>493</v>
      </c>
      <c r="J74" s="21">
        <v>2</v>
      </c>
      <c r="K74" s="21">
        <v>0</v>
      </c>
      <c r="L74" s="21">
        <f t="shared" si="35"/>
        <v>2.3359393508647242E-2</v>
      </c>
      <c r="M74" s="21">
        <f t="shared" si="36"/>
        <v>3.4321118700387669E-2</v>
      </c>
      <c r="N74" s="21">
        <v>6</v>
      </c>
      <c r="O74" s="12">
        <f t="shared" si="28"/>
        <v>0</v>
      </c>
      <c r="P74" s="21">
        <f t="shared" ref="P74:P84" si="46">L74*$AA$13</f>
        <v>2.4666734355433717</v>
      </c>
      <c r="Q74" s="21">
        <f t="shared" si="43"/>
        <v>0.23411203824926197</v>
      </c>
      <c r="R74" s="21">
        <f t="shared" si="37"/>
        <v>-2.7007854737926338</v>
      </c>
      <c r="S74" s="21"/>
      <c r="T74" s="21">
        <f t="shared" si="44"/>
        <v>14.043789476331874</v>
      </c>
      <c r="U74" s="13"/>
      <c r="V74" s="21">
        <f t="shared" si="38"/>
        <v>16.744574950124505</v>
      </c>
      <c r="W74" s="13">
        <f t="shared" si="31"/>
        <v>-16.744574950124505</v>
      </c>
      <c r="Y74" s="12">
        <f t="shared" si="39"/>
        <v>0</v>
      </c>
      <c r="Z74" s="21">
        <f t="shared" ref="Z74:Z84" si="47">M74*$AA$13</f>
        <v>3.6241947696560626</v>
      </c>
      <c r="AA74" s="21">
        <f t="shared" si="40"/>
        <v>0.34397241739038326</v>
      </c>
      <c r="AB74" s="21">
        <f t="shared" si="41"/>
        <v>-3.9681671870464457</v>
      </c>
      <c r="AC74" s="21"/>
      <c r="AD74" s="21">
        <f t="shared" si="45"/>
        <v>20.634035958254394</v>
      </c>
      <c r="AE74" s="13"/>
      <c r="AF74" s="12">
        <f t="shared" si="42"/>
        <v>24.602203145300841</v>
      </c>
      <c r="AG74" s="13">
        <f t="shared" si="34"/>
        <v>-24.602203145300841</v>
      </c>
    </row>
    <row r="75" spans="1:34" x14ac:dyDescent="0.25">
      <c r="A75">
        <v>26</v>
      </c>
      <c r="B75" s="19" t="s">
        <v>67</v>
      </c>
      <c r="D75" s="21">
        <v>302</v>
      </c>
      <c r="H75" s="19" t="s">
        <v>61</v>
      </c>
      <c r="I75" s="21">
        <v>532</v>
      </c>
      <c r="J75" s="21">
        <v>2</v>
      </c>
      <c r="K75" s="21">
        <v>2.5</v>
      </c>
      <c r="L75" s="21">
        <f t="shared" si="35"/>
        <v>2.5207296849087894E-2</v>
      </c>
      <c r="M75" s="21">
        <f t="shared" si="36"/>
        <v>3.6121007937973043E-2</v>
      </c>
      <c r="N75" s="21">
        <v>6</v>
      </c>
      <c r="O75" s="12">
        <f>K75*N75</f>
        <v>15</v>
      </c>
      <c r="P75" s="21">
        <f t="shared" si="46"/>
        <v>2.661805816854105</v>
      </c>
      <c r="Q75" s="21">
        <f t="shared" si="43"/>
        <v>0.25263205750224615</v>
      </c>
      <c r="R75" s="21">
        <f t="shared" si="37"/>
        <v>12.085562125643648</v>
      </c>
      <c r="S75" s="21"/>
      <c r="T75" s="21">
        <f t="shared" si="44"/>
        <v>15.154758623546767</v>
      </c>
      <c r="U75" s="13"/>
      <c r="V75" s="21">
        <f t="shared" si="38"/>
        <v>18.069196497903118</v>
      </c>
      <c r="W75" s="13">
        <f t="shared" si="31"/>
        <v>-3.0691964979031177</v>
      </c>
      <c r="Y75" s="12">
        <f t="shared" si="39"/>
        <v>15</v>
      </c>
      <c r="Z75" s="21">
        <f t="shared" si="47"/>
        <v>3.8142570230972206</v>
      </c>
      <c r="AA75" s="21">
        <f t="shared" si="40"/>
        <v>0.36201123067883767</v>
      </c>
      <c r="AB75" s="21">
        <f t="shared" si="41"/>
        <v>10.823731746223942</v>
      </c>
      <c r="AC75" s="21"/>
      <c r="AD75" s="21">
        <f t="shared" si="45"/>
        <v>21.716138775864241</v>
      </c>
      <c r="AE75" s="13"/>
      <c r="AF75" s="12">
        <f t="shared" si="42"/>
        <v>25.892407029640299</v>
      </c>
      <c r="AG75" s="13">
        <f t="shared" si="34"/>
        <v>-10.892407029640299</v>
      </c>
    </row>
    <row r="76" spans="1:34" x14ac:dyDescent="0.25">
      <c r="A76">
        <v>27</v>
      </c>
      <c r="B76" s="19" t="s">
        <v>68</v>
      </c>
      <c r="D76" s="21">
        <v>316</v>
      </c>
      <c r="H76" s="19" t="s">
        <v>64</v>
      </c>
      <c r="I76" s="21">
        <v>645</v>
      </c>
      <c r="J76" s="21">
        <v>2</v>
      </c>
      <c r="K76" s="21">
        <v>2.5</v>
      </c>
      <c r="L76" s="21">
        <f t="shared" si="35"/>
        <v>3.0561478322672354E-2</v>
      </c>
      <c r="M76" s="21">
        <f t="shared" si="36"/>
        <v>4.1336071626361451E-2</v>
      </c>
      <c r="N76" s="21">
        <v>6</v>
      </c>
      <c r="O76" s="12">
        <f t="shared" si="28"/>
        <v>15</v>
      </c>
      <c r="P76" s="21">
        <f>L76*$AA$13</f>
        <v>3.2271893832159733</v>
      </c>
      <c r="Q76" s="21">
        <f>(L76/$H$1)*N76</f>
        <v>0.30629262610704655</v>
      </c>
      <c r="R76" s="21">
        <f t="shared" si="37"/>
        <v>11.46651799067698</v>
      </c>
      <c r="S76" s="21"/>
      <c r="T76" s="21">
        <f t="shared" si="44"/>
        <v>18.373720511630946</v>
      </c>
      <c r="U76" s="13"/>
      <c r="V76" s="21">
        <f t="shared" si="38"/>
        <v>21.907202520953966</v>
      </c>
      <c r="W76" s="13">
        <f t="shared" si="31"/>
        <v>-6.907202520953966</v>
      </c>
      <c r="Y76" s="12">
        <f t="shared" si="39"/>
        <v>15</v>
      </c>
      <c r="Z76" s="21">
        <f t="shared" si="47"/>
        <v>4.364950218965193</v>
      </c>
      <c r="AA76" s="21">
        <f t="shared" si="40"/>
        <v>0.41427753584794935</v>
      </c>
      <c r="AB76" s="21">
        <f t="shared" si="41"/>
        <v>10.220772245186858</v>
      </c>
      <c r="AC76" s="21"/>
      <c r="AD76" s="21">
        <f t="shared" si="45"/>
        <v>24.851462324323567</v>
      </c>
      <c r="AE76" s="13"/>
      <c r="AF76" s="12">
        <f t="shared" si="42"/>
        <v>29.630690079136713</v>
      </c>
      <c r="AG76" s="13">
        <f t="shared" si="34"/>
        <v>-14.630690079136713</v>
      </c>
    </row>
    <row r="77" spans="1:34" x14ac:dyDescent="0.25">
      <c r="A77">
        <v>28</v>
      </c>
      <c r="B77" s="19" t="s">
        <v>69</v>
      </c>
      <c r="D77" s="21">
        <v>308</v>
      </c>
      <c r="H77" s="19" t="s">
        <v>62</v>
      </c>
      <c r="I77" s="21">
        <v>515</v>
      </c>
      <c r="J77" s="21">
        <v>2</v>
      </c>
      <c r="K77" s="21">
        <v>2.5</v>
      </c>
      <c r="L77" s="21">
        <f t="shared" si="35"/>
        <v>2.4401800521203505E-2</v>
      </c>
      <c r="M77" s="21">
        <f t="shared" si="36"/>
        <v>3.533644083441019E-2</v>
      </c>
      <c r="N77" s="21">
        <v>6</v>
      </c>
      <c r="O77" s="12">
        <f t="shared" si="28"/>
        <v>15</v>
      </c>
      <c r="P77" s="21">
        <f t="shared" si="46"/>
        <v>2.5767481121801952</v>
      </c>
      <c r="Q77" s="21">
        <f t="shared" si="43"/>
        <v>0.24455922859709917</v>
      </c>
      <c r="R77" s="21">
        <f t="shared" si="37"/>
        <v>12.178692659222705</v>
      </c>
      <c r="S77" s="21"/>
      <c r="T77" s="21">
        <f t="shared" si="44"/>
        <v>14.670490020914633</v>
      </c>
      <c r="U77" s="13"/>
      <c r="V77" s="21">
        <f t="shared" si="38"/>
        <v>17.491797361691926</v>
      </c>
      <c r="W77" s="13">
        <f t="shared" si="31"/>
        <v>-2.4917973616919262</v>
      </c>
      <c r="X77" t="s">
        <v>155</v>
      </c>
      <c r="Y77" s="12">
        <f t="shared" si="39"/>
        <v>15</v>
      </c>
      <c r="Z77" s="21">
        <f t="shared" si="47"/>
        <v>3.7314093741613314</v>
      </c>
      <c r="AA77" s="21">
        <f t="shared" si="40"/>
        <v>0.35414815821976786</v>
      </c>
      <c r="AB77" s="21">
        <f t="shared" si="41"/>
        <v>10.914442467618901</v>
      </c>
      <c r="AC77" s="21"/>
      <c r="AD77" s="21">
        <f t="shared" si="45"/>
        <v>21.244452932290724</v>
      </c>
      <c r="AE77" s="13"/>
      <c r="AF77" s="12">
        <f t="shared" si="42"/>
        <v>25.330010464671822</v>
      </c>
      <c r="AG77" s="13">
        <f t="shared" si="34"/>
        <v>-10.330010464671822</v>
      </c>
      <c r="AH77" t="s">
        <v>155</v>
      </c>
    </row>
    <row r="78" spans="1:34" ht="15.75" thickBot="1" x14ac:dyDescent="0.3">
      <c r="A78">
        <v>29</v>
      </c>
      <c r="B78" s="20" t="s">
        <v>70</v>
      </c>
      <c r="D78" s="21">
        <v>495</v>
      </c>
      <c r="H78" s="20" t="s">
        <v>65</v>
      </c>
      <c r="I78" s="10">
        <v>479</v>
      </c>
      <c r="J78" s="10">
        <v>2</v>
      </c>
      <c r="K78" s="10">
        <v>2.5</v>
      </c>
      <c r="L78" s="10">
        <f t="shared" si="35"/>
        <v>2.2696043591565979E-2</v>
      </c>
      <c r="M78" s="10">
        <f t="shared" si="36"/>
        <v>3.3675004615100611E-2</v>
      </c>
      <c r="N78" s="10">
        <v>6</v>
      </c>
      <c r="O78" s="12">
        <f t="shared" si="28"/>
        <v>15</v>
      </c>
      <c r="P78" s="21">
        <f t="shared" si="46"/>
        <v>2.396625914047211</v>
      </c>
      <c r="Q78" s="21">
        <f t="shared" si="43"/>
        <v>0.22746382620972916</v>
      </c>
      <c r="R78" s="21">
        <f t="shared" si="37"/>
        <v>12.37591025974306</v>
      </c>
      <c r="S78" s="21"/>
      <c r="T78" s="21">
        <f t="shared" si="44"/>
        <v>13.644980038870116</v>
      </c>
      <c r="U78" s="13"/>
      <c r="V78" s="21">
        <f>SUM(S78:U78,P78:Q78)</f>
        <v>16.269069779127054</v>
      </c>
      <c r="W78" s="13">
        <f t="shared" si="31"/>
        <v>-1.2690697791270544</v>
      </c>
      <c r="X78">
        <f>AVERAGE(W75:W78)</f>
        <v>-3.4343165399190161</v>
      </c>
      <c r="Y78" s="9">
        <f t="shared" si="39"/>
        <v>15</v>
      </c>
      <c r="Z78" s="10">
        <f t="shared" si="47"/>
        <v>3.5559672940618006</v>
      </c>
      <c r="AA78" s="10">
        <f t="shared" si="40"/>
        <v>0.33749694595350216</v>
      </c>
      <c r="AB78" s="10">
        <f t="shared" si="41"/>
        <v>11.106535759984698</v>
      </c>
      <c r="AC78" s="10"/>
      <c r="AD78" s="10">
        <f t="shared" si="45"/>
        <v>20.245588792958547</v>
      </c>
      <c r="AE78" s="11"/>
      <c r="AF78" s="12">
        <f t="shared" si="42"/>
        <v>24.139053032973852</v>
      </c>
      <c r="AG78" s="13">
        <f t="shared" si="34"/>
        <v>-9.1390530329738517</v>
      </c>
      <c r="AH78">
        <f>AVERAGE(AG75:AG78)</f>
        <v>-11.248040151605672</v>
      </c>
    </row>
    <row r="79" spans="1:34" x14ac:dyDescent="0.25">
      <c r="G79" s="34" t="s">
        <v>150</v>
      </c>
      <c r="H79" s="37" t="s">
        <v>63</v>
      </c>
      <c r="I79" s="38">
        <v>313</v>
      </c>
      <c r="J79" s="3">
        <v>2</v>
      </c>
      <c r="K79" s="3">
        <v>0</v>
      </c>
      <c r="L79" s="3">
        <f t="shared" si="35"/>
        <v>1.4830608860459607E-2</v>
      </c>
      <c r="M79" s="3">
        <f t="shared" si="36"/>
        <v>2.601393760383976E-2</v>
      </c>
      <c r="N79" s="3">
        <v>6</v>
      </c>
      <c r="O79" s="6">
        <f t="shared" si="28"/>
        <v>0</v>
      </c>
      <c r="P79" s="3">
        <f t="shared" si="46"/>
        <v>1.5660624448784488</v>
      </c>
      <c r="Q79" s="3">
        <f t="shared" si="43"/>
        <v>0.14863502631241174</v>
      </c>
      <c r="R79" s="3">
        <f t="shared" si="37"/>
        <v>-1.7146974711908605</v>
      </c>
      <c r="S79" s="3"/>
      <c r="T79" s="3">
        <f t="shared" si="44"/>
        <v>8.9162395661092813</v>
      </c>
      <c r="U79" s="3"/>
      <c r="V79" s="39">
        <f t="shared" si="38"/>
        <v>10.630937037300143</v>
      </c>
      <c r="W79" s="1">
        <f t="shared" si="31"/>
        <v>-10.630937037300143</v>
      </c>
      <c r="Y79" s="6">
        <f t="shared" si="39"/>
        <v>0</v>
      </c>
      <c r="Z79" s="3">
        <f t="shared" si="47"/>
        <v>2.7469843691584068</v>
      </c>
      <c r="AA79" s="3">
        <f t="shared" si="40"/>
        <v>0.26071635605905485</v>
      </c>
      <c r="AB79" s="3">
        <f t="shared" si="41"/>
        <v>-3.0077007252174619</v>
      </c>
      <c r="AC79" s="3"/>
      <c r="AD79" s="3">
        <f t="shared" si="45"/>
        <v>15.639715261593521</v>
      </c>
      <c r="AE79" s="3"/>
      <c r="AF79" s="39">
        <f t="shared" si="42"/>
        <v>18.647415986810984</v>
      </c>
      <c r="AG79" s="1">
        <f t="shared" si="34"/>
        <v>-18.647415986810984</v>
      </c>
    </row>
    <row r="80" spans="1:34" x14ac:dyDescent="0.25">
      <c r="G80" t="s">
        <v>150</v>
      </c>
      <c r="H80" s="19" t="s">
        <v>66</v>
      </c>
      <c r="I80" s="21"/>
      <c r="J80" s="21">
        <v>2</v>
      </c>
      <c r="K80" s="21">
        <v>0</v>
      </c>
      <c r="L80" s="21">
        <f t="shared" si="35"/>
        <v>0</v>
      </c>
      <c r="M80" s="21">
        <f t="shared" si="36"/>
        <v>1.1568672697064795E-2</v>
      </c>
      <c r="N80" s="21">
        <v>6</v>
      </c>
      <c r="O80" s="12">
        <f t="shared" si="28"/>
        <v>0</v>
      </c>
      <c r="P80" s="21">
        <f t="shared" si="46"/>
        <v>0</v>
      </c>
      <c r="Q80" s="21">
        <f t="shared" si="43"/>
        <v>0</v>
      </c>
      <c r="R80" s="21">
        <f t="shared" si="37"/>
        <v>0</v>
      </c>
      <c r="S80" s="21"/>
      <c r="T80" s="21">
        <f t="shared" si="44"/>
        <v>0</v>
      </c>
      <c r="U80" s="21"/>
      <c r="V80" s="8">
        <f t="shared" si="38"/>
        <v>0</v>
      </c>
      <c r="W80" s="2">
        <f t="shared" si="31"/>
        <v>0</v>
      </c>
      <c r="Y80" s="12">
        <f t="shared" si="39"/>
        <v>0</v>
      </c>
      <c r="Z80" s="21">
        <f t="shared" si="47"/>
        <v>1.2216129505152624</v>
      </c>
      <c r="AA80" s="21">
        <f t="shared" si="40"/>
        <v>0.11594331607735603</v>
      </c>
      <c r="AB80" s="21">
        <f t="shared" si="41"/>
        <v>-1.3375562665926184</v>
      </c>
      <c r="AC80" s="21"/>
      <c r="AD80" s="21">
        <f t="shared" si="45"/>
        <v>6.955146494622114</v>
      </c>
      <c r="AE80" s="21"/>
      <c r="AF80" s="8">
        <f t="shared" si="42"/>
        <v>8.2927027612147324</v>
      </c>
      <c r="AG80" s="2">
        <f t="shared" si="34"/>
        <v>-8.2927027612147324</v>
      </c>
    </row>
    <row r="81" spans="1:34" x14ac:dyDescent="0.25">
      <c r="H81" s="19" t="s">
        <v>67</v>
      </c>
      <c r="I81" s="21">
        <v>302</v>
      </c>
      <c r="J81" s="21">
        <v>2</v>
      </c>
      <c r="K81" s="21">
        <v>2.5</v>
      </c>
      <c r="L81" s="21">
        <f t="shared" si="35"/>
        <v>1.4309405354181473E-2</v>
      </c>
      <c r="M81" s="21">
        <f t="shared" si="36"/>
        <v>2.55062765368285E-2</v>
      </c>
      <c r="N81" s="21">
        <v>6</v>
      </c>
      <c r="O81" s="12">
        <f t="shared" si="28"/>
        <v>15</v>
      </c>
      <c r="P81" s="21">
        <f t="shared" si="46"/>
        <v>1.5110251065600369</v>
      </c>
      <c r="Q81" s="21">
        <f>(L81/$H$1)*N81</f>
        <v>0.14341143113849311</v>
      </c>
      <c r="R81" s="21">
        <f t="shared" si="37"/>
        <v>13.34556346230147</v>
      </c>
      <c r="S81" s="21"/>
      <c r="T81" s="21">
        <f t="shared" si="44"/>
        <v>8.6028892938179009</v>
      </c>
      <c r="U81" s="21"/>
      <c r="V81" s="8">
        <f t="shared" si="38"/>
        <v>10.257325831516431</v>
      </c>
      <c r="W81" s="2">
        <f t="shared" si="31"/>
        <v>4.7426741684835694</v>
      </c>
      <c r="Y81" s="12">
        <f>K81*N81</f>
        <v>15</v>
      </c>
      <c r="Z81" s="21">
        <f t="shared" si="47"/>
        <v>2.6933770669057724</v>
      </c>
      <c r="AA81" s="21">
        <f t="shared" si="40"/>
        <v>0.25562848564436258</v>
      </c>
      <c r="AB81" s="21">
        <f t="shared" si="41"/>
        <v>12.050994447449865</v>
      </c>
      <c r="AC81" s="21"/>
      <c r="AD81" s="21">
        <f t="shared" si="45"/>
        <v>15.334506774575358</v>
      </c>
      <c r="AE81" s="21"/>
      <c r="AF81" s="8">
        <f t="shared" si="42"/>
        <v>18.283512327125493</v>
      </c>
      <c r="AG81" s="2">
        <f t="shared" si="34"/>
        <v>-3.2835123271254929</v>
      </c>
    </row>
    <row r="82" spans="1:34" x14ac:dyDescent="0.25">
      <c r="H82" s="19" t="s">
        <v>68</v>
      </c>
      <c r="I82" s="21">
        <v>316</v>
      </c>
      <c r="J82" s="21">
        <v>2</v>
      </c>
      <c r="K82" s="21">
        <v>2.5</v>
      </c>
      <c r="L82" s="21">
        <f t="shared" si="35"/>
        <v>1.4972755271262734E-2</v>
      </c>
      <c r="M82" s="21">
        <f t="shared" si="36"/>
        <v>2.6152390622115562E-2</v>
      </c>
      <c r="N82" s="21">
        <v>6</v>
      </c>
      <c r="O82" s="12">
        <f t="shared" si="28"/>
        <v>15</v>
      </c>
      <c r="P82" s="21">
        <f t="shared" si="46"/>
        <v>1.5810726280561975</v>
      </c>
      <c r="Q82" s="21">
        <f>(L82/$H$1)*N82</f>
        <v>0.15005964317802592</v>
      </c>
      <c r="R82" s="21">
        <f t="shared" si="37"/>
        <v>13.268867728765777</v>
      </c>
      <c r="S82" s="21"/>
      <c r="T82" s="21">
        <f t="shared" si="44"/>
        <v>9.0016987312796601</v>
      </c>
      <c r="U82" s="21"/>
      <c r="V82" s="8">
        <f t="shared" si="38"/>
        <v>10.732831002513883</v>
      </c>
      <c r="W82" s="2">
        <f t="shared" si="31"/>
        <v>4.2671689974861167</v>
      </c>
      <c r="Y82" s="12">
        <f t="shared" si="39"/>
        <v>15</v>
      </c>
      <c r="Z82" s="21">
        <f t="shared" si="47"/>
        <v>2.7616045425000348</v>
      </c>
      <c r="AA82" s="21">
        <f t="shared" si="40"/>
        <v>0.26210395708124368</v>
      </c>
      <c r="AB82" s="21">
        <f t="shared" si="41"/>
        <v>11.976291500418721</v>
      </c>
      <c r="AC82" s="21"/>
      <c r="AD82" s="21">
        <f t="shared" si="45"/>
        <v>15.722953939871203</v>
      </c>
      <c r="AE82" s="21"/>
      <c r="AF82" s="8">
        <f t="shared" si="42"/>
        <v>18.746662439452482</v>
      </c>
      <c r="AG82" s="2">
        <f t="shared" si="34"/>
        <v>-3.7466624394524821</v>
      </c>
    </row>
    <row r="83" spans="1:34" x14ac:dyDescent="0.25">
      <c r="H83" s="19" t="s">
        <v>69</v>
      </c>
      <c r="I83" s="21">
        <v>308</v>
      </c>
      <c r="J83" s="21">
        <v>2</v>
      </c>
      <c r="K83" s="21">
        <v>2.5</v>
      </c>
      <c r="L83" s="21">
        <f t="shared" si="35"/>
        <v>1.4593698175787729E-2</v>
      </c>
      <c r="M83" s="21">
        <f t="shared" si="36"/>
        <v>2.5783182573380099E-2</v>
      </c>
      <c r="N83" s="21">
        <v>6</v>
      </c>
      <c r="O83" s="12">
        <f t="shared" si="28"/>
        <v>15</v>
      </c>
      <c r="P83" s="21">
        <f t="shared" si="46"/>
        <v>1.5410454729155345</v>
      </c>
      <c r="Q83" s="21">
        <f t="shared" ref="Q83:Q84" si="48">(L83/$H$1)*N83</f>
        <v>0.14626066486972147</v>
      </c>
      <c r="R83" s="21">
        <f t="shared" si="37"/>
        <v>13.312693862214743</v>
      </c>
      <c r="S83" s="21"/>
      <c r="T83" s="21">
        <f t="shared" si="44"/>
        <v>8.7738076241586569</v>
      </c>
      <c r="U83" s="21"/>
      <c r="V83" s="8">
        <f t="shared" si="38"/>
        <v>10.461113761943913</v>
      </c>
      <c r="W83" s="2">
        <f t="shared" si="31"/>
        <v>4.5388862380560866</v>
      </c>
      <c r="X83" t="s">
        <v>155</v>
      </c>
      <c r="Y83" s="12">
        <f t="shared" si="39"/>
        <v>15</v>
      </c>
      <c r="Z83" s="21">
        <f t="shared" si="47"/>
        <v>2.722617413589028</v>
      </c>
      <c r="AA83" s="21">
        <f t="shared" si="40"/>
        <v>0.25840368768874017</v>
      </c>
      <c r="AB83" s="21">
        <f t="shared" si="41"/>
        <v>12.018978898722231</v>
      </c>
      <c r="AC83" s="21"/>
      <c r="AD83" s="21">
        <f t="shared" si="45"/>
        <v>15.500984131130719</v>
      </c>
      <c r="AE83" s="21"/>
      <c r="AF83" s="8">
        <f t="shared" si="42"/>
        <v>18.48200523240849</v>
      </c>
      <c r="AG83" s="2">
        <f t="shared" si="34"/>
        <v>-3.4820052324084898</v>
      </c>
      <c r="AH83" t="s">
        <v>155</v>
      </c>
    </row>
    <row r="84" spans="1:34" ht="15.75" thickBot="1" x14ac:dyDescent="0.3">
      <c r="H84" s="20" t="s">
        <v>70</v>
      </c>
      <c r="I84" s="10">
        <v>495</v>
      </c>
      <c r="J84" s="10">
        <v>2</v>
      </c>
      <c r="K84" s="10">
        <v>2.5</v>
      </c>
      <c r="L84" s="10">
        <f t="shared" si="35"/>
        <v>2.3454157782515993E-2</v>
      </c>
      <c r="M84" s="10">
        <f t="shared" si="36"/>
        <v>3.441342071257153E-2</v>
      </c>
      <c r="N84" s="10">
        <v>6</v>
      </c>
      <c r="O84" s="9">
        <f t="shared" si="28"/>
        <v>15</v>
      </c>
      <c r="P84" s="10">
        <f t="shared" si="46"/>
        <v>2.4766802243285375</v>
      </c>
      <c r="Q84" s="10">
        <f t="shared" si="48"/>
        <v>0.23506178282633811</v>
      </c>
      <c r="R84" s="10">
        <f t="shared" si="37"/>
        <v>12.288257992845125</v>
      </c>
      <c r="S84" s="10"/>
      <c r="T84" s="10">
        <f t="shared" si="44"/>
        <v>14.100762253112125</v>
      </c>
      <c r="U84" s="10"/>
      <c r="V84" s="14">
        <f t="shared" si="38"/>
        <v>16.812504260267001</v>
      </c>
      <c r="W84" s="15">
        <f t="shared" si="31"/>
        <v>-1.8125042602670014</v>
      </c>
      <c r="X84">
        <f>AVERAGE(W81:W84)</f>
        <v>2.9340562859396928</v>
      </c>
      <c r="Y84" s="9">
        <f t="shared" si="39"/>
        <v>15</v>
      </c>
      <c r="Z84" s="10">
        <f t="shared" si="47"/>
        <v>3.6339415518838138</v>
      </c>
      <c r="AA84" s="10">
        <f t="shared" si="40"/>
        <v>0.34489748473850906</v>
      </c>
      <c r="AB84" s="10">
        <f t="shared" si="41"/>
        <v>11.021160963377678</v>
      </c>
      <c r="AC84" s="10"/>
      <c r="AD84" s="10">
        <f t="shared" si="45"/>
        <v>20.689528410439507</v>
      </c>
      <c r="AE84" s="10"/>
      <c r="AF84" s="14">
        <f t="shared" si="42"/>
        <v>24.668367447061833</v>
      </c>
      <c r="AG84" s="15">
        <f t="shared" si="34"/>
        <v>-9.6683674470618328</v>
      </c>
      <c r="AH84">
        <f>AVERAGE(AG81:AG84)</f>
        <v>-5.0451368615120744</v>
      </c>
    </row>
    <row r="85" spans="1:34" x14ac:dyDescent="0.25">
      <c r="H85" s="21"/>
      <c r="I85" s="21"/>
    </row>
    <row r="86" spans="1:34" x14ac:dyDescent="0.25">
      <c r="H86" s="21"/>
      <c r="I86" s="21"/>
    </row>
    <row r="89" spans="1:34" x14ac:dyDescent="0.25">
      <c r="A89" t="s">
        <v>78</v>
      </c>
    </row>
    <row r="90" spans="1:34" x14ac:dyDescent="0.25">
      <c r="A90" t="s">
        <v>23</v>
      </c>
      <c r="G90" s="27">
        <v>44413</v>
      </c>
      <c r="H90" s="26" t="s">
        <v>96</v>
      </c>
      <c r="I90" t="s">
        <v>97</v>
      </c>
      <c r="K90" t="s">
        <v>98</v>
      </c>
      <c r="L90" t="s">
        <v>99</v>
      </c>
      <c r="M90" t="s">
        <v>100</v>
      </c>
      <c r="N90" t="s">
        <v>101</v>
      </c>
      <c r="O90" t="s">
        <v>102</v>
      </c>
    </row>
    <row r="91" spans="1:34" x14ac:dyDescent="0.25">
      <c r="A91" t="s">
        <v>1</v>
      </c>
      <c r="H91" t="s">
        <v>103</v>
      </c>
      <c r="I91" t="s">
        <v>108</v>
      </c>
      <c r="J91" t="s">
        <v>20</v>
      </c>
      <c r="K91" t="s">
        <v>4</v>
      </c>
      <c r="L91" t="s">
        <v>104</v>
      </c>
      <c r="M91" t="s">
        <v>104</v>
      </c>
      <c r="N91" t="s">
        <v>104</v>
      </c>
      <c r="O91" t="s">
        <v>4</v>
      </c>
    </row>
    <row r="92" spans="1:34" x14ac:dyDescent="0.25">
      <c r="A92" t="s">
        <v>5</v>
      </c>
      <c r="H92" s="13" t="s">
        <v>77</v>
      </c>
      <c r="I92" s="21"/>
      <c r="K92">
        <v>0</v>
      </c>
      <c r="L92">
        <f>K92*10</f>
        <v>0</v>
      </c>
      <c r="M92">
        <f>(K92*10*10)/($H$1*(10+10))</f>
        <v>0</v>
      </c>
      <c r="N92">
        <f>L92-M92</f>
        <v>0</v>
      </c>
      <c r="O92">
        <f t="shared" ref="O92:O100" si="49">N92/10</f>
        <v>0</v>
      </c>
    </row>
    <row r="93" spans="1:34" x14ac:dyDescent="0.25">
      <c r="A93" s="4"/>
      <c r="H93" s="13" t="s">
        <v>24</v>
      </c>
      <c r="I93" s="21"/>
      <c r="K93">
        <v>0</v>
      </c>
      <c r="L93">
        <f t="shared" ref="L93:L100" si="50">K93*10</f>
        <v>0</v>
      </c>
      <c r="M93">
        <f t="shared" ref="M93:M100" si="51">(K93*10*10)/($H$1*(10+10))</f>
        <v>0</v>
      </c>
      <c r="N93">
        <f t="shared" ref="N93:N100" si="52">L93-M93</f>
        <v>0</v>
      </c>
      <c r="O93">
        <f t="shared" si="49"/>
        <v>0</v>
      </c>
    </row>
    <row r="94" spans="1:34" x14ac:dyDescent="0.25">
      <c r="A94" s="9" t="s">
        <v>12</v>
      </c>
      <c r="B94" s="25"/>
      <c r="C94" t="s">
        <v>105</v>
      </c>
      <c r="D94" t="s">
        <v>106</v>
      </c>
      <c r="H94" s="13" t="s">
        <v>25</v>
      </c>
      <c r="K94">
        <v>0</v>
      </c>
      <c r="L94">
        <f t="shared" si="50"/>
        <v>0</v>
      </c>
      <c r="M94">
        <f t="shared" si="51"/>
        <v>0</v>
      </c>
      <c r="N94">
        <f t="shared" si="52"/>
        <v>0</v>
      </c>
      <c r="O94">
        <f t="shared" si="49"/>
        <v>0</v>
      </c>
    </row>
    <row r="95" spans="1:34" x14ac:dyDescent="0.25">
      <c r="B95" s="11" t="s">
        <v>13</v>
      </c>
      <c r="C95" t="s">
        <v>107</v>
      </c>
      <c r="D95" t="s">
        <v>108</v>
      </c>
      <c r="H95" s="13" t="s">
        <v>45</v>
      </c>
      <c r="I95" s="21">
        <v>682</v>
      </c>
      <c r="K95">
        <v>0.05</v>
      </c>
      <c r="L95">
        <f t="shared" si="50"/>
        <v>0.5</v>
      </c>
      <c r="M95">
        <f t="shared" si="51"/>
        <v>0.41759081873315362</v>
      </c>
      <c r="N95">
        <f t="shared" si="52"/>
        <v>8.2409181266846376E-2</v>
      </c>
      <c r="O95">
        <f t="shared" si="49"/>
        <v>8.2409181266846383E-3</v>
      </c>
    </row>
    <row r="96" spans="1:34" x14ac:dyDescent="0.25">
      <c r="A96">
        <v>1</v>
      </c>
      <c r="B96" s="13" t="s">
        <v>77</v>
      </c>
      <c r="C96">
        <v>0</v>
      </c>
      <c r="D96" s="21"/>
      <c r="H96" s="13" t="s">
        <v>46</v>
      </c>
      <c r="I96" s="21">
        <v>687</v>
      </c>
      <c r="K96">
        <v>0.05</v>
      </c>
      <c r="L96">
        <f t="shared" si="50"/>
        <v>0.5</v>
      </c>
      <c r="M96">
        <f t="shared" si="51"/>
        <v>0.41759081873315362</v>
      </c>
      <c r="N96">
        <f t="shared" si="52"/>
        <v>8.2409181266846376E-2</v>
      </c>
      <c r="O96">
        <f t="shared" si="49"/>
        <v>8.2409181266846383E-3</v>
      </c>
    </row>
    <row r="97" spans="1:34" x14ac:dyDescent="0.25">
      <c r="A97">
        <v>2</v>
      </c>
      <c r="B97" s="13" t="s">
        <v>24</v>
      </c>
      <c r="C97">
        <v>0</v>
      </c>
      <c r="D97" s="21"/>
      <c r="H97" s="13" t="s">
        <v>26</v>
      </c>
      <c r="I97" s="21">
        <v>1550</v>
      </c>
      <c r="K97">
        <v>0.1</v>
      </c>
      <c r="L97">
        <f t="shared" si="50"/>
        <v>1</v>
      </c>
      <c r="M97">
        <f t="shared" si="51"/>
        <v>0.83518163746630725</v>
      </c>
      <c r="N97">
        <f t="shared" si="52"/>
        <v>0.16481836253369275</v>
      </c>
      <c r="O97">
        <f t="shared" si="49"/>
        <v>1.6481836253369277E-2</v>
      </c>
    </row>
    <row r="98" spans="1:34" x14ac:dyDescent="0.25">
      <c r="A98">
        <v>3</v>
      </c>
      <c r="B98" s="13" t="s">
        <v>45</v>
      </c>
      <c r="C98">
        <v>0.05</v>
      </c>
      <c r="D98" s="21">
        <v>682</v>
      </c>
      <c r="H98" s="13" t="s">
        <v>27</v>
      </c>
      <c r="I98" s="21">
        <v>1111</v>
      </c>
      <c r="K98">
        <v>0.1</v>
      </c>
      <c r="L98">
        <f t="shared" si="50"/>
        <v>1</v>
      </c>
      <c r="M98">
        <f t="shared" si="51"/>
        <v>0.83518163746630725</v>
      </c>
      <c r="N98">
        <f t="shared" si="52"/>
        <v>0.16481836253369275</v>
      </c>
      <c r="O98">
        <f t="shared" si="49"/>
        <v>1.6481836253369277E-2</v>
      </c>
    </row>
    <row r="99" spans="1:34" x14ac:dyDescent="0.25">
      <c r="A99">
        <v>4</v>
      </c>
      <c r="B99" s="13" t="s">
        <v>46</v>
      </c>
      <c r="C99">
        <v>0.05</v>
      </c>
      <c r="D99" s="21">
        <v>687</v>
      </c>
      <c r="H99" s="13" t="s">
        <v>28</v>
      </c>
      <c r="I99" s="21">
        <v>6550</v>
      </c>
      <c r="K99">
        <v>0.5</v>
      </c>
      <c r="L99">
        <f t="shared" si="50"/>
        <v>5</v>
      </c>
      <c r="M99">
        <f t="shared" si="51"/>
        <v>4.1759081873315358</v>
      </c>
      <c r="N99">
        <f t="shared" si="52"/>
        <v>0.82409181266846421</v>
      </c>
      <c r="O99">
        <f t="shared" si="49"/>
        <v>8.2409181266846418E-2</v>
      </c>
    </row>
    <row r="100" spans="1:34" x14ac:dyDescent="0.25">
      <c r="A100">
        <v>5</v>
      </c>
      <c r="B100" s="13" t="s">
        <v>26</v>
      </c>
      <c r="C100">
        <v>0.1</v>
      </c>
      <c r="D100" s="21">
        <v>1550</v>
      </c>
      <c r="H100" s="13" t="s">
        <v>29</v>
      </c>
      <c r="I100" s="21">
        <v>6372</v>
      </c>
      <c r="K100">
        <v>0.5</v>
      </c>
      <c r="L100">
        <f t="shared" si="50"/>
        <v>5</v>
      </c>
      <c r="M100">
        <f t="shared" si="51"/>
        <v>4.1759081873315358</v>
      </c>
      <c r="N100">
        <f t="shared" si="52"/>
        <v>0.82409181266846421</v>
      </c>
      <c r="O100">
        <f t="shared" si="49"/>
        <v>8.2409181266846418E-2</v>
      </c>
    </row>
    <row r="101" spans="1:34" x14ac:dyDescent="0.25">
      <c r="A101">
        <v>6</v>
      </c>
      <c r="B101" s="13" t="s">
        <v>27</v>
      </c>
      <c r="C101">
        <v>0.1</v>
      </c>
      <c r="D101" s="21">
        <v>1111</v>
      </c>
    </row>
    <row r="102" spans="1:34" x14ac:dyDescent="0.25">
      <c r="A102">
        <v>7</v>
      </c>
      <c r="B102" s="13" t="s">
        <v>28</v>
      </c>
      <c r="C102">
        <v>0.5</v>
      </c>
      <c r="D102" s="21">
        <v>6550</v>
      </c>
      <c r="S102" s="3" t="s">
        <v>125</v>
      </c>
      <c r="T102" s="3" t="s">
        <v>125</v>
      </c>
      <c r="U102" s="7"/>
      <c r="AC102" s="6" t="s">
        <v>0</v>
      </c>
      <c r="AD102" s="3" t="s">
        <v>125</v>
      </c>
      <c r="AE102" s="7"/>
    </row>
    <row r="103" spans="1:34" x14ac:dyDescent="0.25">
      <c r="A103">
        <v>8</v>
      </c>
      <c r="B103" s="13" t="s">
        <v>29</v>
      </c>
      <c r="C103">
        <v>0.5</v>
      </c>
      <c r="D103" s="21">
        <v>6372</v>
      </c>
      <c r="L103" t="s">
        <v>109</v>
      </c>
      <c r="O103" s="6" t="s">
        <v>110</v>
      </c>
      <c r="P103" s="3"/>
      <c r="Q103" s="3"/>
      <c r="R103" s="3"/>
      <c r="S103" s="4" t="s">
        <v>124</v>
      </c>
      <c r="T103" s="5" t="s">
        <v>126</v>
      </c>
      <c r="U103" s="25" t="s">
        <v>127</v>
      </c>
      <c r="V103" s="4" t="s">
        <v>134</v>
      </c>
      <c r="W103" s="25"/>
      <c r="Y103" s="6" t="s">
        <v>110</v>
      </c>
      <c r="Z103" s="3"/>
      <c r="AA103" s="3"/>
      <c r="AB103" s="3"/>
      <c r="AC103" s="4" t="s">
        <v>124</v>
      </c>
      <c r="AD103" s="5" t="s">
        <v>126</v>
      </c>
      <c r="AE103" s="25" t="s">
        <v>127</v>
      </c>
      <c r="AF103" s="4" t="s">
        <v>134</v>
      </c>
      <c r="AG103" s="25"/>
    </row>
    <row r="104" spans="1:34" x14ac:dyDescent="0.25">
      <c r="A104">
        <v>9</v>
      </c>
      <c r="B104" s="13" t="s">
        <v>79</v>
      </c>
      <c r="D104" s="21">
        <v>285</v>
      </c>
      <c r="L104" t="s">
        <v>111</v>
      </c>
      <c r="O104" s="12" t="s">
        <v>111</v>
      </c>
      <c r="P104" s="32" t="s">
        <v>149</v>
      </c>
      <c r="Q104" s="21"/>
      <c r="R104" s="21" t="s">
        <v>156</v>
      </c>
      <c r="S104" s="21">
        <v>0.83080399164905405</v>
      </c>
      <c r="T104" s="21">
        <v>17.996241775545876</v>
      </c>
      <c r="U104" s="13">
        <v>0.67558471049077207</v>
      </c>
      <c r="V104" s="31" t="s">
        <v>131</v>
      </c>
      <c r="W104" s="33" t="s">
        <v>151</v>
      </c>
      <c r="X104" s="21"/>
      <c r="Y104" s="12" t="s">
        <v>111</v>
      </c>
      <c r="Z104" s="32" t="s">
        <v>149</v>
      </c>
      <c r="AA104" s="21"/>
      <c r="AB104" s="21" t="s">
        <v>156</v>
      </c>
      <c r="AC104" s="21">
        <v>0.83080399164905405</v>
      </c>
      <c r="AD104" s="21">
        <v>17.996241775545876</v>
      </c>
      <c r="AE104" s="13">
        <v>0.67558471049077207</v>
      </c>
      <c r="AF104" s="31" t="s">
        <v>131</v>
      </c>
      <c r="AG104" s="33" t="s">
        <v>151</v>
      </c>
    </row>
    <row r="105" spans="1:34" x14ac:dyDescent="0.25">
      <c r="A105">
        <v>10</v>
      </c>
      <c r="B105" s="13" t="s">
        <v>80</v>
      </c>
      <c r="D105" s="21"/>
      <c r="H105" s="26" t="s">
        <v>3</v>
      </c>
      <c r="I105" t="s">
        <v>97</v>
      </c>
      <c r="K105" t="s">
        <v>112</v>
      </c>
      <c r="L105" t="s">
        <v>113</v>
      </c>
      <c r="N105" t="s">
        <v>114</v>
      </c>
      <c r="O105" s="12" t="s">
        <v>121</v>
      </c>
      <c r="P105" s="17"/>
      <c r="Q105" s="21"/>
      <c r="R105" s="21" t="s">
        <v>157</v>
      </c>
      <c r="S105">
        <v>0.91269999999999996</v>
      </c>
      <c r="T105">
        <v>17.673999999999999</v>
      </c>
      <c r="U105">
        <v>0.61119999999999997</v>
      </c>
      <c r="V105" s="19" t="s">
        <v>132</v>
      </c>
      <c r="W105" s="13" t="s">
        <v>133</v>
      </c>
      <c r="X105" s="21"/>
      <c r="Y105" s="12" t="s">
        <v>122</v>
      </c>
      <c r="Z105" s="17"/>
      <c r="AA105" s="21"/>
      <c r="AB105" s="21" t="s">
        <v>157</v>
      </c>
      <c r="AC105">
        <v>0.91269999999999996</v>
      </c>
      <c r="AD105">
        <v>17.673999999999999</v>
      </c>
      <c r="AE105">
        <v>0.61119999999999997</v>
      </c>
      <c r="AF105" s="19" t="s">
        <v>132</v>
      </c>
      <c r="AG105" s="13" t="s">
        <v>133</v>
      </c>
    </row>
    <row r="106" spans="1:34" x14ac:dyDescent="0.25">
      <c r="A106">
        <v>11</v>
      </c>
      <c r="B106" s="13" t="s">
        <v>81</v>
      </c>
      <c r="D106" s="21">
        <v>1196</v>
      </c>
      <c r="H106" t="s">
        <v>115</v>
      </c>
      <c r="I106" t="s">
        <v>108</v>
      </c>
      <c r="J106" t="s">
        <v>120</v>
      </c>
      <c r="K106" t="s">
        <v>4</v>
      </c>
      <c r="L106" t="s">
        <v>121</v>
      </c>
      <c r="M106" t="s">
        <v>122</v>
      </c>
      <c r="N106" t="s">
        <v>116</v>
      </c>
      <c r="O106" s="9" t="s">
        <v>117</v>
      </c>
      <c r="P106" s="10" t="s">
        <v>118</v>
      </c>
      <c r="Q106" s="10" t="s">
        <v>119</v>
      </c>
      <c r="R106" s="10" t="s">
        <v>123</v>
      </c>
      <c r="S106" s="10" t="s">
        <v>128</v>
      </c>
      <c r="T106" s="10" t="s">
        <v>129</v>
      </c>
      <c r="U106" s="11"/>
      <c r="V106" s="28" t="s">
        <v>130</v>
      </c>
      <c r="W106" s="22" t="s">
        <v>152</v>
      </c>
      <c r="X106" s="17"/>
      <c r="Y106" s="12" t="s">
        <v>117</v>
      </c>
      <c r="Z106" s="21" t="s">
        <v>118</v>
      </c>
      <c r="AA106" s="21" t="s">
        <v>119</v>
      </c>
      <c r="AB106" s="21" t="s">
        <v>123</v>
      </c>
      <c r="AC106" s="10" t="s">
        <v>128</v>
      </c>
      <c r="AD106" s="10" t="s">
        <v>129</v>
      </c>
      <c r="AE106" s="11"/>
      <c r="AF106" s="28" t="s">
        <v>130</v>
      </c>
      <c r="AG106" s="22" t="s">
        <v>152</v>
      </c>
    </row>
    <row r="107" spans="1:34" x14ac:dyDescent="0.25">
      <c r="A107">
        <v>12</v>
      </c>
      <c r="B107" s="13" t="s">
        <v>82</v>
      </c>
      <c r="D107" s="21">
        <v>1349</v>
      </c>
      <c r="G107" s="34" t="s">
        <v>150</v>
      </c>
      <c r="H107" s="37" t="s">
        <v>79</v>
      </c>
      <c r="I107" s="38">
        <v>285</v>
      </c>
      <c r="J107" s="3">
        <v>3</v>
      </c>
      <c r="K107" s="3">
        <v>0</v>
      </c>
      <c r="L107" s="3">
        <f>I107/12944</f>
        <v>2.2017923362175524E-2</v>
      </c>
      <c r="M107" s="3">
        <f>(I107-44.921)/12833</f>
        <v>1.8707940465986131E-2</v>
      </c>
      <c r="N107" s="3">
        <v>6</v>
      </c>
      <c r="O107" s="6">
        <f t="shared" ref="O107:O118" si="53">K107*N107</f>
        <v>0</v>
      </c>
      <c r="P107" s="3">
        <f>L107*$AB$13</f>
        <v>2.3438702567810248</v>
      </c>
      <c r="Q107" s="3">
        <f>(L107/$H$1)*N107</f>
        <v>0.22066758344675297</v>
      </c>
      <c r="R107" s="3">
        <f>O107-(P107+Q107)</f>
        <v>-2.5645378402277776</v>
      </c>
      <c r="S107" s="3"/>
      <c r="T107" s="3"/>
      <c r="U107" s="7">
        <f t="shared" ref="U107:U118" si="54">(U$104*(Q107/N107))*20</f>
        <v>0.49693215159190962</v>
      </c>
      <c r="V107" s="3">
        <f>SUM(S107:U107,P107:Q107)</f>
        <v>3.0614699918196875</v>
      </c>
      <c r="W107" s="7">
        <f t="shared" ref="W107:W118" si="55">O107-V107</f>
        <v>-3.0614699918196875</v>
      </c>
      <c r="Y107" s="6">
        <f>K107*N107</f>
        <v>0</v>
      </c>
      <c r="Z107" s="3">
        <f>M107*$AB$13</f>
        <v>1.9915132096055423</v>
      </c>
      <c r="AA107" s="3">
        <f t="shared" ref="AA107:AA118" si="56">(M107/$H$1)*N107</f>
        <v>0.18749434022405384</v>
      </c>
      <c r="AB107" s="3">
        <f>Y107-(Z107+AA107)</f>
        <v>-2.179007549829596</v>
      </c>
      <c r="AC107" s="3"/>
      <c r="AD107" s="3"/>
      <c r="AE107" s="7">
        <f t="shared" ref="AE107:AE118" si="57">(AE$104*(AA107/N107))*20</f>
        <v>0.42222769852975245</v>
      </c>
      <c r="AF107" s="6">
        <f t="shared" ref="AF107" si="58">SUM(AC107:AE107,Z107:AA107)</f>
        <v>2.6012352483593486</v>
      </c>
      <c r="AG107" s="7">
        <f t="shared" ref="AG107" si="59">Y107-AF107</f>
        <v>-2.6012352483593486</v>
      </c>
    </row>
    <row r="108" spans="1:34" x14ac:dyDescent="0.25">
      <c r="A108">
        <v>13</v>
      </c>
      <c r="B108" s="13" t="s">
        <v>25</v>
      </c>
      <c r="C108">
        <v>0</v>
      </c>
      <c r="D108" s="21"/>
      <c r="G108" t="s">
        <v>150</v>
      </c>
      <c r="H108" s="19" t="s">
        <v>80</v>
      </c>
      <c r="I108" s="21"/>
      <c r="J108" s="21">
        <v>3</v>
      </c>
      <c r="K108" s="21">
        <v>0</v>
      </c>
      <c r="L108" s="21">
        <f t="shared" ref="L108:L118" si="60">I108/12944</f>
        <v>0</v>
      </c>
      <c r="M108" s="21">
        <f t="shared" ref="M108:M118" si="61">(I108-44.921)/12833</f>
        <v>-3.500428582560586E-3</v>
      </c>
      <c r="N108" s="21">
        <v>6</v>
      </c>
      <c r="O108" s="12">
        <f t="shared" si="53"/>
        <v>0</v>
      </c>
      <c r="P108" s="21">
        <f t="shared" ref="P108:P118" si="62">L108*$AB$13</f>
        <v>0</v>
      </c>
      <c r="Q108" s="21">
        <f>(L108/$H$1)*N108</f>
        <v>0</v>
      </c>
      <c r="R108" s="21">
        <f t="shared" ref="R108:R118" si="63">O108-(P108+Q108)</f>
        <v>0</v>
      </c>
      <c r="S108" s="21"/>
      <c r="T108" s="21"/>
      <c r="U108" s="13">
        <f t="shared" si="54"/>
        <v>0</v>
      </c>
      <c r="V108" s="21">
        <f t="shared" ref="V108:V118" si="64">SUM(S108:U108,P108:Q108)</f>
        <v>0</v>
      </c>
      <c r="W108" s="13">
        <f t="shared" si="55"/>
        <v>0</v>
      </c>
      <c r="Y108" s="12">
        <f t="shared" ref="Y108:Y118" si="65">K108*N108</f>
        <v>0</v>
      </c>
      <c r="Z108" s="21">
        <f t="shared" ref="Z108:Z118" si="66">M108*$AB$13</f>
        <v>-0.37263052948692127</v>
      </c>
      <c r="AA108" s="21">
        <f t="shared" si="56"/>
        <v>-3.5081924105001779E-2</v>
      </c>
      <c r="AB108" s="21">
        <f t="shared" ref="AB108:AB118" si="67">Y108-(Z108+AA108)</f>
        <v>0.40771245359192304</v>
      </c>
      <c r="AC108" s="21"/>
      <c r="AD108" s="21"/>
      <c r="AE108" s="13">
        <f t="shared" si="57"/>
        <v>-7.9002705133122894E-2</v>
      </c>
      <c r="AF108" s="12">
        <f t="shared" ref="AF108:AF118" si="68">SUM(AC108:AE108,Z108:AA108)</f>
        <v>-0.48671515872504595</v>
      </c>
      <c r="AG108" s="13">
        <f t="shared" ref="AG108:AG118" si="69">Y108-AF108</f>
        <v>0.48671515872504595</v>
      </c>
    </row>
    <row r="109" spans="1:34" x14ac:dyDescent="0.25">
      <c r="A109">
        <v>14</v>
      </c>
      <c r="B109" s="13" t="s">
        <v>83</v>
      </c>
      <c r="D109" s="21">
        <v>938</v>
      </c>
      <c r="H109" s="19" t="s">
        <v>81</v>
      </c>
      <c r="I109" s="21">
        <v>1196</v>
      </c>
      <c r="J109" s="21">
        <v>3</v>
      </c>
      <c r="K109" s="21">
        <v>2.5</v>
      </c>
      <c r="L109" s="21">
        <f t="shared" si="60"/>
        <v>9.2398022249690973E-2</v>
      </c>
      <c r="M109" s="21">
        <f t="shared" si="61"/>
        <v>8.9696797319410895E-2</v>
      </c>
      <c r="N109" s="21">
        <v>6</v>
      </c>
      <c r="O109" s="12">
        <f t="shared" si="53"/>
        <v>15</v>
      </c>
      <c r="P109" s="21">
        <f t="shared" si="62"/>
        <v>9.8360309723161592</v>
      </c>
      <c r="Q109" s="21">
        <f t="shared" ref="Q109:Q118" si="70">(L109/$H$1)*N109</f>
        <v>0.92602957825374244</v>
      </c>
      <c r="R109" s="21">
        <f t="shared" si="63"/>
        <v>4.2379394494300975</v>
      </c>
      <c r="S109" s="21"/>
      <c r="T109" s="21"/>
      <c r="U109" s="13">
        <f t="shared" si="54"/>
        <v>2.0853714151014877</v>
      </c>
      <c r="V109" s="21">
        <f t="shared" si="64"/>
        <v>12.84743196567139</v>
      </c>
      <c r="W109" s="13">
        <f t="shared" si="55"/>
        <v>2.1525680343286098</v>
      </c>
      <c r="Y109" s="12">
        <f t="shared" si="65"/>
        <v>15</v>
      </c>
      <c r="Z109" s="21">
        <f t="shared" si="66"/>
        <v>9.5484779335116272</v>
      </c>
      <c r="AA109" s="21">
        <f t="shared" si="56"/>
        <v>0.89895741672850882</v>
      </c>
      <c r="AB109" s="21">
        <f t="shared" si="67"/>
        <v>4.552564649759864</v>
      </c>
      <c r="AC109" s="21"/>
      <c r="AD109" s="21"/>
      <c r="AE109" s="13">
        <f t="shared" si="57"/>
        <v>2.0244062870802066</v>
      </c>
      <c r="AF109" s="12">
        <f t="shared" si="68"/>
        <v>12.471841637320344</v>
      </c>
      <c r="AG109" s="13">
        <f>Y109-AF109</f>
        <v>2.5281583626796564</v>
      </c>
    </row>
    <row r="110" spans="1:34" x14ac:dyDescent="0.25">
      <c r="A110">
        <v>15</v>
      </c>
      <c r="B110" s="13" t="s">
        <v>84</v>
      </c>
      <c r="D110" s="21">
        <v>1068</v>
      </c>
      <c r="H110" s="19" t="s">
        <v>82</v>
      </c>
      <c r="I110" s="21">
        <v>1349</v>
      </c>
      <c r="J110" s="21">
        <v>3</v>
      </c>
      <c r="K110" s="21">
        <v>2.5</v>
      </c>
      <c r="L110" s="21">
        <f t="shared" si="60"/>
        <v>0.10421817058096415</v>
      </c>
      <c r="M110" s="21">
        <f t="shared" si="61"/>
        <v>0.10161918491389386</v>
      </c>
      <c r="N110" s="21">
        <v>6</v>
      </c>
      <c r="O110" s="12">
        <f t="shared" si="53"/>
        <v>15</v>
      </c>
      <c r="P110" s="21">
        <f t="shared" si="62"/>
        <v>11.094319215430184</v>
      </c>
      <c r="Q110" s="21">
        <f t="shared" si="70"/>
        <v>1.0444932283146309</v>
      </c>
      <c r="R110" s="21">
        <f t="shared" si="63"/>
        <v>2.8611875562551852</v>
      </c>
      <c r="S110" s="21"/>
      <c r="T110" s="21"/>
      <c r="U110" s="13">
        <f t="shared" si="54"/>
        <v>2.3521455175350394</v>
      </c>
      <c r="V110" s="21">
        <f t="shared" si="64"/>
        <v>14.490957961279854</v>
      </c>
      <c r="W110" s="13">
        <f t="shared" si="55"/>
        <v>0.50904203872014619</v>
      </c>
      <c r="Y110" s="12">
        <f t="shared" si="65"/>
        <v>15</v>
      </c>
      <c r="Z110" s="21">
        <f t="shared" si="66"/>
        <v>10.817649835550739</v>
      </c>
      <c r="AA110" s="21">
        <f t="shared" si="56"/>
        <v>1.018445727052528</v>
      </c>
      <c r="AB110" s="21">
        <f t="shared" si="67"/>
        <v>3.1639044373967327</v>
      </c>
      <c r="AC110" s="21"/>
      <c r="AD110" s="21"/>
      <c r="AE110" s="13">
        <f t="shared" si="57"/>
        <v>2.2934878722044867</v>
      </c>
      <c r="AF110" s="12">
        <f t="shared" si="68"/>
        <v>14.129583434807754</v>
      </c>
      <c r="AG110" s="13">
        <f t="shared" si="69"/>
        <v>0.87041656519224553</v>
      </c>
    </row>
    <row r="111" spans="1:34" x14ac:dyDescent="0.25">
      <c r="A111">
        <v>16</v>
      </c>
      <c r="B111" s="13" t="s">
        <v>85</v>
      </c>
      <c r="D111" s="21"/>
      <c r="H111" s="19" t="s">
        <v>83</v>
      </c>
      <c r="I111" s="21">
        <v>938</v>
      </c>
      <c r="J111" s="21">
        <v>3</v>
      </c>
      <c r="K111" s="21">
        <v>2.5</v>
      </c>
      <c r="L111" s="21">
        <f t="shared" si="60"/>
        <v>7.2466007416563658E-2</v>
      </c>
      <c r="M111" s="21">
        <f t="shared" si="61"/>
        <v>6.959237902283176E-2</v>
      </c>
      <c r="N111" s="21">
        <v>6</v>
      </c>
      <c r="O111" s="12">
        <f t="shared" si="53"/>
        <v>15</v>
      </c>
      <c r="P111" s="21">
        <f t="shared" si="62"/>
        <v>7.7142115819670218</v>
      </c>
      <c r="Q111" s="21">
        <f t="shared" si="70"/>
        <v>0.72626734481773436</v>
      </c>
      <c r="R111" s="21">
        <f t="shared" si="63"/>
        <v>6.5595210732152438</v>
      </c>
      <c r="S111" s="21"/>
      <c r="T111" s="21"/>
      <c r="U111" s="13">
        <f t="shared" si="54"/>
        <v>1.6355170462919695</v>
      </c>
      <c r="V111" s="21">
        <f t="shared" si="64"/>
        <v>10.075995973076726</v>
      </c>
      <c r="W111" s="13">
        <f t="shared" si="55"/>
        <v>4.9240040269232743</v>
      </c>
      <c r="X111" t="s">
        <v>155</v>
      </c>
      <c r="Y111" s="12">
        <f t="shared" si="65"/>
        <v>15</v>
      </c>
      <c r="Z111" s="21">
        <f t="shared" si="66"/>
        <v>7.4083057065437128</v>
      </c>
      <c r="AA111" s="21">
        <f t="shared" si="56"/>
        <v>0.69746732480957419</v>
      </c>
      <c r="AB111" s="21">
        <f t="shared" si="67"/>
        <v>6.8942269686467128</v>
      </c>
      <c r="AC111" s="21"/>
      <c r="AD111" s="21"/>
      <c r="AE111" s="13">
        <f t="shared" si="57"/>
        <v>1.5706608690274981</v>
      </c>
      <c r="AF111" s="12">
        <f t="shared" si="68"/>
        <v>9.6764339003807844</v>
      </c>
      <c r="AG111" s="13">
        <f t="shared" si="69"/>
        <v>5.3235660996192156</v>
      </c>
      <c r="AH111" t="s">
        <v>155</v>
      </c>
    </row>
    <row r="112" spans="1:34" ht="15.75" thickBot="1" x14ac:dyDescent="0.3">
      <c r="A112">
        <v>17</v>
      </c>
      <c r="B112" s="13" t="s">
        <v>86</v>
      </c>
      <c r="D112" s="21"/>
      <c r="H112" s="20" t="s">
        <v>84</v>
      </c>
      <c r="I112" s="10">
        <v>1068</v>
      </c>
      <c r="J112" s="10">
        <v>3</v>
      </c>
      <c r="K112" s="10">
        <v>2.5</v>
      </c>
      <c r="L112" s="10">
        <f t="shared" si="60"/>
        <v>8.2509270704573548E-2</v>
      </c>
      <c r="M112" s="10">
        <f t="shared" si="61"/>
        <v>7.9722512273046053E-2</v>
      </c>
      <c r="N112" s="10">
        <v>6</v>
      </c>
      <c r="O112" s="9">
        <f t="shared" si="53"/>
        <v>15</v>
      </c>
      <c r="P112" s="10">
        <f t="shared" si="62"/>
        <v>8.7833453833057344</v>
      </c>
      <c r="Q112" s="10">
        <f t="shared" si="70"/>
        <v>0.82692273375835845</v>
      </c>
      <c r="R112" s="10">
        <f t="shared" si="63"/>
        <v>5.3897318829359069</v>
      </c>
      <c r="S112" s="10"/>
      <c r="T112" s="10"/>
      <c r="U112" s="11">
        <f t="shared" si="54"/>
        <v>1.8621878522812612</v>
      </c>
      <c r="V112" s="21">
        <f t="shared" si="64"/>
        <v>11.472455969345354</v>
      </c>
      <c r="W112" s="13">
        <f t="shared" si="55"/>
        <v>3.5275440306546457</v>
      </c>
      <c r="X112">
        <f>AVERAGE(W109:W112)</f>
        <v>2.778289532656669</v>
      </c>
      <c r="Y112" s="9">
        <f t="shared" si="65"/>
        <v>15</v>
      </c>
      <c r="Z112" s="10">
        <f t="shared" si="66"/>
        <v>8.4866870612174683</v>
      </c>
      <c r="AA112" s="10">
        <f t="shared" si="56"/>
        <v>0.79899334011756462</v>
      </c>
      <c r="AB112" s="10">
        <f t="shared" si="67"/>
        <v>5.714319598664968</v>
      </c>
      <c r="AC112" s="10"/>
      <c r="AD112" s="10"/>
      <c r="AE112" s="11">
        <f t="shared" si="57"/>
        <v>1.7992922812245995</v>
      </c>
      <c r="AF112" s="12">
        <f t="shared" si="68"/>
        <v>11.084972682559634</v>
      </c>
      <c r="AG112" s="13">
        <f t="shared" si="69"/>
        <v>3.9150273174403658</v>
      </c>
      <c r="AH112">
        <f>AVERAGE(AG109:AG112)</f>
        <v>3.1592920862328708</v>
      </c>
    </row>
    <row r="113" spans="1:34" x14ac:dyDescent="0.25">
      <c r="A113">
        <v>18</v>
      </c>
      <c r="B113" s="13" t="s">
        <v>87</v>
      </c>
      <c r="D113" s="21">
        <v>769</v>
      </c>
      <c r="G113" t="s">
        <v>150</v>
      </c>
      <c r="H113" s="18" t="s">
        <v>85</v>
      </c>
      <c r="I113" s="3"/>
      <c r="J113" s="3">
        <v>3</v>
      </c>
      <c r="K113" s="3">
        <v>0</v>
      </c>
      <c r="L113" s="3">
        <f t="shared" si="60"/>
        <v>0</v>
      </c>
      <c r="M113" s="3">
        <f t="shared" si="61"/>
        <v>-3.500428582560586E-3</v>
      </c>
      <c r="N113" s="3">
        <v>6</v>
      </c>
      <c r="O113" s="6">
        <f t="shared" si="53"/>
        <v>0</v>
      </c>
      <c r="P113" s="3">
        <f t="shared" si="62"/>
        <v>0</v>
      </c>
      <c r="Q113" s="3">
        <f t="shared" si="70"/>
        <v>0</v>
      </c>
      <c r="R113" s="3">
        <f t="shared" si="63"/>
        <v>0</v>
      </c>
      <c r="S113" s="3"/>
      <c r="T113" s="3"/>
      <c r="U113" s="3">
        <f t="shared" si="54"/>
        <v>0</v>
      </c>
      <c r="V113" s="39">
        <f t="shared" si="64"/>
        <v>0</v>
      </c>
      <c r="W113" s="1">
        <f t="shared" si="55"/>
        <v>0</v>
      </c>
      <c r="Y113" s="6">
        <f t="shared" si="65"/>
        <v>0</v>
      </c>
      <c r="Z113" s="3">
        <f t="shared" si="66"/>
        <v>-0.37263052948692127</v>
      </c>
      <c r="AA113" s="3">
        <f t="shared" si="56"/>
        <v>-3.5081924105001779E-2</v>
      </c>
      <c r="AB113" s="3">
        <f t="shared" si="67"/>
        <v>0.40771245359192304</v>
      </c>
      <c r="AC113" s="3"/>
      <c r="AD113" s="3"/>
      <c r="AE113" s="3">
        <f t="shared" si="57"/>
        <v>-7.9002705133122894E-2</v>
      </c>
      <c r="AF113" s="39">
        <f t="shared" si="68"/>
        <v>-0.48671515872504595</v>
      </c>
      <c r="AG113" s="1">
        <f t="shared" si="69"/>
        <v>0.48671515872504595</v>
      </c>
    </row>
    <row r="114" spans="1:34" x14ac:dyDescent="0.25">
      <c r="A114">
        <v>19</v>
      </c>
      <c r="B114" s="13" t="s">
        <v>88</v>
      </c>
      <c r="D114" s="21">
        <v>935</v>
      </c>
      <c r="G114" t="s">
        <v>150</v>
      </c>
      <c r="H114" s="19" t="s">
        <v>86</v>
      </c>
      <c r="I114" s="21"/>
      <c r="J114" s="21">
        <v>3</v>
      </c>
      <c r="K114" s="21">
        <v>0</v>
      </c>
      <c r="L114" s="21">
        <f t="shared" si="60"/>
        <v>0</v>
      </c>
      <c r="M114" s="21">
        <f t="shared" si="61"/>
        <v>-3.500428582560586E-3</v>
      </c>
      <c r="N114" s="21">
        <v>6</v>
      </c>
      <c r="O114" s="12">
        <f t="shared" si="53"/>
        <v>0</v>
      </c>
      <c r="P114" s="21">
        <f t="shared" si="62"/>
        <v>0</v>
      </c>
      <c r="Q114" s="21">
        <f t="shared" si="70"/>
        <v>0</v>
      </c>
      <c r="R114" s="21">
        <f t="shared" si="63"/>
        <v>0</v>
      </c>
      <c r="S114" s="21"/>
      <c r="T114" s="21"/>
      <c r="U114" s="21">
        <f t="shared" si="54"/>
        <v>0</v>
      </c>
      <c r="V114" s="8">
        <f t="shared" si="64"/>
        <v>0</v>
      </c>
      <c r="W114" s="2">
        <f t="shared" si="55"/>
        <v>0</v>
      </c>
      <c r="Y114" s="12">
        <f t="shared" si="65"/>
        <v>0</v>
      </c>
      <c r="Z114" s="21">
        <f t="shared" si="66"/>
        <v>-0.37263052948692127</v>
      </c>
      <c r="AA114" s="21">
        <f t="shared" si="56"/>
        <v>-3.5081924105001779E-2</v>
      </c>
      <c r="AB114" s="21">
        <f t="shared" si="67"/>
        <v>0.40771245359192304</v>
      </c>
      <c r="AC114" s="21"/>
      <c r="AD114" s="21"/>
      <c r="AE114" s="21">
        <f t="shared" si="57"/>
        <v>-7.9002705133122894E-2</v>
      </c>
      <c r="AF114" s="8">
        <f t="shared" si="68"/>
        <v>-0.48671515872504595</v>
      </c>
      <c r="AG114" s="2">
        <f t="shared" si="69"/>
        <v>0.48671515872504595</v>
      </c>
    </row>
    <row r="115" spans="1:34" x14ac:dyDescent="0.25">
      <c r="A115">
        <v>20</v>
      </c>
      <c r="B115" s="13" t="s">
        <v>89</v>
      </c>
      <c r="D115" s="21">
        <v>921</v>
      </c>
      <c r="H115" s="19" t="s">
        <v>87</v>
      </c>
      <c r="I115" s="21">
        <v>769</v>
      </c>
      <c r="J115" s="21">
        <v>3</v>
      </c>
      <c r="K115" s="21">
        <v>2.5</v>
      </c>
      <c r="L115" s="21">
        <f t="shared" si="60"/>
        <v>5.9409765142150801E-2</v>
      </c>
      <c r="M115" s="21">
        <f t="shared" si="61"/>
        <v>5.642320579755318E-2</v>
      </c>
      <c r="N115" s="21">
        <v>6</v>
      </c>
      <c r="O115" s="12">
        <f t="shared" si="53"/>
        <v>15</v>
      </c>
      <c r="P115" s="21">
        <f t="shared" si="62"/>
        <v>6.3243376402266946</v>
      </c>
      <c r="Q115" s="21">
        <f t="shared" si="70"/>
        <v>0.59541533919492295</v>
      </c>
      <c r="R115" s="21">
        <f t="shared" si="63"/>
        <v>8.0802470205783834</v>
      </c>
      <c r="S115" s="21"/>
      <c r="T115" s="21"/>
      <c r="U115" s="21">
        <f t="shared" si="54"/>
        <v>1.3408449985058897</v>
      </c>
      <c r="V115" s="8">
        <f t="shared" si="64"/>
        <v>8.2605979779275085</v>
      </c>
      <c r="W115" s="2">
        <f t="shared" si="55"/>
        <v>6.7394020220724915</v>
      </c>
      <c r="Y115" s="12">
        <f t="shared" si="65"/>
        <v>15</v>
      </c>
      <c r="Z115" s="21">
        <f t="shared" si="66"/>
        <v>6.0064099454678308</v>
      </c>
      <c r="AA115" s="21">
        <f t="shared" si="56"/>
        <v>0.56548350490918686</v>
      </c>
      <c r="AB115" s="21">
        <f t="shared" si="67"/>
        <v>8.4281065496229814</v>
      </c>
      <c r="AC115" s="21"/>
      <c r="AD115" s="21"/>
      <c r="AE115" s="21">
        <f t="shared" si="57"/>
        <v>1.273440033171267</v>
      </c>
      <c r="AF115" s="8">
        <f t="shared" si="68"/>
        <v>7.8453334835482842</v>
      </c>
      <c r="AG115" s="2">
        <f t="shared" si="69"/>
        <v>7.1546665164517158</v>
      </c>
    </row>
    <row r="116" spans="1:34" x14ac:dyDescent="0.25">
      <c r="A116">
        <v>21</v>
      </c>
      <c r="B116" s="13" t="s">
        <v>90</v>
      </c>
      <c r="D116" s="21">
        <v>871</v>
      </c>
      <c r="H116" s="19" t="s">
        <v>88</v>
      </c>
      <c r="I116" s="21">
        <v>935</v>
      </c>
      <c r="J116" s="21">
        <v>3</v>
      </c>
      <c r="K116" s="21">
        <v>2.5</v>
      </c>
      <c r="L116" s="21">
        <f t="shared" si="60"/>
        <v>7.2234239802224973E-2</v>
      </c>
      <c r="M116" s="21">
        <f t="shared" si="61"/>
        <v>6.9358606717057583E-2</v>
      </c>
      <c r="N116" s="21">
        <v>6</v>
      </c>
      <c r="O116" s="12">
        <f t="shared" si="53"/>
        <v>15</v>
      </c>
      <c r="P116" s="21">
        <f t="shared" si="62"/>
        <v>7.6895392634745905</v>
      </c>
      <c r="Q116" s="21">
        <f t="shared" si="70"/>
        <v>0.72394452814987387</v>
      </c>
      <c r="R116" s="21">
        <f t="shared" si="63"/>
        <v>6.5865162083755351</v>
      </c>
      <c r="S116" s="21"/>
      <c r="T116" s="21"/>
      <c r="U116" s="21">
        <f t="shared" si="54"/>
        <v>1.6302861815383705</v>
      </c>
      <c r="V116" s="8">
        <f t="shared" si="64"/>
        <v>10.043769973162835</v>
      </c>
      <c r="W116" s="2">
        <f t="shared" si="55"/>
        <v>4.9562300268371651</v>
      </c>
      <c r="Y116" s="12">
        <f t="shared" si="65"/>
        <v>15</v>
      </c>
      <c r="Z116" s="21">
        <f t="shared" si="66"/>
        <v>7.3834199829743188</v>
      </c>
      <c r="AA116" s="21">
        <f t="shared" si="56"/>
        <v>0.69512441676400516</v>
      </c>
      <c r="AB116" s="21">
        <f t="shared" si="67"/>
        <v>6.9214556002616767</v>
      </c>
      <c r="AC116" s="21"/>
      <c r="AD116" s="21"/>
      <c r="AE116" s="21">
        <f t="shared" si="57"/>
        <v>1.5653847595152572</v>
      </c>
      <c r="AF116" s="8">
        <f t="shared" si="68"/>
        <v>9.643929159253581</v>
      </c>
      <c r="AG116" s="2">
        <f t="shared" si="69"/>
        <v>5.356070840746419</v>
      </c>
    </row>
    <row r="117" spans="1:34" x14ac:dyDescent="0.25">
      <c r="D117" s="21"/>
      <c r="H117" s="19" t="s">
        <v>89</v>
      </c>
      <c r="I117" s="21">
        <v>921</v>
      </c>
      <c r="J117" s="21">
        <v>3</v>
      </c>
      <c r="K117" s="21">
        <v>2.5</v>
      </c>
      <c r="L117" s="21">
        <f t="shared" si="60"/>
        <v>7.1152657601977753E-2</v>
      </c>
      <c r="M117" s="21">
        <f t="shared" si="61"/>
        <v>6.8267669290111424E-2</v>
      </c>
      <c r="N117" s="21">
        <v>6</v>
      </c>
      <c r="O117" s="12">
        <f t="shared" si="53"/>
        <v>15</v>
      </c>
      <c r="P117" s="21">
        <f t="shared" si="62"/>
        <v>7.5744017771765755</v>
      </c>
      <c r="Q117" s="21">
        <f t="shared" si="70"/>
        <v>0.71310471703319123</v>
      </c>
      <c r="R117" s="21">
        <f t="shared" si="63"/>
        <v>6.7124935057902331</v>
      </c>
      <c r="S117" s="21"/>
      <c r="T117" s="21"/>
      <c r="U117" s="21">
        <f t="shared" si="54"/>
        <v>1.6058754793549079</v>
      </c>
      <c r="V117" s="8">
        <f t="shared" si="64"/>
        <v>9.893381973564674</v>
      </c>
      <c r="W117" s="2">
        <f t="shared" si="55"/>
        <v>5.106618026435326</v>
      </c>
      <c r="X117" t="s">
        <v>155</v>
      </c>
      <c r="Y117" s="12">
        <f t="shared" si="65"/>
        <v>15</v>
      </c>
      <c r="Z117" s="21">
        <f t="shared" si="66"/>
        <v>7.2672866063171444</v>
      </c>
      <c r="AA117" s="21">
        <f t="shared" si="56"/>
        <v>0.68419084588468315</v>
      </c>
      <c r="AB117" s="21">
        <f t="shared" si="67"/>
        <v>7.0485225477981723</v>
      </c>
      <c r="AC117" s="21"/>
      <c r="AD117" s="21"/>
      <c r="AE117" s="21">
        <f t="shared" si="57"/>
        <v>1.5407629151248003</v>
      </c>
      <c r="AF117" s="8">
        <f t="shared" si="68"/>
        <v>9.4922403673266267</v>
      </c>
      <c r="AG117" s="2">
        <f t="shared" si="69"/>
        <v>5.5077596326733733</v>
      </c>
      <c r="AH117" t="s">
        <v>155</v>
      </c>
    </row>
    <row r="118" spans="1:34" ht="15.75" thickBot="1" x14ac:dyDescent="0.3">
      <c r="D118" s="21"/>
      <c r="H118" s="20" t="s">
        <v>90</v>
      </c>
      <c r="I118" s="10">
        <v>871</v>
      </c>
      <c r="J118" s="10">
        <v>3</v>
      </c>
      <c r="K118" s="10">
        <v>2.5</v>
      </c>
      <c r="L118" s="10">
        <f t="shared" si="60"/>
        <v>6.728986402966626E-2</v>
      </c>
      <c r="M118" s="10">
        <f t="shared" si="61"/>
        <v>6.4371464193875155E-2</v>
      </c>
      <c r="N118" s="10">
        <v>6</v>
      </c>
      <c r="O118" s="9">
        <f t="shared" si="53"/>
        <v>15</v>
      </c>
      <c r="P118" s="10">
        <f t="shared" si="62"/>
        <v>7.1631964689693781</v>
      </c>
      <c r="Q118" s="10">
        <f t="shared" si="70"/>
        <v>0.67439110590218199</v>
      </c>
      <c r="R118" s="10">
        <f t="shared" si="63"/>
        <v>7.1624124251284398</v>
      </c>
      <c r="S118" s="10"/>
      <c r="T118" s="10"/>
      <c r="U118" s="10">
        <f t="shared" si="54"/>
        <v>1.5186944001282574</v>
      </c>
      <c r="V118" s="14">
        <f t="shared" si="64"/>
        <v>9.356281974999817</v>
      </c>
      <c r="W118" s="15">
        <f t="shared" si="55"/>
        <v>5.643718025000183</v>
      </c>
      <c r="X118">
        <f>AVERAGE(W115:W118)</f>
        <v>5.6114920250862914</v>
      </c>
      <c r="Y118" s="9">
        <f t="shared" si="65"/>
        <v>15</v>
      </c>
      <c r="Z118" s="10">
        <f t="shared" si="66"/>
        <v>6.8525245468272384</v>
      </c>
      <c r="AA118" s="10">
        <f t="shared" si="56"/>
        <v>0.64514237845853295</v>
      </c>
      <c r="AB118" s="10">
        <f t="shared" si="67"/>
        <v>7.5023330747142287</v>
      </c>
      <c r="AC118" s="10"/>
      <c r="AD118" s="10"/>
      <c r="AE118" s="10">
        <f t="shared" si="57"/>
        <v>1.4528277565874537</v>
      </c>
      <c r="AF118" s="14">
        <f t="shared" si="68"/>
        <v>8.9504946818732254</v>
      </c>
      <c r="AG118" s="15">
        <f t="shared" si="69"/>
        <v>6.0495053181267746</v>
      </c>
      <c r="AH118">
        <f>AVERAGE(AG115:AG118)</f>
        <v>6.0170005769995711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Raw</vt:lpstr>
      <vt:lpstr>Processing_final</vt:lpstr>
      <vt:lpstr>Processing1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2021-08-03T07:50:37Z</dcterms:created>
  <dcterms:modified xsi:type="dcterms:W3CDTF">2021-09-03T17:11:48Z</dcterms:modified>
</cp:coreProperties>
</file>