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um Geo\M.Sc\OSLO\MA_PFC\GC-MS\Part_Exp_C\"/>
    </mc:Choice>
  </mc:AlternateContent>
  <xr:revisionPtr revIDLastSave="0" documentId="13_ncr:1_{F3924A0B-2DAD-4C90-8A7A-440DBAD8819B}" xr6:coauthVersionLast="46" xr6:coauthVersionMax="46" xr10:uidLastSave="{00000000-0000-0000-0000-000000000000}"/>
  <bookViews>
    <workbookView xWindow="20370" yWindow="-120" windowWidth="29040" windowHeight="15840" activeTab="1" xr2:uid="{4E002018-FBE7-43BB-BB55-03AD4C3A536A}"/>
  </bookViews>
  <sheets>
    <sheet name="raw_data" sheetId="1" r:id="rId1"/>
    <sheet name="Processing_final" sheetId="3" r:id="rId2"/>
    <sheet name="Tabelle1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" i="3" l="1"/>
  <c r="AP5" i="3"/>
  <c r="AO5" i="3"/>
  <c r="AN33" i="3" l="1"/>
  <c r="AN16" i="3"/>
  <c r="AN13" i="3" l="1"/>
  <c r="AP13" i="3" s="1"/>
  <c r="AH10" i="3"/>
  <c r="O8" i="3"/>
  <c r="AF10" i="3"/>
  <c r="P8" i="3"/>
  <c r="P9" i="3"/>
  <c r="AI32" i="3"/>
  <c r="AH32" i="3"/>
  <c r="AW11" i="3"/>
  <c r="AW12" i="3"/>
  <c r="AW23" i="3"/>
  <c r="AW29" i="3"/>
  <c r="AW30" i="3"/>
  <c r="AW31" i="3"/>
  <c r="AW42" i="3"/>
  <c r="AU11" i="3"/>
  <c r="AU12" i="3"/>
  <c r="AU23" i="3"/>
  <c r="AU29" i="3"/>
  <c r="AU30" i="3"/>
  <c r="AU31" i="3"/>
  <c r="AU42" i="3"/>
  <c r="AW10" i="3"/>
  <c r="AU10" i="3"/>
  <c r="AV11" i="3"/>
  <c r="AV12" i="3"/>
  <c r="AV23" i="3"/>
  <c r="AV29" i="3"/>
  <c r="AV30" i="3"/>
  <c r="AV31" i="3"/>
  <c r="AV42" i="3"/>
  <c r="AV10" i="3"/>
  <c r="AT11" i="3"/>
  <c r="AT12" i="3"/>
  <c r="AT23" i="3"/>
  <c r="AT29" i="3"/>
  <c r="AT30" i="3"/>
  <c r="AT31" i="3"/>
  <c r="AT42" i="3"/>
  <c r="AT10" i="3"/>
  <c r="AS38" i="3"/>
  <c r="AS39" i="3"/>
  <c r="AS40" i="3"/>
  <c r="AS41" i="3"/>
  <c r="AS42" i="3"/>
  <c r="AS43" i="3"/>
  <c r="AS44" i="3"/>
  <c r="AS45" i="3"/>
  <c r="AS46" i="3"/>
  <c r="AS22" i="3"/>
  <c r="AS23" i="3"/>
  <c r="AS24" i="3"/>
  <c r="AS25" i="3"/>
  <c r="AS32" i="3"/>
  <c r="AS33" i="3"/>
  <c r="AS34" i="3"/>
  <c r="AS35" i="3"/>
  <c r="AS36" i="3"/>
  <c r="AS37" i="3"/>
  <c r="AS21" i="3"/>
  <c r="AS14" i="3"/>
  <c r="AS15" i="3"/>
  <c r="AS16" i="3"/>
  <c r="AS17" i="3"/>
  <c r="AS18" i="3"/>
  <c r="AS19" i="3"/>
  <c r="AS20" i="3"/>
  <c r="AS13" i="3"/>
  <c r="W14" i="2"/>
  <c r="AP4" i="3"/>
  <c r="AO4" i="3"/>
  <c r="AJ39" i="3"/>
  <c r="AK39" i="3"/>
  <c r="AJ40" i="3"/>
  <c r="AK40" i="3"/>
  <c r="AM40" i="3" s="1"/>
  <c r="AJ41" i="3"/>
  <c r="AK41" i="3"/>
  <c r="AJ42" i="3"/>
  <c r="AK42" i="3"/>
  <c r="AM42" i="3" s="1"/>
  <c r="AJ43" i="3"/>
  <c r="AK43" i="3"/>
  <c r="AJ44" i="3"/>
  <c r="AK44" i="3"/>
  <c r="AM44" i="3" s="1"/>
  <c r="AJ45" i="3"/>
  <c r="AK45" i="3"/>
  <c r="AJ46" i="3"/>
  <c r="AK46" i="3"/>
  <c r="AM46" i="3" s="1"/>
  <c r="AK38" i="3"/>
  <c r="AM38" i="3" s="1"/>
  <c r="AJ38" i="3"/>
  <c r="AL38" i="3" s="1"/>
  <c r="AL11" i="3"/>
  <c r="AM10" i="3"/>
  <c r="AM12" i="3"/>
  <c r="AL12" i="3"/>
  <c r="AG16" i="3"/>
  <c r="AI16" i="3" s="1"/>
  <c r="AG38" i="3"/>
  <c r="AL10" i="3"/>
  <c r="AM11" i="3"/>
  <c r="AL21" i="3"/>
  <c r="AM21" i="3"/>
  <c r="AL22" i="3"/>
  <c r="AM22" i="3"/>
  <c r="AL23" i="3"/>
  <c r="AM23" i="3"/>
  <c r="AL39" i="3"/>
  <c r="AM39" i="3"/>
  <c r="AL40" i="3"/>
  <c r="AL41" i="3"/>
  <c r="AM41" i="3"/>
  <c r="AL42" i="3"/>
  <c r="AL43" i="3"/>
  <c r="AM43" i="3"/>
  <c r="AL44" i="3"/>
  <c r="AL45" i="3"/>
  <c r="AM45" i="3"/>
  <c r="AL46" i="3"/>
  <c r="AH38" i="3"/>
  <c r="AH12" i="3"/>
  <c r="AH30" i="3"/>
  <c r="AI30" i="3"/>
  <c r="AH31" i="3"/>
  <c r="AI31" i="3"/>
  <c r="AH33" i="3"/>
  <c r="AI33" i="3"/>
  <c r="AH34" i="3"/>
  <c r="AI34" i="3"/>
  <c r="AH35" i="3"/>
  <c r="AI35" i="3"/>
  <c r="AH36" i="3"/>
  <c r="AI36" i="3"/>
  <c r="AH37" i="3"/>
  <c r="AI37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H46" i="3"/>
  <c r="AI46" i="3"/>
  <c r="AI29" i="3"/>
  <c r="AH29" i="3"/>
  <c r="AH11" i="3"/>
  <c r="AH16" i="3"/>
  <c r="AI17" i="3"/>
  <c r="AI21" i="3"/>
  <c r="AI25" i="3"/>
  <c r="AG30" i="3"/>
  <c r="AG31" i="3"/>
  <c r="AG32" i="3"/>
  <c r="AG33" i="3"/>
  <c r="AG34" i="3"/>
  <c r="AG35" i="3"/>
  <c r="AG36" i="3"/>
  <c r="AG37" i="3"/>
  <c r="AG39" i="3"/>
  <c r="AG40" i="3"/>
  <c r="AG41" i="3"/>
  <c r="AG42" i="3"/>
  <c r="AG43" i="3"/>
  <c r="AG44" i="3"/>
  <c r="AG45" i="3"/>
  <c r="AG46" i="3"/>
  <c r="AG29" i="3"/>
  <c r="AG11" i="3"/>
  <c r="AI11" i="3" s="1"/>
  <c r="AG12" i="3"/>
  <c r="AI12" i="3" s="1"/>
  <c r="AG13" i="3"/>
  <c r="AH13" i="3" s="1"/>
  <c r="AG14" i="3"/>
  <c r="AH14" i="3" s="1"/>
  <c r="AG15" i="3"/>
  <c r="AH15" i="3" s="1"/>
  <c r="AG17" i="3"/>
  <c r="AH17" i="3" s="1"/>
  <c r="AG18" i="3"/>
  <c r="AI18" i="3" s="1"/>
  <c r="AG19" i="3"/>
  <c r="AH19" i="3" s="1"/>
  <c r="AG20" i="3"/>
  <c r="AI20" i="3" s="1"/>
  <c r="AG21" i="3"/>
  <c r="AH21" i="3" s="1"/>
  <c r="AG22" i="3"/>
  <c r="AI22" i="3" s="1"/>
  <c r="AG23" i="3"/>
  <c r="AH23" i="3" s="1"/>
  <c r="AG24" i="3"/>
  <c r="AI24" i="3" s="1"/>
  <c r="AG25" i="3"/>
  <c r="AH25" i="3" s="1"/>
  <c r="AG10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29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N4" i="3"/>
  <c r="P23" i="3"/>
  <c r="P24" i="3"/>
  <c r="P25" i="3"/>
  <c r="P26" i="3"/>
  <c r="P27" i="3"/>
  <c r="P28" i="3"/>
  <c r="P29" i="3"/>
  <c r="P30" i="3"/>
  <c r="P31" i="3"/>
  <c r="P22" i="3"/>
  <c r="P12" i="3"/>
  <c r="P13" i="3"/>
  <c r="P14" i="3"/>
  <c r="P16" i="3"/>
  <c r="P17" i="3"/>
  <c r="O23" i="3"/>
  <c r="O24" i="3"/>
  <c r="O25" i="3"/>
  <c r="O26" i="3"/>
  <c r="O27" i="3"/>
  <c r="O28" i="3"/>
  <c r="O29" i="3"/>
  <c r="O30" i="3"/>
  <c r="O31" i="3"/>
  <c r="O22" i="3"/>
  <c r="O9" i="3"/>
  <c r="O10" i="3"/>
  <c r="O11" i="3"/>
  <c r="O12" i="3"/>
  <c r="O13" i="3"/>
  <c r="O14" i="3"/>
  <c r="O15" i="3"/>
  <c r="O16" i="3"/>
  <c r="O17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4" i="3"/>
  <c r="I55" i="3"/>
  <c r="I56" i="3"/>
  <c r="I57" i="3"/>
  <c r="I58" i="3"/>
  <c r="I59" i="3"/>
  <c r="I60" i="3"/>
  <c r="I9" i="3"/>
  <c r="I10" i="3"/>
  <c r="I11" i="3"/>
  <c r="I12" i="3"/>
  <c r="I13" i="3"/>
  <c r="I14" i="3"/>
  <c r="I18" i="3"/>
  <c r="I19" i="3"/>
  <c r="I20" i="3"/>
  <c r="I21" i="3"/>
  <c r="I22" i="3"/>
  <c r="I23" i="3"/>
  <c r="I27" i="3"/>
  <c r="I28" i="3"/>
  <c r="AJ14" i="3" l="1"/>
  <c r="AL14" i="3" s="1"/>
  <c r="AJ16" i="3"/>
  <c r="AJ18" i="3"/>
  <c r="AL18" i="3" s="1"/>
  <c r="AN18" i="3" s="1"/>
  <c r="AP18" i="3" s="1"/>
  <c r="AT18" i="3" s="1"/>
  <c r="AU18" i="3" s="1"/>
  <c r="AX18" i="3" s="1"/>
  <c r="AJ13" i="3"/>
  <c r="AL13" i="3" s="1"/>
  <c r="AJ15" i="3"/>
  <c r="AL15" i="3" s="1"/>
  <c r="AJ17" i="3"/>
  <c r="AL17" i="3" s="1"/>
  <c r="AJ19" i="3"/>
  <c r="AL19" i="3" s="1"/>
  <c r="AJ37" i="3"/>
  <c r="AL37" i="3" s="1"/>
  <c r="AN37" i="3" s="1"/>
  <c r="AP37" i="3" s="1"/>
  <c r="AT37" i="3" s="1"/>
  <c r="AU37" i="3" s="1"/>
  <c r="AX37" i="3" s="1"/>
  <c r="AJ31" i="3"/>
  <c r="AL31" i="3" s="1"/>
  <c r="AJ36" i="3"/>
  <c r="AL36" i="3" s="1"/>
  <c r="AN36" i="3" s="1"/>
  <c r="AP36" i="3" s="1"/>
  <c r="AT36" i="3" s="1"/>
  <c r="AU36" i="3" s="1"/>
  <c r="AX36" i="3" s="1"/>
  <c r="AJ29" i="3"/>
  <c r="AL29" i="3" s="1"/>
  <c r="AK24" i="3"/>
  <c r="AM24" i="3" s="1"/>
  <c r="AH24" i="3"/>
  <c r="AJ24" i="3" s="1"/>
  <c r="AL24" i="3" s="1"/>
  <c r="AN24" i="3" s="1"/>
  <c r="AP24" i="3" s="1"/>
  <c r="AT24" i="3" s="1"/>
  <c r="AU24" i="3" s="1"/>
  <c r="AX24" i="3" s="1"/>
  <c r="AH22" i="3"/>
  <c r="AJ25" i="3" s="1"/>
  <c r="AL25" i="3" s="1"/>
  <c r="AN25" i="3" s="1"/>
  <c r="AP25" i="3" s="1"/>
  <c r="AT25" i="3" s="1"/>
  <c r="AU25" i="3" s="1"/>
  <c r="AX25" i="3" s="1"/>
  <c r="AH20" i="3"/>
  <c r="AJ20" i="3" s="1"/>
  <c r="AL20" i="3" s="1"/>
  <c r="AN20" i="3" s="1"/>
  <c r="AP20" i="3" s="1"/>
  <c r="AT20" i="3" s="1"/>
  <c r="AU20" i="3" s="1"/>
  <c r="AX20" i="3" s="1"/>
  <c r="AH18" i="3"/>
  <c r="AL16" i="3"/>
  <c r="AI13" i="3"/>
  <c r="AK36" i="3"/>
  <c r="AM36" i="3" s="1"/>
  <c r="AK34" i="3"/>
  <c r="AM34" i="3" s="1"/>
  <c r="AK32" i="3"/>
  <c r="AM32" i="3" s="1"/>
  <c r="AO32" i="3" s="1"/>
  <c r="AI23" i="3"/>
  <c r="AI19" i="3"/>
  <c r="AI15" i="3"/>
  <c r="AK29" i="3"/>
  <c r="AM29" i="3" s="1"/>
  <c r="AK31" i="3"/>
  <c r="AM31" i="3" s="1"/>
  <c r="AI10" i="3"/>
  <c r="AK25" i="3"/>
  <c r="AM25" i="3" s="1"/>
  <c r="AK37" i="3"/>
  <c r="AM37" i="3" s="1"/>
  <c r="AO37" i="3" s="1"/>
  <c r="AQ37" i="3" s="1"/>
  <c r="AV37" i="3" s="1"/>
  <c r="AW37" i="3" s="1"/>
  <c r="AY37" i="3" s="1"/>
  <c r="AK35" i="3"/>
  <c r="AM35" i="3" s="1"/>
  <c r="AK33" i="3"/>
  <c r="AM33" i="3" s="1"/>
  <c r="AO33" i="3" s="1"/>
  <c r="AQ33" i="3" s="1"/>
  <c r="AV33" i="3" s="1"/>
  <c r="AW33" i="3" s="1"/>
  <c r="AY33" i="3" s="1"/>
  <c r="AN15" i="3"/>
  <c r="AI14" i="3"/>
  <c r="AK30" i="3"/>
  <c r="AM30" i="3" s="1"/>
  <c r="P15" i="3"/>
  <c r="P11" i="3"/>
  <c r="P10" i="3"/>
  <c r="AN39" i="3"/>
  <c r="AP39" i="3" s="1"/>
  <c r="AT39" i="3" s="1"/>
  <c r="AU39" i="3" s="1"/>
  <c r="AN41" i="3"/>
  <c r="AP41" i="3" s="1"/>
  <c r="AT41" i="3" s="1"/>
  <c r="AU41" i="3" s="1"/>
  <c r="AX41" i="3" s="1"/>
  <c r="AN43" i="3"/>
  <c r="AP43" i="3" s="1"/>
  <c r="AT43" i="3" s="1"/>
  <c r="AU43" i="3" s="1"/>
  <c r="AX43" i="3" s="1"/>
  <c r="AN45" i="3"/>
  <c r="AP45" i="3" s="1"/>
  <c r="AT45" i="3" s="1"/>
  <c r="AU45" i="3" s="1"/>
  <c r="AX45" i="3" s="1"/>
  <c r="AO38" i="3"/>
  <c r="AQ38" i="3" s="1"/>
  <c r="AV38" i="3" s="1"/>
  <c r="AW38" i="3" s="1"/>
  <c r="AO40" i="3"/>
  <c r="AO44" i="3"/>
  <c r="AQ44" i="3" s="1"/>
  <c r="AV44" i="3" s="1"/>
  <c r="AW44" i="3" s="1"/>
  <c r="AY44" i="3" s="1"/>
  <c r="AO39" i="3"/>
  <c r="AQ39" i="3" s="1"/>
  <c r="AV39" i="3" s="1"/>
  <c r="AW39" i="3" s="1"/>
  <c r="AO41" i="3"/>
  <c r="AQ41" i="3" s="1"/>
  <c r="AV41" i="3" s="1"/>
  <c r="AW41" i="3" s="1"/>
  <c r="AY41" i="3" s="1"/>
  <c r="AO43" i="3"/>
  <c r="AQ43" i="3" s="1"/>
  <c r="AV43" i="3" s="1"/>
  <c r="AW43" i="3" s="1"/>
  <c r="AY43" i="3" s="1"/>
  <c r="AO45" i="3"/>
  <c r="AQ45" i="3" s="1"/>
  <c r="AV45" i="3" s="1"/>
  <c r="AW45" i="3" s="1"/>
  <c r="AY45" i="3" s="1"/>
  <c r="AN38" i="3"/>
  <c r="AP38" i="3" s="1"/>
  <c r="AT38" i="3" s="1"/>
  <c r="AU38" i="3" s="1"/>
  <c r="AN40" i="3"/>
  <c r="AN44" i="3"/>
  <c r="AP44" i="3" s="1"/>
  <c r="AT44" i="3" s="1"/>
  <c r="AU44" i="3" s="1"/>
  <c r="AX44" i="3" s="1"/>
  <c r="AN46" i="3"/>
  <c r="AP46" i="3" s="1"/>
  <c r="AT46" i="3" s="1"/>
  <c r="AU46" i="3" s="1"/>
  <c r="AX46" i="3" s="1"/>
  <c r="AO46" i="3"/>
  <c r="AQ46" i="3" s="1"/>
  <c r="AV46" i="3" s="1"/>
  <c r="AW46" i="3" s="1"/>
  <c r="AY46" i="3" s="1"/>
  <c r="AO36" i="3"/>
  <c r="AQ36" i="3" s="1"/>
  <c r="AV36" i="3" s="1"/>
  <c r="AW36" i="3" s="1"/>
  <c r="AY36" i="3" s="1"/>
  <c r="AP16" i="3"/>
  <c r="AT16" i="3" s="1"/>
  <c r="AU16" i="3" s="1"/>
  <c r="AX16" i="3" s="1"/>
  <c r="AN14" i="3"/>
  <c r="AP14" i="3" s="1"/>
  <c r="AT14" i="3" s="1"/>
  <c r="AU14" i="3" s="1"/>
  <c r="AN22" i="3"/>
  <c r="AP22" i="3" s="1"/>
  <c r="AT22" i="3" s="1"/>
  <c r="AU22" i="3" s="1"/>
  <c r="AO22" i="3"/>
  <c r="AQ22" i="3" s="1"/>
  <c r="AV22" i="3" s="1"/>
  <c r="AW22" i="3" s="1"/>
  <c r="AT13" i="3"/>
  <c r="AU13" i="3" s="1"/>
  <c r="AN21" i="3"/>
  <c r="AP21" i="3" s="1"/>
  <c r="AT21" i="3" s="1"/>
  <c r="AU21" i="3" s="1"/>
  <c r="AO24" i="3"/>
  <c r="AQ24" i="3" s="1"/>
  <c r="AV24" i="3" s="1"/>
  <c r="AW24" i="3" s="1"/>
  <c r="AY24" i="3" s="1"/>
  <c r="AO35" i="3"/>
  <c r="AQ35" i="3" s="1"/>
  <c r="AV35" i="3" s="1"/>
  <c r="AW35" i="3" s="1"/>
  <c r="AY35" i="3" s="1"/>
  <c r="AO25" i="3"/>
  <c r="AQ25" i="3" s="1"/>
  <c r="AV25" i="3" s="1"/>
  <c r="AW25" i="3" s="1"/>
  <c r="AY25" i="3" s="1"/>
  <c r="AO34" i="3"/>
  <c r="AQ34" i="3" s="1"/>
  <c r="AV34" i="3" s="1"/>
  <c r="AW34" i="3" s="1"/>
  <c r="AY34" i="3" s="1"/>
  <c r="AN19" i="3"/>
  <c r="AP19" i="3" s="1"/>
  <c r="AT19" i="3" s="1"/>
  <c r="AU19" i="3" s="1"/>
  <c r="AX19" i="3" s="1"/>
  <c r="AN17" i="3"/>
  <c r="AP17" i="3" s="1"/>
  <c r="AT17" i="3" s="1"/>
  <c r="AU17" i="3" s="1"/>
  <c r="AX17" i="3" s="1"/>
  <c r="AO21" i="3"/>
  <c r="AQ21" i="3" s="1"/>
  <c r="AV21" i="3" s="1"/>
  <c r="AW21" i="3" s="1"/>
  <c r="BB13" i="3" l="1"/>
  <c r="AQ40" i="3"/>
  <c r="AV40" i="3" s="1"/>
  <c r="AW40" i="3" s="1"/>
  <c r="BB5" i="3"/>
  <c r="AP40" i="3"/>
  <c r="AT40" i="3" s="1"/>
  <c r="AU40" i="3" s="1"/>
  <c r="AK13" i="3"/>
  <c r="AM13" i="3" s="1"/>
  <c r="AO13" i="3" s="1"/>
  <c r="AQ13" i="3" s="1"/>
  <c r="AV13" i="3" s="1"/>
  <c r="AW13" i="3" s="1"/>
  <c r="AK15" i="3"/>
  <c r="AM15" i="3" s="1"/>
  <c r="AO15" i="3" s="1"/>
  <c r="AK17" i="3"/>
  <c r="AM17" i="3" s="1"/>
  <c r="AO17" i="3" s="1"/>
  <c r="AQ17" i="3" s="1"/>
  <c r="AV17" i="3" s="1"/>
  <c r="AW17" i="3" s="1"/>
  <c r="AY17" i="3" s="1"/>
  <c r="AK19" i="3"/>
  <c r="AM19" i="3" s="1"/>
  <c r="AO19" i="3" s="1"/>
  <c r="AQ19" i="3" s="1"/>
  <c r="AV19" i="3" s="1"/>
  <c r="AW19" i="3" s="1"/>
  <c r="AY19" i="3" s="1"/>
  <c r="AK14" i="3"/>
  <c r="AM14" i="3" s="1"/>
  <c r="AO14" i="3" s="1"/>
  <c r="AQ14" i="3" s="1"/>
  <c r="AV14" i="3" s="1"/>
  <c r="AW14" i="3" s="1"/>
  <c r="AK18" i="3"/>
  <c r="AM18" i="3" s="1"/>
  <c r="AO18" i="3" s="1"/>
  <c r="AQ18" i="3" s="1"/>
  <c r="AV18" i="3" s="1"/>
  <c r="AW18" i="3" s="1"/>
  <c r="AY18" i="3" s="1"/>
  <c r="AK20" i="3"/>
  <c r="AM20" i="3" s="1"/>
  <c r="AO20" i="3" s="1"/>
  <c r="AQ20" i="3" s="1"/>
  <c r="AV20" i="3" s="1"/>
  <c r="AW20" i="3" s="1"/>
  <c r="AY20" i="3" s="1"/>
  <c r="AK16" i="3"/>
  <c r="AM16" i="3" s="1"/>
  <c r="AO16" i="3" s="1"/>
  <c r="AQ16" i="3" s="1"/>
  <c r="AV16" i="3" s="1"/>
  <c r="AW16" i="3" s="1"/>
  <c r="AY16" i="3" s="1"/>
  <c r="AJ30" i="3"/>
  <c r="AL30" i="3" s="1"/>
  <c r="AJ34" i="3"/>
  <c r="AL34" i="3" s="1"/>
  <c r="AN34" i="3" s="1"/>
  <c r="AP34" i="3" s="1"/>
  <c r="AT34" i="3" s="1"/>
  <c r="AU34" i="3" s="1"/>
  <c r="AX34" i="3" s="1"/>
  <c r="AJ35" i="3"/>
  <c r="AL35" i="3" s="1"/>
  <c r="AN35" i="3" s="1"/>
  <c r="AP35" i="3" s="1"/>
  <c r="AT35" i="3" s="1"/>
  <c r="AU35" i="3" s="1"/>
  <c r="AQ32" i="3"/>
  <c r="AV32" i="3" s="1"/>
  <c r="AW32" i="3" s="1"/>
  <c r="BB12" i="3"/>
  <c r="AJ33" i="3"/>
  <c r="AL33" i="3" s="1"/>
  <c r="AP33" i="3" s="1"/>
  <c r="AT33" i="3" s="1"/>
  <c r="AU33" i="3" s="1"/>
  <c r="AX33" i="3" s="1"/>
  <c r="AP15" i="3"/>
  <c r="AT15" i="3" s="1"/>
  <c r="AU15" i="3" s="1"/>
  <c r="BB3" i="3"/>
  <c r="AJ32" i="3"/>
  <c r="AL32" i="3" s="1"/>
  <c r="AN32" i="3" s="1"/>
  <c r="AY40" i="3" l="1"/>
  <c r="BC13" i="3"/>
  <c r="BD13" i="3" s="1"/>
  <c r="AX40" i="3"/>
  <c r="BC5" i="3"/>
  <c r="BD5" i="3" s="1"/>
  <c r="AY32" i="3"/>
  <c r="BC12" i="3"/>
  <c r="BD12" i="3" s="1"/>
  <c r="BC3" i="3"/>
  <c r="BD3" i="3" s="1"/>
  <c r="AX15" i="3"/>
  <c r="AQ15" i="3"/>
  <c r="AV15" i="3" s="1"/>
  <c r="AW15" i="3" s="1"/>
  <c r="BB11" i="3"/>
  <c r="BB4" i="3"/>
  <c r="AP32" i="3"/>
  <c r="AT32" i="3" s="1"/>
  <c r="AU32" i="3" s="1"/>
  <c r="AX32" i="3" s="1"/>
  <c r="BA46" i="3" l="1"/>
  <c r="BA47" i="3" s="1"/>
  <c r="BA45" i="3"/>
  <c r="BB45" i="3"/>
  <c r="BB46" i="3"/>
  <c r="BB47" i="3" s="1"/>
  <c r="BA19" i="3"/>
  <c r="BA20" i="3"/>
  <c r="BA21" i="3" s="1"/>
  <c r="BC4" i="3"/>
  <c r="BD4" i="3" s="1"/>
  <c r="AY15" i="3"/>
  <c r="BC11" i="3"/>
  <c r="BD11" i="3" s="1"/>
  <c r="BB36" i="3"/>
  <c r="BB37" i="3"/>
  <c r="BB38" i="3" s="1"/>
  <c r="BA37" i="3" l="1"/>
  <c r="BA36" i="3"/>
  <c r="BB20" i="3"/>
  <c r="BB19" i="3"/>
  <c r="BB21" i="3" l="1"/>
  <c r="BA38" i="3"/>
  <c r="W12" i="2" l="1"/>
  <c r="AK13" i="2"/>
  <c r="AK14" i="2"/>
  <c r="AK15" i="2"/>
  <c r="AK16" i="2"/>
  <c r="AK17" i="2"/>
  <c r="AK18" i="2"/>
  <c r="AK20" i="2"/>
  <c r="AK21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12" i="2"/>
  <c r="Z13" i="2"/>
  <c r="Z14" i="2"/>
  <c r="Z15" i="2"/>
  <c r="Z16" i="2"/>
  <c r="Z17" i="2"/>
  <c r="Z20" i="2"/>
  <c r="Z21" i="2"/>
  <c r="Z24" i="2"/>
  <c r="Z25" i="2"/>
  <c r="Z26" i="2"/>
  <c r="Z27" i="2"/>
  <c r="Z28" i="2"/>
  <c r="Z29" i="2"/>
  <c r="Z32" i="2"/>
  <c r="Z33" i="2"/>
  <c r="Z34" i="2"/>
  <c r="Z35" i="2"/>
  <c r="Z36" i="2"/>
  <c r="Z37" i="2"/>
  <c r="Z12" i="2"/>
  <c r="AH31" i="2"/>
  <c r="AH32" i="2"/>
  <c r="AH33" i="2"/>
  <c r="AH34" i="2"/>
  <c r="AH35" i="2"/>
  <c r="AH36" i="2"/>
  <c r="AH37" i="2"/>
  <c r="AH30" i="2"/>
  <c r="AH24" i="2"/>
  <c r="AH25" i="2"/>
  <c r="AH26" i="2"/>
  <c r="AH27" i="2"/>
  <c r="AH28" i="2"/>
  <c r="AH29" i="2"/>
  <c r="AH19" i="2"/>
  <c r="AH20" i="2"/>
  <c r="AH21" i="2"/>
  <c r="AH18" i="2"/>
  <c r="AH11" i="2"/>
  <c r="AH12" i="2"/>
  <c r="AH13" i="2"/>
  <c r="AH14" i="2"/>
  <c r="AH15" i="2"/>
  <c r="AH16" i="2"/>
  <c r="AH17" i="2"/>
  <c r="AH10" i="2"/>
  <c r="W31" i="2"/>
  <c r="W32" i="2"/>
  <c r="W33" i="2"/>
  <c r="W34" i="2"/>
  <c r="W35" i="2"/>
  <c r="W36" i="2"/>
  <c r="W37" i="2"/>
  <c r="W30" i="2"/>
  <c r="W28" i="2"/>
  <c r="W25" i="2"/>
  <c r="W26" i="2"/>
  <c r="W27" i="2"/>
  <c r="W29" i="2"/>
  <c r="W24" i="2"/>
  <c r="W19" i="2"/>
  <c r="W20" i="2"/>
  <c r="W21" i="2"/>
  <c r="W18" i="2"/>
  <c r="W11" i="2"/>
  <c r="W13" i="2"/>
  <c r="W15" i="2"/>
  <c r="W16" i="2"/>
  <c r="W17" i="2"/>
  <c r="W10" i="2"/>
  <c r="X25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U14" i="2"/>
  <c r="T5" i="2"/>
  <c r="U13" i="2"/>
  <c r="U17" i="2"/>
  <c r="U21" i="2"/>
  <c r="U4" i="2"/>
  <c r="U5" i="2" s="1"/>
  <c r="V4" i="2"/>
  <c r="V5" i="2" s="1"/>
  <c r="T4" i="2"/>
  <c r="AE48" i="2"/>
  <c r="AD48" i="2"/>
  <c r="AF47" i="2"/>
  <c r="AG47" i="2"/>
  <c r="AE47" i="2"/>
  <c r="AF46" i="2"/>
  <c r="AF48" i="2" s="1"/>
  <c r="AG46" i="2"/>
  <c r="AG48" i="2" s="1"/>
  <c r="AE46" i="2"/>
  <c r="AD37" i="2"/>
  <c r="AD33" i="2"/>
  <c r="AD29" i="2"/>
  <c r="AD25" i="2"/>
  <c r="AD19" i="2"/>
  <c r="AD15" i="2"/>
  <c r="AD10" i="2"/>
  <c r="AC25" i="2"/>
  <c r="AC26" i="2"/>
  <c r="AD26" i="2" s="1"/>
  <c r="AC27" i="2"/>
  <c r="AD27" i="2" s="1"/>
  <c r="AC28" i="2"/>
  <c r="AD28" i="2" s="1"/>
  <c r="AC29" i="2"/>
  <c r="AC30" i="2"/>
  <c r="AD30" i="2" s="1"/>
  <c r="AC31" i="2"/>
  <c r="AD31" i="2" s="1"/>
  <c r="AC32" i="2"/>
  <c r="AD32" i="2" s="1"/>
  <c r="AC33" i="2"/>
  <c r="AC34" i="2"/>
  <c r="AD34" i="2" s="1"/>
  <c r="AC35" i="2"/>
  <c r="AD35" i="2" s="1"/>
  <c r="AC36" i="2"/>
  <c r="AD36" i="2" s="1"/>
  <c r="AC37" i="2"/>
  <c r="AC24" i="2"/>
  <c r="AD24" i="2" s="1"/>
  <c r="AC11" i="2"/>
  <c r="AD11" i="2" s="1"/>
  <c r="AC12" i="2"/>
  <c r="AD12" i="2" s="1"/>
  <c r="AC13" i="2"/>
  <c r="AD13" i="2" s="1"/>
  <c r="AC14" i="2"/>
  <c r="AD14" i="2" s="1"/>
  <c r="AC15" i="2"/>
  <c r="AC16" i="2"/>
  <c r="AD16" i="2" s="1"/>
  <c r="AC17" i="2"/>
  <c r="AD17" i="2" s="1"/>
  <c r="AC18" i="2"/>
  <c r="AD18" i="2" s="1"/>
  <c r="AC19" i="2"/>
  <c r="AC20" i="2"/>
  <c r="AD20" i="2" s="1"/>
  <c r="AC21" i="2"/>
  <c r="AD21" i="2" s="1"/>
  <c r="AC10" i="2"/>
  <c r="R11" i="2"/>
  <c r="R25" i="2"/>
  <c r="S25" i="2" s="1"/>
  <c r="R26" i="2"/>
  <c r="S26" i="2" s="1"/>
  <c r="R27" i="2"/>
  <c r="S27" i="2" s="1"/>
  <c r="R28" i="2"/>
  <c r="S28" i="2" s="1"/>
  <c r="U28" i="2" s="1"/>
  <c r="R29" i="2"/>
  <c r="S29" i="2" s="1"/>
  <c r="R30" i="2"/>
  <c r="S30" i="2" s="1"/>
  <c r="R31" i="2"/>
  <c r="S31" i="2" s="1"/>
  <c r="R32" i="2"/>
  <c r="S32" i="2" s="1"/>
  <c r="U32" i="2" s="1"/>
  <c r="R33" i="2"/>
  <c r="S33" i="2" s="1"/>
  <c r="R34" i="2"/>
  <c r="S34" i="2" s="1"/>
  <c r="R35" i="2"/>
  <c r="S35" i="2" s="1"/>
  <c r="U35" i="2" s="1"/>
  <c r="R36" i="2"/>
  <c r="S36" i="2" s="1"/>
  <c r="U36" i="2" s="1"/>
  <c r="R37" i="2"/>
  <c r="S37" i="2" s="1"/>
  <c r="R24" i="2"/>
  <c r="S24" i="2" s="1"/>
  <c r="S11" i="2"/>
  <c r="R12" i="2"/>
  <c r="S12" i="2" s="1"/>
  <c r="U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10" i="2"/>
  <c r="S10" i="2" s="1"/>
  <c r="K21" i="2"/>
  <c r="U27" i="2" l="1"/>
  <c r="U10" i="2"/>
  <c r="U34" i="2"/>
  <c r="U30" i="2"/>
  <c r="U26" i="2"/>
  <c r="U20" i="2"/>
  <c r="U16" i="2"/>
  <c r="U31" i="2"/>
  <c r="U37" i="2"/>
  <c r="U33" i="2"/>
  <c r="U29" i="2"/>
  <c r="U25" i="2"/>
  <c r="U19" i="2"/>
  <c r="U15" i="2"/>
  <c r="U11" i="2"/>
  <c r="U24" i="2"/>
  <c r="U18" i="2"/>
  <c r="P51" i="1" l="1"/>
  <c r="P52" i="1"/>
  <c r="P53" i="1"/>
  <c r="P50" i="1"/>
  <c r="Q25" i="2"/>
  <c r="Q26" i="2"/>
  <c r="Q27" i="2"/>
  <c r="Q28" i="2"/>
  <c r="Q29" i="2"/>
  <c r="Q30" i="2"/>
  <c r="Q31" i="2"/>
  <c r="Q32" i="2"/>
  <c r="Q33" i="2"/>
  <c r="AI33" i="2" s="1"/>
  <c r="AJ33" i="2" s="1"/>
  <c r="Q34" i="2"/>
  <c r="Q35" i="2"/>
  <c r="Q36" i="2"/>
  <c r="Q37" i="2"/>
  <c r="Q24" i="2"/>
  <c r="K31" i="2"/>
  <c r="K30" i="2"/>
  <c r="K29" i="2"/>
  <c r="K28" i="2"/>
  <c r="K27" i="2"/>
  <c r="K26" i="2"/>
  <c r="K33" i="2"/>
  <c r="K32" i="2"/>
  <c r="K25" i="2"/>
  <c r="K24" i="2"/>
  <c r="J31" i="2"/>
  <c r="J30" i="2"/>
  <c r="J29" i="2"/>
  <c r="J28" i="2"/>
  <c r="J27" i="2"/>
  <c r="J26" i="2"/>
  <c r="J33" i="2"/>
  <c r="J32" i="2"/>
  <c r="J25" i="2"/>
  <c r="J24" i="2"/>
  <c r="O51" i="1"/>
  <c r="O52" i="1"/>
  <c r="O53" i="1"/>
  <c r="O50" i="1"/>
  <c r="Q20" i="2"/>
  <c r="Q21" i="2"/>
  <c r="AI21" i="2" s="1"/>
  <c r="AJ21" i="2" s="1"/>
  <c r="Q19" i="2"/>
  <c r="Q18" i="2"/>
  <c r="Q12" i="2"/>
  <c r="Q13" i="2"/>
  <c r="Q14" i="2"/>
  <c r="Q15" i="2"/>
  <c r="Q16" i="2"/>
  <c r="Q17" i="2"/>
  <c r="Q11" i="2"/>
  <c r="Q10" i="2"/>
  <c r="J20" i="2"/>
  <c r="K20" i="2"/>
  <c r="J21" i="2"/>
  <c r="K13" i="2"/>
  <c r="J13" i="2"/>
  <c r="K12" i="2"/>
  <c r="J12" i="2"/>
  <c r="J16" i="2"/>
  <c r="K19" i="2"/>
  <c r="J19" i="2"/>
  <c r="K18" i="2"/>
  <c r="J18" i="2"/>
  <c r="K17" i="2"/>
  <c r="J17" i="2"/>
  <c r="K16" i="2"/>
  <c r="K15" i="2"/>
  <c r="J15" i="2"/>
  <c r="K14" i="2"/>
  <c r="J14" i="2"/>
  <c r="O28" i="1"/>
  <c r="P28" i="1"/>
  <c r="O29" i="1"/>
  <c r="P29" i="1"/>
  <c r="O23" i="1"/>
  <c r="P23" i="1"/>
  <c r="O24" i="1"/>
  <c r="P24" i="1"/>
  <c r="O25" i="1"/>
  <c r="P25" i="1"/>
  <c r="O26" i="1"/>
  <c r="P26" i="1"/>
  <c r="O27" i="1"/>
  <c r="P27" i="1"/>
  <c r="O18" i="1"/>
  <c r="P18" i="1"/>
  <c r="O19" i="1"/>
  <c r="P19" i="1"/>
  <c r="O20" i="1"/>
  <c r="P20" i="1"/>
  <c r="O21" i="1"/>
  <c r="P21" i="1"/>
  <c r="O22" i="1"/>
  <c r="P22" i="1"/>
  <c r="P17" i="1"/>
  <c r="O17" i="1"/>
  <c r="X17" i="2" l="1"/>
  <c r="Y17" i="2" s="1"/>
  <c r="AI17" i="2"/>
  <c r="AJ17" i="2" s="1"/>
  <c r="X28" i="2"/>
  <c r="Y28" i="2" s="1"/>
  <c r="AI28" i="2"/>
  <c r="AJ28" i="2" s="1"/>
  <c r="X16" i="2"/>
  <c r="Y16" i="2" s="1"/>
  <c r="AA46" i="2" s="1"/>
  <c r="AI16" i="2"/>
  <c r="AJ16" i="2" s="1"/>
  <c r="X12" i="2"/>
  <c r="Y12" i="2" s="1"/>
  <c r="AI12" i="2"/>
  <c r="AJ12" i="2" s="1"/>
  <c r="X20" i="2"/>
  <c r="Y20" i="2" s="1"/>
  <c r="AI20" i="2"/>
  <c r="AJ20" i="2" s="1"/>
  <c r="X35" i="2"/>
  <c r="Y35" i="2" s="1"/>
  <c r="AI35" i="2"/>
  <c r="AJ35" i="2" s="1"/>
  <c r="X31" i="2"/>
  <c r="Y31" i="2" s="1"/>
  <c r="AI31" i="2"/>
  <c r="AJ31" i="2" s="1"/>
  <c r="X27" i="2"/>
  <c r="Y27" i="2" s="1"/>
  <c r="AI27" i="2"/>
  <c r="AJ27" i="2" s="1"/>
  <c r="X13" i="2"/>
  <c r="AI13" i="2"/>
  <c r="AJ13" i="2" s="1"/>
  <c r="X36" i="2"/>
  <c r="Y36" i="2" s="1"/>
  <c r="AA54" i="2" s="1"/>
  <c r="AI36" i="2"/>
  <c r="AJ36" i="2" s="1"/>
  <c r="X32" i="2"/>
  <c r="Y32" i="2" s="1"/>
  <c r="AI32" i="2"/>
  <c r="AJ32" i="2" s="1"/>
  <c r="X10" i="2"/>
  <c r="Y10" i="2" s="1"/>
  <c r="AI10" i="2"/>
  <c r="AJ10" i="2" s="1"/>
  <c r="X15" i="2"/>
  <c r="Y15" i="2" s="1"/>
  <c r="AI15" i="2"/>
  <c r="AJ15" i="2" s="1"/>
  <c r="X18" i="2"/>
  <c r="Y18" i="2" s="1"/>
  <c r="AI18" i="2"/>
  <c r="AJ18" i="2" s="1"/>
  <c r="X24" i="2"/>
  <c r="Y24" i="2" s="1"/>
  <c r="AI24" i="2"/>
  <c r="AJ24" i="2" s="1"/>
  <c r="X34" i="2"/>
  <c r="Y34" i="2" s="1"/>
  <c r="AI34" i="2"/>
  <c r="AJ34" i="2" s="1"/>
  <c r="X30" i="2"/>
  <c r="Y30" i="2" s="1"/>
  <c r="AI30" i="2"/>
  <c r="AJ30" i="2" s="1"/>
  <c r="X26" i="2"/>
  <c r="Y26" i="2" s="1"/>
  <c r="AI26" i="2"/>
  <c r="AJ26" i="2" s="1"/>
  <c r="X11" i="2"/>
  <c r="Y11" i="2" s="1"/>
  <c r="AI11" i="2"/>
  <c r="AJ11" i="2" s="1"/>
  <c r="X14" i="2"/>
  <c r="Y14" i="2" s="1"/>
  <c r="AA45" i="2" s="1"/>
  <c r="AI14" i="2"/>
  <c r="AJ14" i="2" s="1"/>
  <c r="X19" i="2"/>
  <c r="Y19" i="2" s="1"/>
  <c r="AI19" i="2"/>
  <c r="AJ19" i="2" s="1"/>
  <c r="X37" i="2"/>
  <c r="Y37" i="2" s="1"/>
  <c r="AI37" i="2"/>
  <c r="AJ37" i="2" s="1"/>
  <c r="X29" i="2"/>
  <c r="Y29" i="2" s="1"/>
  <c r="AI29" i="2"/>
  <c r="AJ29" i="2" s="1"/>
  <c r="AI25" i="2"/>
  <c r="AJ25" i="2" s="1"/>
  <c r="Y25" i="2"/>
  <c r="AB29" i="2"/>
  <c r="X21" i="2"/>
  <c r="Y21" i="2" s="1"/>
  <c r="X33" i="2"/>
  <c r="AA48" i="2"/>
  <c r="AA29" i="2" l="1"/>
  <c r="AL37" i="2"/>
  <c r="AM37" i="2"/>
  <c r="AL29" i="2"/>
  <c r="AM29" i="2"/>
  <c r="Y13" i="2"/>
  <c r="AM17" i="2"/>
  <c r="AL17" i="2"/>
  <c r="Y33" i="2"/>
  <c r="AA50" i="2"/>
  <c r="AA49" i="2"/>
  <c r="AA53" i="2"/>
  <c r="AA17" i="2" l="1"/>
  <c r="AB17" i="2"/>
  <c r="AA44" i="2"/>
  <c r="AA37" i="2"/>
  <c r="AB37" i="2"/>
  <c r="AA52" i="2"/>
</calcChain>
</file>

<file path=xl/sharedStrings.xml><?xml version="1.0" encoding="utf-8"?>
<sst xmlns="http://schemas.openxmlformats.org/spreadsheetml/2006/main" count="655" uniqueCount="238">
  <si>
    <t>Comment</t>
  </si>
  <si>
    <t>Method: PFAS_Li-Sun.m</t>
  </si>
  <si>
    <t xml:space="preserve">Integration by </t>
  </si>
  <si>
    <t>Injection vol. 1ul</t>
  </si>
  <si>
    <t>ChemStation</t>
  </si>
  <si>
    <t>m/z 293</t>
  </si>
  <si>
    <t>Int. Std.</t>
  </si>
  <si>
    <t>m/z 525</t>
  </si>
  <si>
    <t>m/z 526</t>
  </si>
  <si>
    <t>Run no.</t>
  </si>
  <si>
    <t>Sample ID</t>
  </si>
  <si>
    <t>RT</t>
  </si>
  <si>
    <t>SIM_293</t>
  </si>
  <si>
    <t>SIM_293_auto</t>
  </si>
  <si>
    <t>SIM_525</t>
  </si>
  <si>
    <t>SIM_525_auto</t>
  </si>
  <si>
    <t>SIM_526</t>
  </si>
  <si>
    <t>SIM_526_auto</t>
  </si>
  <si>
    <t>21.07.21 GC-MS Measurement</t>
  </si>
  <si>
    <t>PE_C from 09.07.21, Derivatization of PE_C_1.1 to PE_C_2.1, C_Std_1/2/3 and PostBlk 19.07.21</t>
  </si>
  <si>
    <t>Int.Std.: PCNB</t>
  </si>
  <si>
    <t>5 ul of 10 ng/ul</t>
  </si>
  <si>
    <t>PE_C_PFAS_19.07_10_Blk.1</t>
  </si>
  <si>
    <t>PE_C_PFAS_19.07_10_Blk.2</t>
  </si>
  <si>
    <t>PE_C_PFAS_19.07_10_Blk.3</t>
  </si>
  <si>
    <t>PE_C_PFAS_19.07_10_Blk.4</t>
  </si>
  <si>
    <t>PE_C_PFAS_19.07_1_C_Std_1.1</t>
  </si>
  <si>
    <t>PE_C_PFAS_19.07_1_C_Std_1.2</t>
  </si>
  <si>
    <t>PE_C_PFAS_19.07_2_C_Std_2.1</t>
  </si>
  <si>
    <t>PE_C_PFAS_19.07_2_C_Std_2.2</t>
  </si>
  <si>
    <t>PE_C_PFAS_19.07_3_C_Std_3.1</t>
  </si>
  <si>
    <t>PE_C_PFAS_19.07_3_C_Std_3.2</t>
  </si>
  <si>
    <t>PE_C_PFAS_19.07_4_1.1.1</t>
  </si>
  <si>
    <t>PE_C_PFAS_19.07_4_1.1.2</t>
  </si>
  <si>
    <t>PE_C_PFAS_19.07_5_1.2.1</t>
  </si>
  <si>
    <t>PE_C_PFAS_19.07_5_1.2.2</t>
  </si>
  <si>
    <t>PE_C_PFAS_19.07_6_1.3.1</t>
  </si>
  <si>
    <t>PE_C_PFAS_19.07_6_1.3.2</t>
  </si>
  <si>
    <t>PE_C_PFAS_19.07_7_1.4.1</t>
  </si>
  <si>
    <t>PE_C_PFAS_19.07_7_1.4.2</t>
  </si>
  <si>
    <t>PE_C_PFAS_19.07_8_2.1.1</t>
  </si>
  <si>
    <t>PE_C_PFAS_19.07_8_2.1.2</t>
  </si>
  <si>
    <t>Derivat. Messed up - repeat in next run</t>
  </si>
  <si>
    <t>Theor. Conc [ppm]</t>
  </si>
  <si>
    <t>PFOA</t>
  </si>
  <si>
    <t>in n-Hex</t>
  </si>
  <si>
    <t>init. aq. Sol</t>
  </si>
  <si>
    <t>Slight signal, bc forgot to clean inject. Syringe properly</t>
  </si>
  <si>
    <t>Computed Conc</t>
  </si>
  <si>
    <t>n.hex [ppm]</t>
  </si>
  <si>
    <t>Or residual from previous high Std</t>
  </si>
  <si>
    <t>Interesting peaks</t>
  </si>
  <si>
    <t>PE_C_PFAS_19.07_9_2.2.1_trial</t>
  </si>
  <si>
    <t>w/ 2ul inj.vol.</t>
  </si>
  <si>
    <t>PE_C_PFAS_19.07_9_2.2.2_trial</t>
  </si>
  <si>
    <t>w/ 1ul inj.vol.</t>
  </si>
  <si>
    <t>Assumption</t>
  </si>
  <si>
    <t>Neglection of Vapourization and loss to labware</t>
  </si>
  <si>
    <t>Calibration Standards</t>
  </si>
  <si>
    <t>Individual GC-MS measurements</t>
  </si>
  <si>
    <t>Area</t>
  </si>
  <si>
    <t xml:space="preserve">Init. Conc. Aq. </t>
  </si>
  <si>
    <t>Init. Mass Aq.</t>
  </si>
  <si>
    <t>Conc. n-Hex</t>
  </si>
  <si>
    <t>PFOA [ppm]</t>
  </si>
  <si>
    <t>PFOA [ug]</t>
  </si>
  <si>
    <t>Samples</t>
  </si>
  <si>
    <t>Calc Conc</t>
  </si>
  <si>
    <t>Sorbed</t>
  </si>
  <si>
    <t>K_d</t>
  </si>
  <si>
    <t>n-Hex [ppm]</t>
  </si>
  <si>
    <t>Mass [ug]</t>
  </si>
  <si>
    <t>Conc [ppm]</t>
  </si>
  <si>
    <t>C_s/C_aq</t>
  </si>
  <si>
    <t>w/o extraction dilution correction</t>
  </si>
  <si>
    <t>Idea:</t>
  </si>
  <si>
    <t>From conc in n-hex to conc. Of extracted solution</t>
  </si>
  <si>
    <t>Therefore considered as solid phase</t>
  </si>
  <si>
    <t>Thus, Mass balance</t>
  </si>
  <si>
    <t>Initial Mass = Mass(extracted solution) + Mass(residual solution + soil)</t>
  </si>
  <si>
    <t>Consider Mass(residual solution+Soil)=Sorbed?!</t>
  </si>
  <si>
    <t>PE_C_PFAS_22.07_1_C_Std_1.1</t>
  </si>
  <si>
    <t>PE_C_PFAS_22.07_1_C_Std_1.2</t>
  </si>
  <si>
    <t>PE_C_PFAS_22.07_2_C_Std_2.1</t>
  </si>
  <si>
    <t>PE_C_PFAS_22.07_2_C_Std_2.2</t>
  </si>
  <si>
    <t>PE_C_PFAS_22.07_3_C_Std_3.1</t>
  </si>
  <si>
    <t>PE_C_PFAS_22.07_3_C_Std_3.2</t>
  </si>
  <si>
    <t>PE_C_PFAS_22.07_4_2.2.1</t>
  </si>
  <si>
    <t>PE_C_PFAS_22.07_4_2.2.2</t>
  </si>
  <si>
    <t>PE_C_PFAS_22.07_5_2.3.1</t>
  </si>
  <si>
    <t>PE_C_PFAS_22.07_5_2.3.2</t>
  </si>
  <si>
    <t>PE_C_PFAS_22.07_6_2.4.1</t>
  </si>
  <si>
    <t>PE_C_PFAS_22.07_6_2.4.2</t>
  </si>
  <si>
    <t>PE_C_PFAS_22.07_7_3.1.1</t>
  </si>
  <si>
    <t>PE_C_PFAS_22.07_7_3.1.2</t>
  </si>
  <si>
    <t>PE_C_PFAS_22.07_8_3.2.1</t>
  </si>
  <si>
    <t>PE_C_PFAS_22.07_8_3.2.2</t>
  </si>
  <si>
    <t>PE_C_PFAS_22.07_9_3.3.1</t>
  </si>
  <si>
    <t>PE_C_PFAS_22.07_9_3.3.2</t>
  </si>
  <si>
    <t>PE_C_PFAS_22.07_10_3.4.1</t>
  </si>
  <si>
    <t>PE_C_PFAS_22.07_10_3.4.2</t>
  </si>
  <si>
    <t>PE_C_PFAS_22.07_11_Blk.1</t>
  </si>
  <si>
    <t>PE_C_PFAS_22.07_11_Blk.2</t>
  </si>
  <si>
    <t>PE_C_PFAS_22.07_11_Blk.3</t>
  </si>
  <si>
    <t>PE_C_PFAS_22.07_11_Blk.4</t>
  </si>
  <si>
    <t>23.07.21 GC-MS Measurement</t>
  </si>
  <si>
    <t>PE_C from 09.07.21, Derivatization of PE_C_1.1 to PE_C_2.1, C_Std_1/2/3 and PostBlk 22.07.21</t>
  </si>
  <si>
    <t>Mean</t>
  </si>
  <si>
    <t>K_d Mean</t>
  </si>
  <si>
    <t>PE-C_1-1</t>
  </si>
  <si>
    <t>PE-C_1-2</t>
  </si>
  <si>
    <t>PE-C_1-3</t>
  </si>
  <si>
    <t>PE-C_1-4</t>
  </si>
  <si>
    <t>PE-C_2-1</t>
  </si>
  <si>
    <t>PE-C_2-2</t>
  </si>
  <si>
    <t>PE-C_2-3</t>
  </si>
  <si>
    <t>PE-C_2-4</t>
  </si>
  <si>
    <t>PE-C_3-1</t>
  </si>
  <si>
    <t>PE-C_3-2</t>
  </si>
  <si>
    <t>PE-C_3-3</t>
  </si>
  <si>
    <t>PE-C_3-4</t>
  </si>
  <si>
    <t>-</t>
  </si>
  <si>
    <t>Eq. Mass Aq.</t>
  </si>
  <si>
    <t>Eq. Mass Gas</t>
  </si>
  <si>
    <t>Eq. Conc. Gas.</t>
  </si>
  <si>
    <t>GC-MS meas. averaged</t>
  </si>
  <si>
    <t>SIM_166</t>
  </si>
  <si>
    <t>PCE [ppm]</t>
  </si>
  <si>
    <t>PCE [ug]</t>
  </si>
  <si>
    <t>PE_B_PCE_C_Std_28.06_Blk</t>
  </si>
  <si>
    <t>PE_B_PCE_C_Std_28.06_1</t>
  </si>
  <si>
    <t>PE_B_PCE_C_Std_28.06_2</t>
  </si>
  <si>
    <t>PE_B_PCE_C_Std_28.06_3</t>
  </si>
  <si>
    <t>PE_B_PCE_C_Std_28.06_4</t>
  </si>
  <si>
    <t>PE_B_PCE_C_Std_28.06_5</t>
  </si>
  <si>
    <t>Extract vol noted - presume water residing in soil after centrif. non-mobile</t>
  </si>
  <si>
    <t>Or compute residual mass contam in soil after centrif with non-mobile pw (grainwater) and soil!</t>
  </si>
  <si>
    <t>GC-MS meas</t>
  </si>
  <si>
    <t>Excluded in corrected series</t>
  </si>
  <si>
    <t>in Extract.</t>
  </si>
  <si>
    <t>sol aq. [ppm]</t>
  </si>
  <si>
    <t>Correct. Dil. From Extract</t>
  </si>
  <si>
    <t>Mass aq [ug]</t>
  </si>
  <si>
    <t>"All"-Calibration</t>
  </si>
  <si>
    <t>mass aq [ug]</t>
  </si>
  <si>
    <t>Soil mass [g]</t>
  </si>
  <si>
    <t>"Corrected"-Calibration</t>
  </si>
  <si>
    <t>Std.Dev.</t>
  </si>
  <si>
    <t>Corr. Fact.</t>
  </si>
  <si>
    <t>Soil 1</t>
  </si>
  <si>
    <t>Soil 2</t>
  </si>
  <si>
    <t>Soil 3</t>
  </si>
  <si>
    <t>Calibration</t>
  </si>
  <si>
    <t>Extract. Factor 1</t>
  </si>
  <si>
    <t>"All"</t>
  </si>
  <si>
    <t>"Corrected"</t>
  </si>
  <si>
    <t>Measured Kd</t>
  </si>
  <si>
    <t>(Means)</t>
  </si>
  <si>
    <t>Theoret. Kd</t>
  </si>
  <si>
    <t>by K_oc</t>
  </si>
  <si>
    <t>K_oc max.</t>
  </si>
  <si>
    <t>K_oc min.</t>
  </si>
  <si>
    <t>f_oc</t>
  </si>
  <si>
    <t>K_oc mean</t>
  </si>
  <si>
    <t>Extract.</t>
  </si>
  <si>
    <t>vol [ml]</t>
  </si>
  <si>
    <t>Extraction</t>
  </si>
  <si>
    <t>Before Filtr.</t>
  </si>
  <si>
    <t>Vol. added</t>
  </si>
  <si>
    <t>Vol. total</t>
  </si>
  <si>
    <t>Vol. original</t>
  </si>
  <si>
    <t>Extract</t>
  </si>
  <si>
    <t>Further corrections to apply</t>
  </si>
  <si>
    <t>A) Blank correction</t>
  </si>
  <si>
    <t>B) Instrumental trend correction</t>
  </si>
  <si>
    <t>C) Int. Std. correction?</t>
  </si>
  <si>
    <t>Further calibration approach</t>
  </si>
  <si>
    <t>I) Int. Std. Calibration</t>
  </si>
  <si>
    <t>525/526</t>
  </si>
  <si>
    <t>(auto/auto)</t>
  </si>
  <si>
    <t>Correction:</t>
  </si>
  <si>
    <t>Drift Correction</t>
  </si>
  <si>
    <t>Blank correction</t>
  </si>
  <si>
    <t>Original</t>
  </si>
  <si>
    <t>Instr. Drift</t>
  </si>
  <si>
    <t>Blank (mean)</t>
  </si>
  <si>
    <t>Correction</t>
  </si>
  <si>
    <t>GC-MS measurement</t>
  </si>
  <si>
    <t>here log-drift</t>
  </si>
  <si>
    <t>correct. Possible</t>
  </si>
  <si>
    <t>1st</t>
  </si>
  <si>
    <t>(Instrument)</t>
  </si>
  <si>
    <t>Apply on area</t>
  </si>
  <si>
    <t>Orig. Vol.</t>
  </si>
  <si>
    <t>2nd</t>
  </si>
  <si>
    <t>(Instr.+Derivat.)</t>
  </si>
  <si>
    <t>Added Vol.</t>
  </si>
  <si>
    <t>3rd</t>
  </si>
  <si>
    <t>Sample Blk correction</t>
  </si>
  <si>
    <t>(Background)</t>
  </si>
  <si>
    <t>Apply on conc.</t>
  </si>
  <si>
    <t>Max or Mean of Blank????</t>
  </si>
  <si>
    <t>Total Vol</t>
  </si>
  <si>
    <t>4th</t>
  </si>
  <si>
    <t>Extraction Dilution</t>
  </si>
  <si>
    <t>Max</t>
  </si>
  <si>
    <t>Corr. Factor</t>
  </si>
  <si>
    <t>in Extract</t>
  </si>
  <si>
    <t>Extract Correct</t>
  </si>
  <si>
    <t>Sorption</t>
  </si>
  <si>
    <t>Blank Correct</t>
  </si>
  <si>
    <t>Correted for</t>
  </si>
  <si>
    <t>Sample Blk correct</t>
  </si>
  <si>
    <t>Solution</t>
  </si>
  <si>
    <t>Orig. Aq. Conc.</t>
  </si>
  <si>
    <t>Aq. Mass</t>
  </si>
  <si>
    <t>Initial</t>
  </si>
  <si>
    <t>Calibr. A)</t>
  </si>
  <si>
    <t>Calibr. B)</t>
  </si>
  <si>
    <t>C_s/C_w</t>
  </si>
  <si>
    <t>A) Drift</t>
  </si>
  <si>
    <t>B) Drift+Blk</t>
  </si>
  <si>
    <t>Conc.</t>
  </si>
  <si>
    <t>Mass</t>
  </si>
  <si>
    <t>Conc</t>
  </si>
  <si>
    <t>n-hex [ppm]</t>
  </si>
  <si>
    <t>PFOA [µg]</t>
  </si>
  <si>
    <t>K_d [L/kg]</t>
  </si>
  <si>
    <t>Means</t>
  </si>
  <si>
    <t>Calibration A)</t>
  </si>
  <si>
    <t>Eq. Aq.</t>
  </si>
  <si>
    <t>Eq. Solid</t>
  </si>
  <si>
    <t>Kd</t>
  </si>
  <si>
    <t>Calibration B)</t>
  </si>
  <si>
    <t>A)</t>
  </si>
  <si>
    <t>B)</t>
  </si>
  <si>
    <t>S.D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</si>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</sst>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2" borderId="8" xfId="0" applyFill="1" applyBorder="1"/>
    <xf numFmtId="0" fontId="0" fillId="3" borderId="8" xfId="0" applyFill="1" applyBorder="1"/>
    <xf numFmtId="0" fontId="0" fillId="3" borderId="0" xfId="0" applyFill="1"/>
    <xf numFmtId="0" fontId="0" fillId="0" borderId="8" xfId="0" applyFill="1" applyBorder="1"/>
    <xf numFmtId="0" fontId="0" fillId="0" borderId="9" xfId="0" applyBorder="1"/>
    <xf numFmtId="0" fontId="0" fillId="3" borderId="4" xfId="0" applyFill="1" applyBorder="1"/>
    <xf numFmtId="0" fontId="0" fillId="0" borderId="3" xfId="0" applyFill="1" applyBorder="1"/>
    <xf numFmtId="0" fontId="0" fillId="0" borderId="10" xfId="0" applyBorder="1"/>
    <xf numFmtId="0" fontId="0" fillId="0" borderId="0" xfId="0" applyBorder="1"/>
    <xf numFmtId="0" fontId="0" fillId="0" borderId="9" xfId="0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6" xfId="0" applyFill="1" applyBorder="1"/>
    <xf numFmtId="0" fontId="1" fillId="0" borderId="0" xfId="0" applyFont="1"/>
    <xf numFmtId="14" fontId="0" fillId="0" borderId="0" xfId="0" applyNumberFormat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4" borderId="8" xfId="0" applyFill="1" applyBorder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0" borderId="11" xfId="0" applyBorder="1"/>
    <xf numFmtId="164" fontId="0" fillId="0" borderId="4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1" fillId="0" borderId="11" xfId="0" applyFont="1" applyBorder="1"/>
    <xf numFmtId="14" fontId="0" fillId="0" borderId="9" xfId="0" applyNumberFormat="1" applyBorder="1"/>
    <xf numFmtId="0" fontId="0" fillId="0" borderId="13" xfId="0" applyBorder="1"/>
    <xf numFmtId="0" fontId="0" fillId="6" borderId="8" xfId="0" applyFill="1" applyBorder="1"/>
    <xf numFmtId="0" fontId="0" fillId="6" borderId="0" xfId="0" applyFill="1"/>
    <xf numFmtId="0" fontId="0" fillId="8" borderId="0" xfId="0" applyFill="1"/>
    <xf numFmtId="0" fontId="0" fillId="8" borderId="8" xfId="0" applyFill="1" applyBorder="1"/>
    <xf numFmtId="0" fontId="0" fillId="8" borderId="0" xfId="0" applyFill="1" applyBorder="1"/>
    <xf numFmtId="0" fontId="0" fillId="0" borderId="7" xfId="0" applyFill="1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0" xfId="0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0" fillId="0" borderId="17" xfId="0" applyBorder="1"/>
    <xf numFmtId="0" fontId="1" fillId="8" borderId="0" xfId="0" applyFont="1" applyFill="1"/>
    <xf numFmtId="0" fontId="1" fillId="7" borderId="0" xfId="0" applyFont="1" applyFill="1"/>
    <xf numFmtId="0" fontId="1" fillId="3" borderId="10" xfId="0" applyFont="1" applyFill="1" applyBorder="1"/>
    <xf numFmtId="0" fontId="1" fillId="0" borderId="9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7" xfId="0" applyFont="1" applyBorder="1"/>
    <xf numFmtId="0" fontId="0" fillId="8" borderId="3" xfId="0" applyFill="1" applyBorder="1"/>
    <xf numFmtId="0" fontId="0" fillId="8" borderId="4" xfId="0" applyFill="1" applyBorder="1"/>
    <xf numFmtId="0" fontId="0" fillId="8" borderId="7" xfId="0" applyFill="1" applyBorder="1"/>
    <xf numFmtId="0" fontId="0" fillId="8" borderId="6" xfId="0" applyFill="1" applyBorder="1"/>
    <xf numFmtId="14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Fill="1" applyBorder="1"/>
    <xf numFmtId="0" fontId="1" fillId="0" borderId="28" xfId="0" applyFont="1" applyBorder="1"/>
    <xf numFmtId="0" fontId="1" fillId="0" borderId="29" xfId="0" applyFont="1" applyBorder="1"/>
    <xf numFmtId="0" fontId="1" fillId="0" borderId="0" xfId="0" applyFont="1" applyBorder="1"/>
    <xf numFmtId="165" fontId="0" fillId="0" borderId="0" xfId="0" applyNumberFormat="1" applyBorder="1"/>
    <xf numFmtId="0" fontId="0" fillId="5" borderId="8" xfId="0" applyFill="1" applyBorder="1"/>
    <xf numFmtId="0" fontId="0" fillId="5" borderId="4" xfId="0" applyFill="1" applyBorder="1"/>
    <xf numFmtId="0" fontId="0" fillId="9" borderId="0" xfId="0" applyFill="1" applyBorder="1"/>
    <xf numFmtId="0" fontId="1" fillId="0" borderId="14" xfId="0" applyFont="1" applyBorder="1"/>
    <xf numFmtId="0" fontId="2" fillId="0" borderId="0" xfId="0" applyFont="1"/>
    <xf numFmtId="0" fontId="1" fillId="10" borderId="30" xfId="0" applyFont="1" applyFill="1" applyBorder="1"/>
    <xf numFmtId="0" fontId="1" fillId="5" borderId="15" xfId="0" applyFont="1" applyFill="1" applyBorder="1"/>
    <xf numFmtId="0" fontId="0" fillId="10" borderId="0" xfId="0" applyFill="1"/>
    <xf numFmtId="0" fontId="0" fillId="5" borderId="5" xfId="0" applyFill="1" applyBorder="1"/>
    <xf numFmtId="0" fontId="0" fillId="11" borderId="0" xfId="0" applyFill="1"/>
    <xf numFmtId="0" fontId="1" fillId="0" borderId="0" xfId="0" applyFont="1" applyAlignment="1">
      <alignment horizontal="right"/>
    </xf>
    <xf numFmtId="0" fontId="1" fillId="5" borderId="30" xfId="0" applyFont="1" applyFill="1" applyBorder="1"/>
    <xf numFmtId="0" fontId="1" fillId="12" borderId="15" xfId="0" applyFont="1" applyFill="1" applyBorder="1"/>
    <xf numFmtId="0" fontId="1" fillId="11" borderId="0" xfId="0" applyFont="1" applyFill="1"/>
    <xf numFmtId="0" fontId="1" fillId="6" borderId="0" xfId="0" applyFont="1" applyFill="1"/>
    <xf numFmtId="0" fontId="1" fillId="11" borderId="8" xfId="0" applyFont="1" applyFill="1" applyBorder="1"/>
    <xf numFmtId="0" fontId="1" fillId="0" borderId="8" xfId="0" applyFont="1" applyBorder="1"/>
    <xf numFmtId="0" fontId="0" fillId="10" borderId="8" xfId="0" applyFill="1" applyBorder="1"/>
    <xf numFmtId="0" fontId="1" fillId="12" borderId="0" xfId="0" applyFont="1" applyFill="1"/>
    <xf numFmtId="0" fontId="0" fillId="9" borderId="0" xfId="0" applyFill="1"/>
    <xf numFmtId="0" fontId="0" fillId="9" borderId="4" xfId="0" applyFill="1" applyBorder="1"/>
    <xf numFmtId="0" fontId="0" fillId="9" borderId="8" xfId="0" applyFill="1" applyBorder="1"/>
    <xf numFmtId="0" fontId="0" fillId="11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Calibration n-hex conc</a:t>
            </a:r>
          </a:p>
          <a:p>
            <a:pPr>
              <a:defRPr sz="1000"/>
            </a:pPr>
            <a:r>
              <a:rPr lang="en-US" sz="1000"/>
              <a:t>21.07.21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C_Std_SIM_525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9217322834645675"/>
                  <c:y val="-1.4305555555555556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raw_data!$L$7:$L$15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xVal>
          <c:yVal>
            <c:numRef>
              <c:f>raw_data!$G$7:$G$15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147234</c:v>
                </c:pt>
                <c:pt idx="3">
                  <c:v>165600</c:v>
                </c:pt>
                <c:pt idx="4">
                  <c:v>1032350</c:v>
                </c:pt>
                <c:pt idx="5">
                  <c:v>1133164</c:v>
                </c:pt>
                <c:pt idx="6">
                  <c:v>1925128</c:v>
                </c:pt>
                <c:pt idx="7">
                  <c:v>2193130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D-4CE1-8365-7B89AC8385A5}"/>
            </c:ext>
          </c:extLst>
        </c:ser>
        <c:ser>
          <c:idx val="1"/>
          <c:order val="1"/>
          <c:tx>
            <c:v>C_Std_SIM_525_auto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5223914375972554E-2"/>
                  <c:y val="0.26732941954530715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raw_data!$L$7:$L$15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raw_data!$H$7:$H$15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147234</c:v>
                </c:pt>
                <c:pt idx="3">
                  <c:v>166507</c:v>
                </c:pt>
                <c:pt idx="4">
                  <c:v>1029277</c:v>
                </c:pt>
                <c:pt idx="5">
                  <c:v>1130208</c:v>
                </c:pt>
                <c:pt idx="6">
                  <c:v>0</c:v>
                </c:pt>
                <c:pt idx="7">
                  <c:v>2188019</c:v>
                </c:pt>
                <c:pt idx="8">
                  <c:v>29635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B2D-4CE1-8365-7B89AC83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98000"/>
        <c:axId val="582799312"/>
        <c:extLst/>
      </c:scatterChart>
      <c:valAx>
        <c:axId val="5827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</a:t>
                </a:r>
                <a:r>
                  <a:rPr lang="en-US" baseline="0"/>
                  <a:t> in n-hex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99312"/>
        <c:crosses val="autoZero"/>
        <c:crossBetween val="midCat"/>
      </c:valAx>
      <c:valAx>
        <c:axId val="5827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Calibration n-hex conc</a:t>
            </a:r>
          </a:p>
          <a:p>
            <a:pPr>
              <a:defRPr sz="1000"/>
            </a:pPr>
            <a:r>
              <a:rPr lang="en-US" sz="1000"/>
              <a:t>23.07.21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raw_data!$G$39</c:f>
              <c:strCache>
                <c:ptCount val="1"/>
                <c:pt idx="0">
                  <c:v>SIM_525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280314960629919"/>
                  <c:y val="-4.630293280088421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(raw_data!$L$40:$L$48,raw_data!$L$60)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(raw_data!$G$40:$G$48,raw_data!$G$60)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347718</c:v>
                </c:pt>
                <c:pt idx="3">
                  <c:v>402171</c:v>
                </c:pt>
                <c:pt idx="4">
                  <c:v>2884696</c:v>
                </c:pt>
                <c:pt idx="5">
                  <c:v>2026440</c:v>
                </c:pt>
                <c:pt idx="6">
                  <c:v>4948429</c:v>
                </c:pt>
                <c:pt idx="7">
                  <c:v>4638103</c:v>
                </c:pt>
                <c:pt idx="8">
                  <c:v>542945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B-4281-B14B-A4CCBC094F5C}"/>
            </c:ext>
          </c:extLst>
        </c:ser>
        <c:ser>
          <c:idx val="1"/>
          <c:order val="1"/>
          <c:tx>
            <c:strRef>
              <c:f>raw_data!$H$39</c:f>
              <c:strCache>
                <c:ptCount val="1"/>
                <c:pt idx="0">
                  <c:v>SIM_525_auto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957780277465317E-2"/>
                  <c:y val="0.21310656587099755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(raw_data!$L$40:$L$48,raw_data!$L$60)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(raw_data!$H$40:$H$48,raw_data!$H$60)</c:f>
              <c:numCache>
                <c:formatCode>General</c:formatCode>
                <c:ptCount val="10"/>
                <c:pt idx="0">
                  <c:v>49515</c:v>
                </c:pt>
                <c:pt idx="1">
                  <c:v>39546</c:v>
                </c:pt>
                <c:pt idx="2">
                  <c:v>347976</c:v>
                </c:pt>
                <c:pt idx="3">
                  <c:v>403080</c:v>
                </c:pt>
                <c:pt idx="4">
                  <c:v>2875301</c:v>
                </c:pt>
                <c:pt idx="5">
                  <c:v>2022114</c:v>
                </c:pt>
                <c:pt idx="6">
                  <c:v>4934383</c:v>
                </c:pt>
                <c:pt idx="7">
                  <c:v>4628932</c:v>
                </c:pt>
                <c:pt idx="8">
                  <c:v>545084</c:v>
                </c:pt>
                <c:pt idx="9">
                  <c:v>84578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B-4281-B14B-A4CCBC09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55864"/>
        <c:axId val="570055208"/>
      </c:scatterChart>
      <c:valAx>
        <c:axId val="5700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conc in n-hex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5208"/>
        <c:crosses val="autoZero"/>
        <c:crossBetween val="midCat"/>
      </c:valAx>
      <c:valAx>
        <c:axId val="5700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Instrumental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Blk_SIM_293_21.07.21_correct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85235018787648E-2"/>
                  <c:y val="-0.1536834451605908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(Processing_final!$A$8,Processing_final!$A$15,Processing_final!$A$26)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20</c:v>
                </c:pt>
              </c:numCache>
            </c:numRef>
          </c:xVal>
          <c:yVal>
            <c:numRef>
              <c:f>(Processing_final!$H$8,Processing_final!$H$15,Processing_final!$H$26)</c:f>
              <c:numCache>
                <c:formatCode>General</c:formatCode>
                <c:ptCount val="3"/>
                <c:pt idx="0">
                  <c:v>65110</c:v>
                </c:pt>
                <c:pt idx="1">
                  <c:v>43590</c:v>
                </c:pt>
                <c:pt idx="2">
                  <c:v>77347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F6-4457-8D6E-A405089C48CA}"/>
            </c:ext>
          </c:extLst>
        </c:ser>
        <c:ser>
          <c:idx val="3"/>
          <c:order val="3"/>
          <c:tx>
            <c:v>Blk_SIM_293_23.07.21_correct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762532535162411E-2"/>
                  <c:y val="0.15051700973450416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(Processing_final!$A$38,Processing_final!$A$45,Processing_final!$A$56)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20</c:v>
                </c:pt>
              </c:numCache>
            </c:numRef>
          </c:xVal>
          <c:yVal>
            <c:numRef>
              <c:f>(Processing_final!$H$38,Processing_final!$H$45,Processing_final!$H$56)</c:f>
              <c:numCache>
                <c:formatCode>General</c:formatCode>
                <c:ptCount val="3"/>
                <c:pt idx="0">
                  <c:v>510487</c:v>
                </c:pt>
                <c:pt idx="1">
                  <c:v>918832</c:v>
                </c:pt>
                <c:pt idx="2">
                  <c:v>1272967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F6-4457-8D6E-A405089C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75752"/>
        <c:axId val="627770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Blk_SIM_293_21.07.21_all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3.8328302712160978E-2"/>
                        <c:y val="-5.2668780985710123E-2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(Processing_final!$A$7:$A$8,Processing_final!$A$15,Processing_final!$A$26)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(Processing_final!$H$7:$H$8,Processing_final!$H$15,Processing_final!$H$26)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38264</c:v>
                      </c:pt>
                      <c:pt idx="1">
                        <c:v>65110</c:v>
                      </c:pt>
                      <c:pt idx="2">
                        <c:v>43590</c:v>
                      </c:pt>
                      <c:pt idx="3">
                        <c:v>77347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F6-4457-8D6E-A405089C48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Blk_SIM_293_23.07.21_all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0.30749141372381822"/>
                        <c:y val="-8.1868295797700736E-3"/>
                      </c:manualLayout>
                    </c:layout>
                    <c:numFmt formatCode="#,##0.000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(Processing_final!$A$37:$A$38,Processing_final!$A$45,Processing_final!$A$56)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(Processing_final!$H$37:$H$38,Processing_final!$H$45,Processing_final!$H$56)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297809</c:v>
                      </c:pt>
                      <c:pt idx="1">
                        <c:v>510487</c:v>
                      </c:pt>
                      <c:pt idx="2">
                        <c:v>918832</c:v>
                      </c:pt>
                      <c:pt idx="3">
                        <c:v>1272967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F6-4457-8D6E-A405089C48CA}"/>
                  </c:ext>
                </c:extLst>
              </c15:ser>
            </c15:filteredScatterSeries>
          </c:ext>
        </c:extLst>
      </c:scatterChart>
      <c:valAx>
        <c:axId val="6277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70504"/>
        <c:crosses val="autoZero"/>
        <c:crossBetween val="midCat"/>
      </c:valAx>
      <c:valAx>
        <c:axId val="6277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SIM_293_auto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7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PFOA in n-hex [ppm] 21.07.21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75565302668671"/>
                  <c:y val="-3.0684506640517278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Processing_final!$S$8:$S$17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Processing_final!$N$8:$N$17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147234</c:v>
                </c:pt>
                <c:pt idx="3">
                  <c:v>166507</c:v>
                </c:pt>
                <c:pt idx="4">
                  <c:v>1029277</c:v>
                </c:pt>
                <c:pt idx="5">
                  <c:v>1130208</c:v>
                </c:pt>
                <c:pt idx="6">
                  <c:v>1922078</c:v>
                </c:pt>
                <c:pt idx="7">
                  <c:v>2188019</c:v>
                </c:pt>
                <c:pt idx="8">
                  <c:v>29635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2-4DCB-AA37-3A288B8A5737}"/>
            </c:ext>
          </c:extLst>
        </c:ser>
        <c:ser>
          <c:idx val="1"/>
          <c:order val="1"/>
          <c:tx>
            <c:v>SIM_525_auto_drift-corr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791696139539526E-2"/>
                  <c:y val="0.1243525918068759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Processing_final!$S$8:$S$17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Processing_final!$O$8:$O$17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140126.15598933792</c:v>
                </c:pt>
                <c:pt idx="3">
                  <c:v>155959.05147812938</c:v>
                </c:pt>
                <c:pt idx="4">
                  <c:v>949043.87292487698</c:v>
                </c:pt>
                <c:pt idx="5">
                  <c:v>1026109.954326172</c:v>
                </c:pt>
                <c:pt idx="6">
                  <c:v>1718661.6524790742</c:v>
                </c:pt>
                <c:pt idx="7">
                  <c:v>1927319.0086182395</c:v>
                </c:pt>
                <c:pt idx="8">
                  <c:v>25720.945538126722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2-4DCB-AA37-3A288B8A5737}"/>
            </c:ext>
          </c:extLst>
        </c:ser>
        <c:ser>
          <c:idx val="2"/>
          <c:order val="2"/>
          <c:tx>
            <c:v>SIM_525_auto_drift+blk-corr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34551943278507E-2"/>
                  <c:y val="0.25134105436054721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Processing_final!$S$8:$S$17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Processing_final!$P$8:$P$17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133695.91960480623</c:v>
                </c:pt>
                <c:pt idx="3">
                  <c:v>149528.81509359769</c:v>
                </c:pt>
                <c:pt idx="4">
                  <c:v>942613.63654034527</c:v>
                </c:pt>
                <c:pt idx="5">
                  <c:v>1019679.7179416403</c:v>
                </c:pt>
                <c:pt idx="6">
                  <c:v>1712231.4160945425</c:v>
                </c:pt>
                <c:pt idx="7">
                  <c:v>1920888.7722337078</c:v>
                </c:pt>
                <c:pt idx="8">
                  <c:v>19290.709153595042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2-4DCB-AA37-3A288B8A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38304"/>
        <c:axId val="655339288"/>
      </c:scatterChart>
      <c:valAx>
        <c:axId val="6553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</a:t>
                </a:r>
                <a:r>
                  <a:rPr lang="en-US" baseline="0"/>
                  <a:t> conc PFOA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9288"/>
        <c:crosses val="autoZero"/>
        <c:crossBetween val="midCat"/>
      </c:valAx>
      <c:valAx>
        <c:axId val="65533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 SIM_525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PFOA in n-hex [ppm] 23.07.21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73203998274467"/>
                  <c:y val="-4.1806477848335771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Processing_final!$S$22:$S$31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Processing_final!$N$22:$N$31</c:f>
              <c:numCache>
                <c:formatCode>General</c:formatCode>
                <c:ptCount val="10"/>
                <c:pt idx="0">
                  <c:v>49515</c:v>
                </c:pt>
                <c:pt idx="1">
                  <c:v>39546</c:v>
                </c:pt>
                <c:pt idx="2">
                  <c:v>347976</c:v>
                </c:pt>
                <c:pt idx="3">
                  <c:v>403080</c:v>
                </c:pt>
                <c:pt idx="4">
                  <c:v>2875301</c:v>
                </c:pt>
                <c:pt idx="5">
                  <c:v>2022114</c:v>
                </c:pt>
                <c:pt idx="6">
                  <c:v>4934383</c:v>
                </c:pt>
                <c:pt idx="7">
                  <c:v>4628932</c:v>
                </c:pt>
                <c:pt idx="8">
                  <c:v>545084</c:v>
                </c:pt>
                <c:pt idx="9">
                  <c:v>84578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1-4022-BF42-C410E8BC5BC8}"/>
            </c:ext>
          </c:extLst>
        </c:ser>
        <c:ser>
          <c:idx val="1"/>
          <c:order val="1"/>
          <c:tx>
            <c:v>SIM_525_auto_drift-corr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43473051467371"/>
                  <c:y val="0.12321685242492147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Processing_final!$S$22:$S$31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Processing_final!$O$22:$O$31</c:f>
              <c:numCache>
                <c:formatCode>General</c:formatCode>
                <c:ptCount val="10"/>
                <c:pt idx="0">
                  <c:v>45520.431119259454</c:v>
                </c:pt>
                <c:pt idx="1">
                  <c:v>33641.664597491355</c:v>
                </c:pt>
                <c:pt idx="2">
                  <c:v>275458.74359263579</c:v>
                </c:pt>
                <c:pt idx="3">
                  <c:v>298353.8415254103</c:v>
                </c:pt>
                <c:pt idx="4">
                  <c:v>1998448.5441066243</c:v>
                </c:pt>
                <c:pt idx="5">
                  <c:v>1324656.1588171145</c:v>
                </c:pt>
                <c:pt idx="6">
                  <c:v>3056721.0768933375</c:v>
                </c:pt>
                <c:pt idx="7">
                  <c:v>2719659.1087207315</c:v>
                </c:pt>
                <c:pt idx="8">
                  <c:v>304553.65532717033</c:v>
                </c:pt>
                <c:pt idx="9">
                  <c:v>30699.078994774081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1-4022-BF42-C410E8BC5BC8}"/>
            </c:ext>
          </c:extLst>
        </c:ser>
        <c:ser>
          <c:idx val="2"/>
          <c:order val="2"/>
          <c:tx>
            <c:v>SIM_525_auto_drift+blk-corr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91092615093248"/>
                  <c:y val="0.2366358474747023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Processing_final!$S$22:$S$31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Processing_final!$P$22:$P$31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171855.036082962</c:v>
                </c:pt>
                <c:pt idx="3">
                  <c:v>194750.13401573652</c:v>
                </c:pt>
                <c:pt idx="4">
                  <c:v>1894844.8365969504</c:v>
                </c:pt>
                <c:pt idx="5">
                  <c:v>1221052.4513074406</c:v>
                </c:pt>
                <c:pt idx="6">
                  <c:v>2953117.3693836639</c:v>
                </c:pt>
                <c:pt idx="7">
                  <c:v>2616055.4012110578</c:v>
                </c:pt>
                <c:pt idx="8">
                  <c:v>200949.94781749655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1-4022-BF42-C410E8BC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38304"/>
        <c:axId val="655339288"/>
      </c:scatterChart>
      <c:valAx>
        <c:axId val="6553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n-hex</a:t>
                </a:r>
                <a:r>
                  <a:rPr lang="en-US" baseline="0"/>
                  <a:t> conc PFOA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9288"/>
        <c:crosses val="autoZero"/>
        <c:crossBetween val="midCat"/>
      </c:valAx>
      <c:valAx>
        <c:axId val="65533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 SIM_525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PE_B_Calibration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473793662097487E-2"/>
                  <c:y val="-2.395690574302768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([1]Processing_final!$AN$17:$AN$24,[1]Processing_final!$AN$33:$AN$44)</c:f>
              <c:numCache>
                <c:formatCode>General</c:formatCode>
                <c:ptCount val="20"/>
                <c:pt idx="0">
                  <c:v>0.67608027106889046</c:v>
                </c:pt>
                <c:pt idx="1">
                  <c:v>0.80787209223149392</c:v>
                </c:pt>
                <c:pt idx="2">
                  <c:v>0.75230677633910237</c:v>
                </c:pt>
                <c:pt idx="3">
                  <c:v>1.1265506815436712</c:v>
                </c:pt>
                <c:pt idx="4">
                  <c:v>3.3246808116619428</c:v>
                </c:pt>
                <c:pt idx="5">
                  <c:v>2.9641976307722082</c:v>
                </c:pt>
                <c:pt idx="6">
                  <c:v>2.5184359125392763</c:v>
                </c:pt>
                <c:pt idx="7">
                  <c:v>2.7506545839332586</c:v>
                </c:pt>
                <c:pt idx="8">
                  <c:v>3.2505744573159028</c:v>
                </c:pt>
                <c:pt idx="9">
                  <c:v>4.6470226269660131</c:v>
                </c:pt>
                <c:pt idx="10">
                  <c:v>2.6929548306695796</c:v>
                </c:pt>
                <c:pt idx="11">
                  <c:v>3.0530001669306177</c:v>
                </c:pt>
                <c:pt idx="12">
                  <c:v>7.9736105242387714</c:v>
                </c:pt>
                <c:pt idx="13">
                  <c:v>11.003886355102098</c:v>
                </c:pt>
                <c:pt idx="14">
                  <c:v>11.905942595413093</c:v>
                </c:pt>
                <c:pt idx="15">
                  <c:v>12.377296920201838</c:v>
                </c:pt>
                <c:pt idx="16">
                  <c:v>30.098762652942003</c:v>
                </c:pt>
                <c:pt idx="17">
                  <c:v>37.743590410793857</c:v>
                </c:pt>
                <c:pt idx="18">
                  <c:v>20.996984918777066</c:v>
                </c:pt>
                <c:pt idx="19">
                  <c:v>22.822247610057843</c:v>
                </c:pt>
              </c:numCache>
            </c:numRef>
          </c:xVal>
          <c:yVal>
            <c:numRef>
              <c:f>([1]Processing_final!$AU$17:$AU$24,[1]Processing_final!$AU$33:$AU$44)</c:f>
              <c:numCache>
                <c:formatCode>General</c:formatCode>
                <c:ptCount val="20"/>
                <c:pt idx="0">
                  <c:v>0.72956789157244384</c:v>
                </c:pt>
                <c:pt idx="1">
                  <c:v>0.67685116310740245</c:v>
                </c:pt>
                <c:pt idx="2">
                  <c:v>0.6990772894643591</c:v>
                </c:pt>
                <c:pt idx="3">
                  <c:v>0.54937972738253149</c:v>
                </c:pt>
                <c:pt idx="4">
                  <c:v>1.6701276753352228</c:v>
                </c:pt>
                <c:pt idx="5">
                  <c:v>1.8143209476911166</c:v>
                </c:pt>
                <c:pt idx="6">
                  <c:v>1.9926256349842895</c:v>
                </c:pt>
                <c:pt idx="7">
                  <c:v>1.8997381664266968</c:v>
                </c:pt>
                <c:pt idx="8">
                  <c:v>3.6997702170736391</c:v>
                </c:pt>
                <c:pt idx="9">
                  <c:v>3.1411909492135948</c:v>
                </c:pt>
                <c:pt idx="10">
                  <c:v>3.9228180677321682</c:v>
                </c:pt>
                <c:pt idx="11">
                  <c:v>3.7787999332277531</c:v>
                </c:pt>
                <c:pt idx="12">
                  <c:v>6.8105557903044911</c:v>
                </c:pt>
                <c:pt idx="13">
                  <c:v>5.5984454579591603</c:v>
                </c:pt>
                <c:pt idx="14">
                  <c:v>5.2376229618347629</c:v>
                </c:pt>
                <c:pt idx="15">
                  <c:v>5.0490812319192653</c:v>
                </c:pt>
                <c:pt idx="16">
                  <c:v>7.9604949388231985</c:v>
                </c:pt>
                <c:pt idx="17">
                  <c:v>4.9025638356824572</c:v>
                </c:pt>
                <c:pt idx="18">
                  <c:v>11.601206032489173</c:v>
                </c:pt>
                <c:pt idx="19">
                  <c:v>10.871100955976862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3-4E8B-983B-7EAB5501516E}"/>
            </c:ext>
          </c:extLst>
        </c:ser>
        <c:ser>
          <c:idx val="1"/>
          <c:order val="1"/>
          <c:tx>
            <c:v>PE_B_Calibration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4823596088463845E-2"/>
                  <c:y val="0.1006224449730927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([1]Processing_final!$AO$17:$AO$24,[1]Processing_final!$AO$33:$AO$44)</c:f>
              <c:numCache>
                <c:formatCode>General</c:formatCode>
                <c:ptCount val="20"/>
                <c:pt idx="0">
                  <c:v>0.67802352661039589</c:v>
                </c:pt>
                <c:pt idx="1">
                  <c:v>0.81019415661827787</c:v>
                </c:pt>
                <c:pt idx="2">
                  <c:v>0.75446912950128187</c:v>
                </c:pt>
                <c:pt idx="3">
                  <c:v>1.1297887228656509</c:v>
                </c:pt>
                <c:pt idx="4">
                  <c:v>3.3342369319740834</c:v>
                </c:pt>
                <c:pt idx="5">
                  <c:v>2.9727176153341133</c:v>
                </c:pt>
                <c:pt idx="6">
                  <c:v>2.5256746455010162</c:v>
                </c:pt>
                <c:pt idx="7">
                  <c:v>2.7585607823415401</c:v>
                </c:pt>
                <c:pt idx="8">
                  <c:v>3.611015350495804</c:v>
                </c:pt>
                <c:pt idx="9">
                  <c:v>5.0120839414283953</c:v>
                </c:pt>
                <c:pt idx="10">
                  <c:v>3.0515507304967158</c:v>
                </c:pt>
                <c:pt idx="11">
                  <c:v>3.4127873470146755</c:v>
                </c:pt>
                <c:pt idx="12">
                  <c:v>8.3496785039341734</c:v>
                </c:pt>
                <c:pt idx="13">
                  <c:v>11.389980593734286</c:v>
                </c:pt>
                <c:pt idx="14">
                  <c:v>12.295021463150256</c:v>
                </c:pt>
                <c:pt idx="15">
                  <c:v>12.767935355706122</c:v>
                </c:pt>
                <c:pt idx="16">
                  <c:v>30.548036016120562</c:v>
                </c:pt>
                <c:pt idx="17">
                  <c:v>38.218158178477331</c:v>
                </c:pt>
                <c:pt idx="18">
                  <c:v>21.416143274134118</c:v>
                </c:pt>
                <c:pt idx="19">
                  <c:v>23.247445203224217</c:v>
                </c:pt>
              </c:numCache>
            </c:numRef>
          </c:xVal>
          <c:yVal>
            <c:numRef>
              <c:f>([1]Processing_final!$AW$17:$AW$24,[1]Processing_final!$AW$33:$AW$44)</c:f>
              <c:numCache>
                <c:formatCode>General</c:formatCode>
                <c:ptCount val="20"/>
                <c:pt idx="0">
                  <c:v>0.72879058935584173</c:v>
                </c:pt>
                <c:pt idx="1">
                  <c:v>0.67592233735268881</c:v>
                </c:pt>
                <c:pt idx="2">
                  <c:v>0.69821234819948719</c:v>
                </c:pt>
                <c:pt idx="3">
                  <c:v>0.54808451085373966</c:v>
                </c:pt>
                <c:pt idx="4">
                  <c:v>1.6663052272103667</c:v>
                </c:pt>
                <c:pt idx="5">
                  <c:v>1.8109129538663544</c:v>
                </c:pt>
                <c:pt idx="6">
                  <c:v>1.9897301417995934</c:v>
                </c:pt>
                <c:pt idx="7">
                  <c:v>1.8965756870633839</c:v>
                </c:pt>
                <c:pt idx="8">
                  <c:v>3.5555938598016779</c:v>
                </c:pt>
                <c:pt idx="9">
                  <c:v>2.9951664234286417</c:v>
                </c:pt>
                <c:pt idx="10">
                  <c:v>3.7793797078013136</c:v>
                </c:pt>
                <c:pt idx="11">
                  <c:v>3.6348850611941304</c:v>
                </c:pt>
                <c:pt idx="12">
                  <c:v>6.660128598426331</c:v>
                </c:pt>
                <c:pt idx="13">
                  <c:v>5.4440077625062857</c:v>
                </c:pt>
                <c:pt idx="14">
                  <c:v>5.0819914147398979</c:v>
                </c:pt>
                <c:pt idx="15">
                  <c:v>4.8928258577175514</c:v>
                </c:pt>
                <c:pt idx="16">
                  <c:v>7.7807855935517747</c:v>
                </c:pt>
                <c:pt idx="17">
                  <c:v>4.7127367286090678</c:v>
                </c:pt>
                <c:pt idx="18">
                  <c:v>11.433542690346354</c:v>
                </c:pt>
                <c:pt idx="19">
                  <c:v>10.701021918710314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33-4E8B-983B-7EAB5501516E}"/>
            </c:ext>
          </c:extLst>
        </c:ser>
        <c:ser>
          <c:idx val="2"/>
          <c:order val="2"/>
          <c:tx>
            <c:v>PE_B_Means_Calibration 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[1]Processing_final!$BB$3:$BB$7</c:f>
              <c:numCache>
                <c:formatCode>General</c:formatCode>
                <c:ptCount val="5"/>
                <c:pt idx="0">
                  <c:v>0.84070245529578946</c:v>
                </c:pt>
                <c:pt idx="1">
                  <c:v>2.8894922347266716</c:v>
                </c:pt>
                <c:pt idx="2">
                  <c:v>3.4108880204705283</c:v>
                </c:pt>
                <c:pt idx="3">
                  <c:v>10.81518409873895</c:v>
                </c:pt>
                <c:pt idx="4">
                  <c:v>27.91539639814269</c:v>
                </c:pt>
              </c:numCache>
            </c:numRef>
          </c:xVal>
          <c:yVal>
            <c:numRef>
              <c:f>[1]Processing_final!$BC$3:$BC$7</c:f>
              <c:numCache>
                <c:formatCode>General</c:formatCode>
                <c:ptCount val="5"/>
                <c:pt idx="0">
                  <c:v>0.66371901788168419</c:v>
                </c:pt>
                <c:pt idx="1">
                  <c:v>1.8442031061093314</c:v>
                </c:pt>
                <c:pt idx="2">
                  <c:v>3.6356447918117887</c:v>
                </c:pt>
                <c:pt idx="3">
                  <c:v>5.6739263605044208</c:v>
                </c:pt>
                <c:pt idx="4">
                  <c:v>8.8338414407429227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33-4E8B-983B-7EAB5501516E}"/>
            </c:ext>
          </c:extLst>
        </c:ser>
        <c:ser>
          <c:idx val="3"/>
          <c:order val="3"/>
          <c:tx>
            <c:v>PE_B_Means_Calibration 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[1]Processing_final!$BB$11:$BB$15</c:f>
              <c:numCache>
                <c:formatCode>General</c:formatCode>
                <c:ptCount val="5"/>
                <c:pt idx="0">
                  <c:v>0.84311888389890166</c:v>
                </c:pt>
                <c:pt idx="1">
                  <c:v>2.8977974937876882</c:v>
                </c:pt>
                <c:pt idx="2">
                  <c:v>3.7718593423588977</c:v>
                </c:pt>
                <c:pt idx="3">
                  <c:v>11.200653979131209</c:v>
                </c:pt>
                <c:pt idx="4">
                  <c:v>28.357445667989055</c:v>
                </c:pt>
              </c:numCache>
            </c:numRef>
          </c:xVal>
          <c:yVal>
            <c:numRef>
              <c:f>[1]Processing_final!$BC$11:$BC$15</c:f>
              <c:numCache>
                <c:formatCode>General</c:formatCode>
                <c:ptCount val="5"/>
                <c:pt idx="0">
                  <c:v>0.66275244644043929</c:v>
                </c:pt>
                <c:pt idx="1">
                  <c:v>1.8408810024849247</c:v>
                </c:pt>
                <c:pt idx="2">
                  <c:v>3.4912562630564405</c:v>
                </c:pt>
                <c:pt idx="3">
                  <c:v>5.5197384083475169</c:v>
                </c:pt>
                <c:pt idx="4">
                  <c:v>8.6570217328043775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33-4E8B-983B-7EAB5501516E}"/>
            </c:ext>
          </c:extLst>
        </c:ser>
        <c:ser>
          <c:idx val="4"/>
          <c:order val="4"/>
          <c:tx>
            <c:v>PE_C_Calib_A_soil_1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Processing_final!$AN$15:$AN$20</c:f>
              <c:numCache>
                <c:formatCode>General</c:formatCode>
                <c:ptCount val="6"/>
                <c:pt idx="0">
                  <c:v>6.0213863893014441</c:v>
                </c:pt>
                <c:pt idx="1">
                  <c:v>4.1892254650264285</c:v>
                </c:pt>
                <c:pt idx="2">
                  <c:v>5.3640366848845105</c:v>
                </c:pt>
                <c:pt idx="3">
                  <c:v>6.53952775899762</c:v>
                </c:pt>
                <c:pt idx="4">
                  <c:v>6.5150223515736378</c:v>
                </c:pt>
                <c:pt idx="5">
                  <c:v>4.5538542221478577</c:v>
                </c:pt>
              </c:numCache>
            </c:numRef>
          </c:xVal>
          <c:yVal>
            <c:numRef>
              <c:f>Processing_final!$AU$15:$AU$20</c:f>
              <c:numCache>
                <c:formatCode>General</c:formatCode>
                <c:ptCount val="6"/>
                <c:pt idx="0">
                  <c:v>2.5914454442794224</c:v>
                </c:pt>
                <c:pt idx="1">
                  <c:v>3.3243098139894287</c:v>
                </c:pt>
                <c:pt idx="2">
                  <c:v>2.854385326046196</c:v>
                </c:pt>
                <c:pt idx="3">
                  <c:v>2.3841888964009521</c:v>
                </c:pt>
                <c:pt idx="4">
                  <c:v>2.3939910593705447</c:v>
                </c:pt>
                <c:pt idx="5">
                  <c:v>3.1784583111408571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33-4E8B-983B-7EAB5501516E}"/>
            </c:ext>
          </c:extLst>
        </c:ser>
        <c:ser>
          <c:idx val="5"/>
          <c:order val="5"/>
          <c:tx>
            <c:v>PE_C_Calib_B_soil_1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forward val="2"/>
            <c:backward val="4"/>
            <c:intercept val="0"/>
            <c:dispRSqr val="0"/>
            <c:dispEq val="0"/>
          </c:trendline>
          <c:xVal>
            <c:numRef>
              <c:f>Processing_final!$AO$15:$AO$20</c:f>
              <c:numCache>
                <c:formatCode>General</c:formatCode>
                <c:ptCount val="6"/>
                <c:pt idx="0">
                  <c:v>6.0524456983749007</c:v>
                </c:pt>
                <c:pt idx="1">
                  <c:v>4.2163718210180878</c:v>
                </c:pt>
                <c:pt idx="2">
                  <c:v>5.3936920896842562</c:v>
                </c:pt>
                <c:pt idx="3">
                  <c:v>6.5716936645727797</c:v>
                </c:pt>
                <c:pt idx="4">
                  <c:v>6.5471359208565927</c:v>
                </c:pt>
                <c:pt idx="5">
                  <c:v>4.5817793171683796</c:v>
                </c:pt>
              </c:numCache>
            </c:numRef>
          </c:xVal>
          <c:yVal>
            <c:numRef>
              <c:f>Processing_final!$AW$15:$AW$20</c:f>
              <c:numCache>
                <c:formatCode>General</c:formatCode>
                <c:ptCount val="6"/>
                <c:pt idx="0">
                  <c:v>2.5790217206500397</c:v>
                </c:pt>
                <c:pt idx="1">
                  <c:v>3.3134512715927649</c:v>
                </c:pt>
                <c:pt idx="2">
                  <c:v>2.8425231641262974</c:v>
                </c:pt>
                <c:pt idx="3">
                  <c:v>2.3713225341708881</c:v>
                </c:pt>
                <c:pt idx="4">
                  <c:v>2.3811456316573629</c:v>
                </c:pt>
                <c:pt idx="5">
                  <c:v>3.1672882731326482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33-4E8B-983B-7EAB5501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0112"/>
        <c:axId val="689580440"/>
      </c:scatterChart>
      <c:valAx>
        <c:axId val="6895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aqueous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440"/>
        <c:crosses val="autoZero"/>
        <c:crossBetween val="midCat"/>
      </c:valAx>
      <c:valAx>
        <c:axId val="6895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solid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PE_B_Calibration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473793662097487E-2"/>
                  <c:y val="-2.395690574302768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([1]Processing_final!$AN$17:$AN$24,[1]Processing_final!$AN$33:$AN$44)</c:f>
              <c:numCache>
                <c:formatCode>General</c:formatCode>
                <c:ptCount val="20"/>
                <c:pt idx="0">
                  <c:v>0.67608027106889046</c:v>
                </c:pt>
                <c:pt idx="1">
                  <c:v>0.80787209223149392</c:v>
                </c:pt>
                <c:pt idx="2">
                  <c:v>0.75230677633910237</c:v>
                </c:pt>
                <c:pt idx="3">
                  <c:v>1.1265506815436712</c:v>
                </c:pt>
                <c:pt idx="4">
                  <c:v>3.3246808116619428</c:v>
                </c:pt>
                <c:pt idx="5">
                  <c:v>2.9641976307722082</c:v>
                </c:pt>
                <c:pt idx="6">
                  <c:v>2.5184359125392763</c:v>
                </c:pt>
                <c:pt idx="7">
                  <c:v>2.7506545839332586</c:v>
                </c:pt>
                <c:pt idx="8">
                  <c:v>3.2505744573159028</c:v>
                </c:pt>
                <c:pt idx="9">
                  <c:v>4.6470226269660131</c:v>
                </c:pt>
                <c:pt idx="10">
                  <c:v>2.6929548306695796</c:v>
                </c:pt>
                <c:pt idx="11">
                  <c:v>3.0530001669306177</c:v>
                </c:pt>
                <c:pt idx="12">
                  <c:v>7.9736105242387714</c:v>
                </c:pt>
                <c:pt idx="13">
                  <c:v>11.003886355102098</c:v>
                </c:pt>
                <c:pt idx="14">
                  <c:v>11.905942595413093</c:v>
                </c:pt>
                <c:pt idx="15">
                  <c:v>12.377296920201838</c:v>
                </c:pt>
                <c:pt idx="16">
                  <c:v>30.098762652942003</c:v>
                </c:pt>
                <c:pt idx="17">
                  <c:v>37.743590410793857</c:v>
                </c:pt>
                <c:pt idx="18">
                  <c:v>20.996984918777066</c:v>
                </c:pt>
                <c:pt idx="19">
                  <c:v>22.822247610057843</c:v>
                </c:pt>
              </c:numCache>
            </c:numRef>
          </c:xVal>
          <c:yVal>
            <c:numRef>
              <c:f>([1]Processing_final!$AU$17:$AU$24,[1]Processing_final!$AU$33:$AU$44)</c:f>
              <c:numCache>
                <c:formatCode>General</c:formatCode>
                <c:ptCount val="20"/>
                <c:pt idx="0">
                  <c:v>0.72956789157244384</c:v>
                </c:pt>
                <c:pt idx="1">
                  <c:v>0.67685116310740245</c:v>
                </c:pt>
                <c:pt idx="2">
                  <c:v>0.6990772894643591</c:v>
                </c:pt>
                <c:pt idx="3">
                  <c:v>0.54937972738253149</c:v>
                </c:pt>
                <c:pt idx="4">
                  <c:v>1.6701276753352228</c:v>
                </c:pt>
                <c:pt idx="5">
                  <c:v>1.8143209476911166</c:v>
                </c:pt>
                <c:pt idx="6">
                  <c:v>1.9926256349842895</c:v>
                </c:pt>
                <c:pt idx="7">
                  <c:v>1.8997381664266968</c:v>
                </c:pt>
                <c:pt idx="8">
                  <c:v>3.6997702170736391</c:v>
                </c:pt>
                <c:pt idx="9">
                  <c:v>3.1411909492135948</c:v>
                </c:pt>
                <c:pt idx="10">
                  <c:v>3.9228180677321682</c:v>
                </c:pt>
                <c:pt idx="11">
                  <c:v>3.7787999332277531</c:v>
                </c:pt>
                <c:pt idx="12">
                  <c:v>6.8105557903044911</c:v>
                </c:pt>
                <c:pt idx="13">
                  <c:v>5.5984454579591603</c:v>
                </c:pt>
                <c:pt idx="14">
                  <c:v>5.2376229618347629</c:v>
                </c:pt>
                <c:pt idx="15">
                  <c:v>5.0490812319192653</c:v>
                </c:pt>
                <c:pt idx="16">
                  <c:v>7.9604949388231985</c:v>
                </c:pt>
                <c:pt idx="17">
                  <c:v>4.9025638356824572</c:v>
                </c:pt>
                <c:pt idx="18">
                  <c:v>11.601206032489173</c:v>
                </c:pt>
                <c:pt idx="19">
                  <c:v>10.871100955976862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7-4E6C-899F-CB699295BCF8}"/>
            </c:ext>
          </c:extLst>
        </c:ser>
        <c:ser>
          <c:idx val="1"/>
          <c:order val="1"/>
          <c:tx>
            <c:v>PE_B_Calibration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4823596088463845E-2"/>
                  <c:y val="0.1006224449730927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([1]Processing_final!$AO$17:$AO$24,[1]Processing_final!$AO$33:$AO$44)</c:f>
              <c:numCache>
                <c:formatCode>General</c:formatCode>
                <c:ptCount val="20"/>
                <c:pt idx="0">
                  <c:v>0.67802352661039589</c:v>
                </c:pt>
                <c:pt idx="1">
                  <c:v>0.81019415661827787</c:v>
                </c:pt>
                <c:pt idx="2">
                  <c:v>0.75446912950128187</c:v>
                </c:pt>
                <c:pt idx="3">
                  <c:v>1.1297887228656509</c:v>
                </c:pt>
                <c:pt idx="4">
                  <c:v>3.3342369319740834</c:v>
                </c:pt>
                <c:pt idx="5">
                  <c:v>2.9727176153341133</c:v>
                </c:pt>
                <c:pt idx="6">
                  <c:v>2.5256746455010162</c:v>
                </c:pt>
                <c:pt idx="7">
                  <c:v>2.7585607823415401</c:v>
                </c:pt>
                <c:pt idx="8">
                  <c:v>3.611015350495804</c:v>
                </c:pt>
                <c:pt idx="9">
                  <c:v>5.0120839414283953</c:v>
                </c:pt>
                <c:pt idx="10">
                  <c:v>3.0515507304967158</c:v>
                </c:pt>
                <c:pt idx="11">
                  <c:v>3.4127873470146755</c:v>
                </c:pt>
                <c:pt idx="12">
                  <c:v>8.3496785039341734</c:v>
                </c:pt>
                <c:pt idx="13">
                  <c:v>11.389980593734286</c:v>
                </c:pt>
                <c:pt idx="14">
                  <c:v>12.295021463150256</c:v>
                </c:pt>
                <c:pt idx="15">
                  <c:v>12.767935355706122</c:v>
                </c:pt>
                <c:pt idx="16">
                  <c:v>30.548036016120562</c:v>
                </c:pt>
                <c:pt idx="17">
                  <c:v>38.218158178477331</c:v>
                </c:pt>
                <c:pt idx="18">
                  <c:v>21.416143274134118</c:v>
                </c:pt>
                <c:pt idx="19">
                  <c:v>23.247445203224217</c:v>
                </c:pt>
              </c:numCache>
            </c:numRef>
          </c:xVal>
          <c:yVal>
            <c:numRef>
              <c:f>([1]Processing_final!$AW$17:$AW$24,[1]Processing_final!$AW$33:$AW$44)</c:f>
              <c:numCache>
                <c:formatCode>General</c:formatCode>
                <c:ptCount val="20"/>
                <c:pt idx="0">
                  <c:v>0.72879058935584173</c:v>
                </c:pt>
                <c:pt idx="1">
                  <c:v>0.67592233735268881</c:v>
                </c:pt>
                <c:pt idx="2">
                  <c:v>0.69821234819948719</c:v>
                </c:pt>
                <c:pt idx="3">
                  <c:v>0.54808451085373966</c:v>
                </c:pt>
                <c:pt idx="4">
                  <c:v>1.6663052272103667</c:v>
                </c:pt>
                <c:pt idx="5">
                  <c:v>1.8109129538663544</c:v>
                </c:pt>
                <c:pt idx="6">
                  <c:v>1.9897301417995934</c:v>
                </c:pt>
                <c:pt idx="7">
                  <c:v>1.8965756870633839</c:v>
                </c:pt>
                <c:pt idx="8">
                  <c:v>3.5555938598016779</c:v>
                </c:pt>
                <c:pt idx="9">
                  <c:v>2.9951664234286417</c:v>
                </c:pt>
                <c:pt idx="10">
                  <c:v>3.7793797078013136</c:v>
                </c:pt>
                <c:pt idx="11">
                  <c:v>3.6348850611941304</c:v>
                </c:pt>
                <c:pt idx="12">
                  <c:v>6.660128598426331</c:v>
                </c:pt>
                <c:pt idx="13">
                  <c:v>5.4440077625062857</c:v>
                </c:pt>
                <c:pt idx="14">
                  <c:v>5.0819914147398979</c:v>
                </c:pt>
                <c:pt idx="15">
                  <c:v>4.8928258577175514</c:v>
                </c:pt>
                <c:pt idx="16">
                  <c:v>7.7807855935517747</c:v>
                </c:pt>
                <c:pt idx="17">
                  <c:v>4.7127367286090678</c:v>
                </c:pt>
                <c:pt idx="18">
                  <c:v>11.433542690346354</c:v>
                </c:pt>
                <c:pt idx="19">
                  <c:v>10.701021918710314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7-4E6C-899F-CB699295BCF8}"/>
            </c:ext>
          </c:extLst>
        </c:ser>
        <c:ser>
          <c:idx val="4"/>
          <c:order val="4"/>
          <c:tx>
            <c:v>PE_C_Calib_A_soil_1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Processing_final!$AN$15:$AN$20</c:f>
              <c:numCache>
                <c:formatCode>General</c:formatCode>
                <c:ptCount val="6"/>
                <c:pt idx="0">
                  <c:v>6.0213863893014441</c:v>
                </c:pt>
                <c:pt idx="1">
                  <c:v>4.1892254650264285</c:v>
                </c:pt>
                <c:pt idx="2">
                  <c:v>5.3640366848845105</c:v>
                </c:pt>
                <c:pt idx="3">
                  <c:v>6.53952775899762</c:v>
                </c:pt>
                <c:pt idx="4">
                  <c:v>6.5150223515736378</c:v>
                </c:pt>
                <c:pt idx="5">
                  <c:v>4.5538542221478577</c:v>
                </c:pt>
              </c:numCache>
            </c:numRef>
          </c:xVal>
          <c:yVal>
            <c:numRef>
              <c:f>Processing_final!$AU$15:$AU$20</c:f>
              <c:numCache>
                <c:formatCode>General</c:formatCode>
                <c:ptCount val="6"/>
                <c:pt idx="0">
                  <c:v>2.5914454442794224</c:v>
                </c:pt>
                <c:pt idx="1">
                  <c:v>3.3243098139894287</c:v>
                </c:pt>
                <c:pt idx="2">
                  <c:v>2.854385326046196</c:v>
                </c:pt>
                <c:pt idx="3">
                  <c:v>2.3841888964009521</c:v>
                </c:pt>
                <c:pt idx="4">
                  <c:v>2.3939910593705447</c:v>
                </c:pt>
                <c:pt idx="5">
                  <c:v>3.1784583111408571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E7-4E6C-899F-CB699295BCF8}"/>
            </c:ext>
          </c:extLst>
        </c:ser>
        <c:ser>
          <c:idx val="5"/>
          <c:order val="5"/>
          <c:tx>
            <c:v>PE_C_Calib_B_soil_1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Processing_final!$AO$15:$AO$20</c:f>
              <c:numCache>
                <c:formatCode>General</c:formatCode>
                <c:ptCount val="6"/>
                <c:pt idx="0">
                  <c:v>6.0524456983749007</c:v>
                </c:pt>
                <c:pt idx="1">
                  <c:v>4.2163718210180878</c:v>
                </c:pt>
                <c:pt idx="2">
                  <c:v>5.3936920896842562</c:v>
                </c:pt>
                <c:pt idx="3">
                  <c:v>6.5716936645727797</c:v>
                </c:pt>
                <c:pt idx="4">
                  <c:v>6.5471359208565927</c:v>
                </c:pt>
                <c:pt idx="5">
                  <c:v>4.5817793171683796</c:v>
                </c:pt>
              </c:numCache>
            </c:numRef>
          </c:xVal>
          <c:yVal>
            <c:numRef>
              <c:f>Processing_final!$AW$15:$AW$20</c:f>
              <c:numCache>
                <c:formatCode>General</c:formatCode>
                <c:ptCount val="6"/>
                <c:pt idx="0">
                  <c:v>2.5790217206500397</c:v>
                </c:pt>
                <c:pt idx="1">
                  <c:v>3.3134512715927649</c:v>
                </c:pt>
                <c:pt idx="2">
                  <c:v>2.8425231641262974</c:v>
                </c:pt>
                <c:pt idx="3">
                  <c:v>2.3713225341708881</c:v>
                </c:pt>
                <c:pt idx="4">
                  <c:v>2.3811456316573629</c:v>
                </c:pt>
                <c:pt idx="5">
                  <c:v>3.1672882731326482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E7-4E6C-899F-CB699295BCF8}"/>
            </c:ext>
          </c:extLst>
        </c:ser>
        <c:ser>
          <c:idx val="6"/>
          <c:order val="6"/>
          <c:tx>
            <c:v>PE_C_Calib_A_soil_2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Processing_final!$AN$32:$AN$37</c:f>
              <c:numCache>
                <c:formatCode>General</c:formatCode>
                <c:ptCount val="6"/>
                <c:pt idx="0">
                  <c:v>0.50324598773287843</c:v>
                </c:pt>
                <c:pt idx="1">
                  <c:v>2.6133402049550494</c:v>
                </c:pt>
                <c:pt idx="2">
                  <c:v>0.28531544971234574</c:v>
                </c:pt>
                <c:pt idx="3">
                  <c:v>0</c:v>
                </c:pt>
                <c:pt idx="4">
                  <c:v>0.57295801615567421</c:v>
                </c:pt>
                <c:pt idx="5">
                  <c:v>1.4120842459305649</c:v>
                </c:pt>
              </c:numCache>
            </c:numRef>
          </c:xVal>
          <c:yVal>
            <c:numRef>
              <c:f>Processing_final!$AU$32:$AU$37</c:f>
              <c:numCache>
                <c:formatCode>General</c:formatCode>
                <c:ptCount val="6"/>
                <c:pt idx="0">
                  <c:v>3.5990262036801361</c:v>
                </c:pt>
                <c:pt idx="1">
                  <c:v>2.9659979385134854</c:v>
                </c:pt>
                <c:pt idx="2">
                  <c:v>3.6644053650862967</c:v>
                </c:pt>
                <c:pt idx="3">
                  <c:v>3.75</c:v>
                </c:pt>
                <c:pt idx="4">
                  <c:v>3.5781125951532977</c:v>
                </c:pt>
                <c:pt idx="5">
                  <c:v>3.3263747262208305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E7-4E6C-899F-CB699295BCF8}"/>
            </c:ext>
          </c:extLst>
        </c:ser>
        <c:ser>
          <c:idx val="7"/>
          <c:order val="7"/>
          <c:tx>
            <c:v>PE_C_Calib_B_soil_2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Processing_final!$AO$32:$AO$37</c:f>
              <c:numCache>
                <c:formatCode>General</c:formatCode>
                <c:ptCount val="6"/>
                <c:pt idx="0">
                  <c:v>0.98047222421306113</c:v>
                </c:pt>
                <c:pt idx="1">
                  <c:v>3.1212989600857695</c:v>
                </c:pt>
                <c:pt idx="2">
                  <c:v>0.7593676315604776</c:v>
                </c:pt>
                <c:pt idx="3">
                  <c:v>0.39194171996888516</c:v>
                </c:pt>
                <c:pt idx="4">
                  <c:v>1.0511995751727297</c:v>
                </c:pt>
                <c:pt idx="5">
                  <c:v>1.9025472793710048</c:v>
                </c:pt>
              </c:numCache>
            </c:numRef>
          </c:xVal>
          <c:yVal>
            <c:numRef>
              <c:f>Processing_final!$AU$32:$AU$37</c:f>
              <c:numCache>
                <c:formatCode>General</c:formatCode>
                <c:ptCount val="6"/>
                <c:pt idx="0">
                  <c:v>3.5990262036801361</c:v>
                </c:pt>
                <c:pt idx="1">
                  <c:v>2.9659979385134854</c:v>
                </c:pt>
                <c:pt idx="2">
                  <c:v>3.6644053650862967</c:v>
                </c:pt>
                <c:pt idx="3">
                  <c:v>3.75</c:v>
                </c:pt>
                <c:pt idx="4">
                  <c:v>3.5781125951532977</c:v>
                </c:pt>
                <c:pt idx="5">
                  <c:v>3.3263747262208305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E7-4E6C-899F-CB699295BCF8}"/>
            </c:ext>
          </c:extLst>
        </c:ser>
        <c:ser>
          <c:idx val="8"/>
          <c:order val="8"/>
          <c:tx>
            <c:v>PE_C_Calib_A_soil_3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(Processing_final!$AN$40:$AN$41,Processing_final!$AN$43:$AN$46)</c:f>
              <c:numCache>
                <c:formatCode>General</c:formatCode>
                <c:ptCount val="6"/>
                <c:pt idx="0">
                  <c:v>4.4338845527584079</c:v>
                </c:pt>
                <c:pt idx="1">
                  <c:v>5.6673064092631824</c:v>
                </c:pt>
                <c:pt idx="2">
                  <c:v>4.0508977737783782</c:v>
                </c:pt>
                <c:pt idx="3">
                  <c:v>4.8831765305014825</c:v>
                </c:pt>
                <c:pt idx="4">
                  <c:v>3.5242668625530418</c:v>
                </c:pt>
                <c:pt idx="5">
                  <c:v>2.963425935295076</c:v>
                </c:pt>
              </c:numCache>
            </c:numRef>
          </c:xVal>
          <c:yVal>
            <c:numRef>
              <c:f>(Processing_final!$AU$40:$AU$41,Processing_final!$AU$43:$AU$46)</c:f>
              <c:numCache>
                <c:formatCode>General</c:formatCode>
                <c:ptCount val="6"/>
                <c:pt idx="0">
                  <c:v>2.4198346341724775</c:v>
                </c:pt>
                <c:pt idx="1">
                  <c:v>2.0498080772210452</c:v>
                </c:pt>
                <c:pt idx="2">
                  <c:v>2.5347306678664863</c:v>
                </c:pt>
                <c:pt idx="3">
                  <c:v>2.2850470408495553</c:v>
                </c:pt>
                <c:pt idx="4">
                  <c:v>2.6927199412340874</c:v>
                </c:pt>
                <c:pt idx="5">
                  <c:v>2.8609722194114773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E7-4E6C-899F-CB699295BCF8}"/>
            </c:ext>
          </c:extLst>
        </c:ser>
        <c:ser>
          <c:idx val="9"/>
          <c:order val="9"/>
          <c:tx>
            <c:v>PE_C_Calib_B_soil_3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(Processing_final!$AO$40:$AO$41,Processing_final!$AO$43:$AO$46)</c:f>
              <c:numCache>
                <c:formatCode>General</c:formatCode>
                <c:ptCount val="6"/>
                <c:pt idx="0">
                  <c:v>4.7974871438546023</c:v>
                </c:pt>
                <c:pt idx="1">
                  <c:v>6.0488732030474042</c:v>
                </c:pt>
                <c:pt idx="2">
                  <c:v>4.408922344598583</c:v>
                </c:pt>
                <c:pt idx="3">
                  <c:v>5.2533228455569336</c:v>
                </c:pt>
                <c:pt idx="4">
                  <c:v>3.8746213046325071</c:v>
                </c:pt>
                <c:pt idx="5">
                  <c:v>3.3056119960215846</c:v>
                </c:pt>
              </c:numCache>
            </c:numRef>
          </c:xVal>
          <c:yVal>
            <c:numRef>
              <c:f>(Processing_final!$AW$40:$AW$41,Processing_final!$AW$43:$AW$46)</c:f>
              <c:numCache>
                <c:formatCode>General</c:formatCode>
                <c:ptCount val="6"/>
                <c:pt idx="0">
                  <c:v>2.3107538568436192</c:v>
                </c:pt>
                <c:pt idx="1">
                  <c:v>1.9353380390857786</c:v>
                </c:pt>
                <c:pt idx="2">
                  <c:v>2.427323296620425</c:v>
                </c:pt>
                <c:pt idx="3">
                  <c:v>2.1740031463329199</c:v>
                </c:pt>
                <c:pt idx="4">
                  <c:v>2.5876136086102477</c:v>
                </c:pt>
                <c:pt idx="5">
                  <c:v>2.7583164011935244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E7-4E6C-899F-CB699295BCF8}"/>
            </c:ext>
          </c:extLst>
        </c:ser>
        <c:ser>
          <c:idx val="10"/>
          <c:order val="10"/>
          <c:tx>
            <c:v>PE_C_Calib_A_means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Processing_final!$BB$3:$BB$5</c:f>
              <c:numCache>
                <c:formatCode>General</c:formatCode>
                <c:ptCount val="3"/>
                <c:pt idx="0">
                  <c:v>5.5305088119885832</c:v>
                </c:pt>
                <c:pt idx="1">
                  <c:v>0.89782398408108544</c:v>
                </c:pt>
                <c:pt idx="2">
                  <c:v>4.2538263440249287</c:v>
                </c:pt>
              </c:numCache>
            </c:numRef>
          </c:xVal>
          <c:yVal>
            <c:numRef>
              <c:f>Processing_final!$BC$3:$BC$5</c:f>
              <c:numCache>
                <c:formatCode>General</c:formatCode>
                <c:ptCount val="3"/>
                <c:pt idx="0">
                  <c:v>2.787796475204567</c:v>
                </c:pt>
                <c:pt idx="1">
                  <c:v>3.4806528047756742</c:v>
                </c:pt>
                <c:pt idx="2">
                  <c:v>2.4738520967925219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5E7-4E6C-899F-CB699295BCF8}"/>
            </c:ext>
          </c:extLst>
        </c:ser>
        <c:ser>
          <c:idx val="11"/>
          <c:order val="11"/>
          <c:tx>
            <c:v>PE_C_Calib_B_means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Processing_final!$BB$11:$BB$13</c:f>
              <c:numCache>
                <c:formatCode>General</c:formatCode>
                <c:ptCount val="3"/>
                <c:pt idx="0">
                  <c:v>5.5605197519458329</c:v>
                </c:pt>
                <c:pt idx="1">
                  <c:v>1.3678045650619879</c:v>
                </c:pt>
                <c:pt idx="2">
                  <c:v>4.614806472951936</c:v>
                </c:pt>
              </c:numCache>
            </c:numRef>
          </c:xVal>
          <c:yVal>
            <c:numRef>
              <c:f>Processing_final!$BC$11:$BC$13</c:f>
              <c:numCache>
                <c:formatCode>General</c:formatCode>
                <c:ptCount val="3"/>
                <c:pt idx="0">
                  <c:v>2.7757920992216669</c:v>
                </c:pt>
                <c:pt idx="1">
                  <c:v>3.3396586304814035</c:v>
                </c:pt>
                <c:pt idx="2">
                  <c:v>2.3655580581144195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5E7-4E6C-899F-CB699295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0112"/>
        <c:axId val="6895804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PE_B_Means_Calibration 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[1]Processing_final!$BB$3:$BB$7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0.84070245529578946</c:v>
                      </c:pt>
                      <c:pt idx="1">
                        <c:v>2.8894922347266716</c:v>
                      </c:pt>
                      <c:pt idx="2">
                        <c:v>3.4108880204705283</c:v>
                      </c:pt>
                      <c:pt idx="3">
                        <c:v>10.81518409873895</c:v>
                      </c:pt>
                      <c:pt idx="4">
                        <c:v>27.91539639814269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[1]Processing_final!$BC$3:$BC$7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0.66371901788168419</c:v>
                      </c:pt>
                      <c:pt idx="1">
                        <c:v>1.8442031061093314</c:v>
                      </c:pt>
                      <c:pt idx="2">
                        <c:v>3.6356447918117887</c:v>
                      </c:pt>
                      <c:pt idx="3">
                        <c:v>5.6739263605044208</c:v>
                      </c:pt>
                      <c:pt idx="4">
                        <c:v>8.8338414407429227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5E7-4E6C-899F-CB699295BC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PE_B_Means_Calibration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[1]Processing_final!$BB$11:$BB$15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0.84311888389890166</c:v>
                      </c:pt>
                      <c:pt idx="1">
                        <c:v>2.8977974937876882</c:v>
                      </c:pt>
                      <c:pt idx="2">
                        <c:v>3.7718593423588977</c:v>
                      </c:pt>
                      <c:pt idx="3">
                        <c:v>11.200653979131209</c:v>
                      </c:pt>
                      <c:pt idx="4">
                        <c:v>28.357445667989055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[1]Processing_final!$BC$11:$BC$15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0.66275244644043929</c:v>
                      </c:pt>
                      <c:pt idx="1">
                        <c:v>1.8408810024849247</c:v>
                      </c:pt>
                      <c:pt idx="2">
                        <c:v>3.4912562630564405</c:v>
                      </c:pt>
                      <c:pt idx="3">
                        <c:v>5.5197384083475169</c:v>
                      </c:pt>
                      <c:pt idx="4">
                        <c:v>8.6570217328043775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E7-4E6C-899F-CB699295BCF8}"/>
                  </c:ext>
                </c:extLst>
              </c15:ser>
            </c15:filteredScatterSeries>
          </c:ext>
        </c:extLst>
      </c:scatterChart>
      <c:valAx>
        <c:axId val="68958011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aqueous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440"/>
        <c:crosses val="autoZero"/>
        <c:crossBetween val="midCat"/>
      </c:valAx>
      <c:valAx>
        <c:axId val="6895804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solid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n-hex conc. 21.07.21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53262119228829"/>
                  <c:y val="0.2439989792942548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Tabelle1!$K$12:$K$21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Tabelle1!$H$12:$H$21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147234</c:v>
                </c:pt>
                <c:pt idx="3">
                  <c:v>166507</c:v>
                </c:pt>
                <c:pt idx="4">
                  <c:v>1029277</c:v>
                </c:pt>
                <c:pt idx="5">
                  <c:v>1130208</c:v>
                </c:pt>
                <c:pt idx="6">
                  <c:v>1922078</c:v>
                </c:pt>
                <c:pt idx="7">
                  <c:v>2188019</c:v>
                </c:pt>
                <c:pt idx="8">
                  <c:v>29635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7-46EB-840E-872C3F7AB806}"/>
            </c:ext>
          </c:extLst>
        </c:ser>
        <c:ser>
          <c:idx val="1"/>
          <c:order val="1"/>
          <c:tx>
            <c:v>SIM_525_auto_corrected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1202723316663167E-2"/>
                  <c:y val="-3.1878463108778073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(Tabelle1!$K$12:$K$19,Tabelle1!$K$21)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xVal>
          <c:yVal>
            <c:numRef>
              <c:f>(Tabelle1!$H$12:$H$19,Tabelle1!$H$21)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147234</c:v>
                </c:pt>
                <c:pt idx="3">
                  <c:v>166507</c:v>
                </c:pt>
                <c:pt idx="4">
                  <c:v>1029277</c:v>
                </c:pt>
                <c:pt idx="5">
                  <c:v>1130208</c:v>
                </c:pt>
                <c:pt idx="6">
                  <c:v>1922078</c:v>
                </c:pt>
                <c:pt idx="7">
                  <c:v>2188019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B7-46EB-840E-872C3F7A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07384"/>
        <c:axId val="735604432"/>
      </c:scatterChart>
      <c:valAx>
        <c:axId val="73560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4432"/>
        <c:crosses val="autoZero"/>
        <c:crossBetween val="midCat"/>
      </c:valAx>
      <c:valAx>
        <c:axId val="735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n-hex conc. 23.07.21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SIM_525_auto_all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53262119228829"/>
                  <c:y val="0.2439989792942548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Tabelle1!$K$24:$K$33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Tabelle1!$H$24:$H$33</c:f>
              <c:numCache>
                <c:formatCode>General</c:formatCode>
                <c:ptCount val="10"/>
                <c:pt idx="0">
                  <c:v>49515</c:v>
                </c:pt>
                <c:pt idx="1">
                  <c:v>39546</c:v>
                </c:pt>
                <c:pt idx="2">
                  <c:v>347976</c:v>
                </c:pt>
                <c:pt idx="3">
                  <c:v>403080</c:v>
                </c:pt>
                <c:pt idx="4">
                  <c:v>2875301</c:v>
                </c:pt>
                <c:pt idx="5">
                  <c:v>2022114</c:v>
                </c:pt>
                <c:pt idx="6">
                  <c:v>4934383</c:v>
                </c:pt>
                <c:pt idx="7">
                  <c:v>4628932</c:v>
                </c:pt>
                <c:pt idx="8">
                  <c:v>545084</c:v>
                </c:pt>
                <c:pt idx="9">
                  <c:v>84578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D-4910-958A-641F56B9F9DB}"/>
            </c:ext>
          </c:extLst>
        </c:ser>
        <c:ser>
          <c:idx val="1"/>
          <c:order val="1"/>
          <c:tx>
            <c:v>SIM_525_auto_corrected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603873415601893"/>
                  <c:y val="-6.2418708078156894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(Tabelle1!$K$24:$K$31,Tabelle1!$K$33)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xVal>
          <c:yVal>
            <c:numRef>
              <c:f>(Tabelle1!$H$24:$H$31,Tabelle1!$H$33)</c:f>
              <c:numCache>
                <c:formatCode>General</c:formatCode>
                <c:ptCount val="9"/>
                <c:pt idx="0">
                  <c:v>49515</c:v>
                </c:pt>
                <c:pt idx="1">
                  <c:v>39546</c:v>
                </c:pt>
                <c:pt idx="2">
                  <c:v>347976</c:v>
                </c:pt>
                <c:pt idx="3">
                  <c:v>403080</c:v>
                </c:pt>
                <c:pt idx="4">
                  <c:v>2875301</c:v>
                </c:pt>
                <c:pt idx="5">
                  <c:v>2022114</c:v>
                </c:pt>
                <c:pt idx="6">
                  <c:v>4934383</c:v>
                </c:pt>
                <c:pt idx="7">
                  <c:v>4628932</c:v>
                </c:pt>
                <c:pt idx="8">
                  <c:v>84578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D-4910-958A-641F56B9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07384"/>
        <c:axId val="735604432"/>
      </c:scatterChart>
      <c:valAx>
        <c:axId val="73560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4432"/>
        <c:crosses val="autoZero"/>
        <c:crossBetween val="midCat"/>
      </c:valAx>
      <c:valAx>
        <c:axId val="735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486833</xdr:colOff>
      <xdr:row>0</xdr:row>
      <xdr:rowOff>10583</xdr:rowOff>
    </xdr:from>
    <xdr:to>
      <xdr:col>23</xdr:col>
      <xdr:colOff>455083</xdr:colOff>
      <xdr:row>17</xdr:row>
      <xdr:rowOff>6352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9BBCF39-2133-4ADA-9A6D-DB50F4835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0</xdr:colOff>
      <xdr:row>50</xdr:row>
      <xdr:rowOff>169334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44AF0EB-3220-4552-BFCA-779BEEA46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123265</xdr:colOff>
      <xdr:row>32</xdr:row>
      <xdr:rowOff>156883</xdr:rowOff>
    </xdr:from>
    <xdr:to>
      <xdr:col>19</xdr:col>
      <xdr:colOff>239223</xdr:colOff>
      <xdr:row>51</xdr:row>
      <xdr:rowOff>123753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1760FB-A3F1-40DE-8174-AA0E7D3C4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761999</xdr:colOff>
      <xdr:row>2</xdr:row>
      <xdr:rowOff>0</xdr:rowOff>
    </xdr:from>
    <xdr:to>
      <xdr:col>27</xdr:col>
      <xdr:colOff>0</xdr:colOff>
      <xdr:row>19</xdr:row>
      <xdr:rowOff>13607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D1AFD5C-8E3A-4788-B6D2-1B2FE9F3B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1</xdr:colOff>
      <xdr:row>38</xdr:row>
      <xdr:rowOff>27214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2632A5-225D-4319-8050-6E1FA053E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49</xdr:row>
      <xdr:rowOff>0</xdr:rowOff>
    </xdr:from>
    <xdr:to>
      <xdr:col>38</xdr:col>
      <xdr:colOff>36519</xdr:colOff>
      <xdr:row>67</xdr:row>
      <xdr:rowOff>6185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ABEA190-FC66-4ABF-8574-4049CE0A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48</xdr:col>
      <xdr:colOff>238225</xdr:colOff>
      <xdr:row>67</xdr:row>
      <xdr:rowOff>6185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13244EE-788D-4379-8AF3-02748E747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34</xdr:row>
      <xdr:rowOff>0</xdr:rowOff>
    </xdr:from>
    <xdr:to>
      <xdr:col>10</xdr:col>
      <xdr:colOff>302558</xdr:colOff>
      <xdr:row>48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15884-BC27-40D2-B34C-7DBFC745D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10</xdr:col>
      <xdr:colOff>302558</xdr:colOff>
      <xdr:row>64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77E47E-9E0A-4043-8980-E102C7EC8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Studium%20Geo/M.Sc/OSLO/MA_PFC/GC-MS/Part_Exp_B/Part_Exp_B_PFAS_GC-MS_with_CORR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  <sheetName val="Processing_final"/>
      <sheetName val="Lin.Corr.Cs-Caq"/>
      <sheetName val="1st processing"/>
      <sheetName val="2nd processing"/>
      <sheetName val="Tabelle2"/>
      <sheetName val="Sorption Competition PCE-PFOA"/>
      <sheetName val="Printable"/>
      <sheetName val="Calc w. Int. Std."/>
    </sheetNames>
    <sheetDataSet>
      <sheetData sheetId="0" refreshError="1"/>
      <sheetData sheetId="1">
        <row r="3">
          <cell r="BB3">
            <v>0.84070245529578946</v>
          </cell>
          <cell r="BC3">
            <v>0.66371901788168419</v>
          </cell>
        </row>
        <row r="4">
          <cell r="BB4">
            <v>2.8894922347266716</v>
          </cell>
          <cell r="BC4">
            <v>1.8442031061093314</v>
          </cell>
        </row>
        <row r="5">
          <cell r="BB5">
            <v>3.4108880204705283</v>
          </cell>
          <cell r="BC5">
            <v>3.6356447918117887</v>
          </cell>
        </row>
        <row r="6">
          <cell r="BB6">
            <v>10.81518409873895</v>
          </cell>
          <cell r="BC6">
            <v>5.6739263605044208</v>
          </cell>
        </row>
        <row r="7">
          <cell r="BB7">
            <v>27.91539639814269</v>
          </cell>
          <cell r="BC7">
            <v>8.8338414407429227</v>
          </cell>
        </row>
        <row r="11">
          <cell r="BB11">
            <v>0.84311888389890166</v>
          </cell>
          <cell r="BC11">
            <v>0.66275244644043929</v>
          </cell>
        </row>
        <row r="12">
          <cell r="BB12">
            <v>2.8977974937876882</v>
          </cell>
          <cell r="BC12">
            <v>1.8408810024849247</v>
          </cell>
        </row>
        <row r="13">
          <cell r="BB13">
            <v>3.7718593423588977</v>
          </cell>
          <cell r="BC13">
            <v>3.4912562630564405</v>
          </cell>
        </row>
        <row r="14">
          <cell r="BB14">
            <v>11.200653979131209</v>
          </cell>
          <cell r="BC14">
            <v>5.5197384083475169</v>
          </cell>
        </row>
        <row r="15">
          <cell r="BB15">
            <v>28.357445667989055</v>
          </cell>
          <cell r="BC15">
            <v>8.6570217328043775</v>
          </cell>
        </row>
        <row r="17">
          <cell r="AN17">
            <v>0.67608027106889046</v>
          </cell>
          <cell r="AO17">
            <v>0.67802352661039589</v>
          </cell>
          <cell r="AU17">
            <v>0.72956789157244384</v>
          </cell>
          <cell r="AW17">
            <v>0.72879058935584173</v>
          </cell>
        </row>
        <row r="18">
          <cell r="AN18">
            <v>0.80787209223149392</v>
          </cell>
          <cell r="AO18">
            <v>0.81019415661827787</v>
          </cell>
          <cell r="AU18">
            <v>0.67685116310740245</v>
          </cell>
          <cell r="AW18">
            <v>0.67592233735268881</v>
          </cell>
        </row>
        <row r="19">
          <cell r="AN19">
            <v>0.75230677633910237</v>
          </cell>
          <cell r="AO19">
            <v>0.75446912950128187</v>
          </cell>
          <cell r="AU19">
            <v>0.6990772894643591</v>
          </cell>
          <cell r="AW19">
            <v>0.69821234819948719</v>
          </cell>
        </row>
        <row r="20">
          <cell r="AN20">
            <v>1.1265506815436712</v>
          </cell>
          <cell r="AO20">
            <v>1.1297887228656509</v>
          </cell>
          <cell r="AU20">
            <v>0.54937972738253149</v>
          </cell>
          <cell r="AW20">
            <v>0.54808451085373966</v>
          </cell>
        </row>
        <row r="21">
          <cell r="AN21">
            <v>3.3246808116619428</v>
          </cell>
          <cell r="AO21">
            <v>3.3342369319740834</v>
          </cell>
          <cell r="AU21">
            <v>1.6701276753352228</v>
          </cell>
          <cell r="AW21">
            <v>1.6663052272103667</v>
          </cell>
        </row>
        <row r="22">
          <cell r="AN22">
            <v>2.9641976307722082</v>
          </cell>
          <cell r="AO22">
            <v>2.9727176153341133</v>
          </cell>
          <cell r="AU22">
            <v>1.8143209476911166</v>
          </cell>
          <cell r="AW22">
            <v>1.8109129538663544</v>
          </cell>
        </row>
        <row r="23">
          <cell r="AN23">
            <v>2.5184359125392763</v>
          </cell>
          <cell r="AO23">
            <v>2.5256746455010162</v>
          </cell>
          <cell r="AU23">
            <v>1.9926256349842895</v>
          </cell>
          <cell r="AW23">
            <v>1.9897301417995934</v>
          </cell>
        </row>
        <row r="24">
          <cell r="AN24">
            <v>2.7506545839332586</v>
          </cell>
          <cell r="AO24">
            <v>2.7585607823415401</v>
          </cell>
          <cell r="AU24">
            <v>1.8997381664266968</v>
          </cell>
          <cell r="AW24">
            <v>1.8965756870633839</v>
          </cell>
        </row>
        <row r="33">
          <cell r="AN33">
            <v>3.2505744573159028</v>
          </cell>
          <cell r="AO33">
            <v>3.611015350495804</v>
          </cell>
          <cell r="AU33">
            <v>3.6997702170736391</v>
          </cell>
          <cell r="AW33">
            <v>3.5555938598016779</v>
          </cell>
        </row>
        <row r="34">
          <cell r="AN34">
            <v>4.6470226269660131</v>
          </cell>
          <cell r="AO34">
            <v>5.0120839414283953</v>
          </cell>
          <cell r="AU34">
            <v>3.1411909492135948</v>
          </cell>
          <cell r="AW34">
            <v>2.9951664234286417</v>
          </cell>
        </row>
        <row r="35">
          <cell r="AN35">
            <v>2.6929548306695796</v>
          </cell>
          <cell r="AO35">
            <v>3.0515507304967158</v>
          </cell>
          <cell r="AU35">
            <v>3.9228180677321682</v>
          </cell>
          <cell r="AW35">
            <v>3.7793797078013136</v>
          </cell>
        </row>
        <row r="36">
          <cell r="AN36">
            <v>3.0530001669306177</v>
          </cell>
          <cell r="AO36">
            <v>3.4127873470146755</v>
          </cell>
          <cell r="AU36">
            <v>3.7787999332277531</v>
          </cell>
          <cell r="AW36">
            <v>3.6348850611941304</v>
          </cell>
        </row>
        <row r="37">
          <cell r="AN37">
            <v>7.9736105242387714</v>
          </cell>
          <cell r="AO37">
            <v>8.3496785039341734</v>
          </cell>
          <cell r="AU37">
            <v>6.8105557903044911</v>
          </cell>
          <cell r="AW37">
            <v>6.660128598426331</v>
          </cell>
        </row>
        <row r="38">
          <cell r="AN38">
            <v>11.003886355102098</v>
          </cell>
          <cell r="AO38">
            <v>11.389980593734286</v>
          </cell>
          <cell r="AU38">
            <v>5.5984454579591603</v>
          </cell>
          <cell r="AW38">
            <v>5.4440077625062857</v>
          </cell>
        </row>
        <row r="39">
          <cell r="AN39">
            <v>11.905942595413093</v>
          </cell>
          <cell r="AO39">
            <v>12.295021463150256</v>
          </cell>
          <cell r="AU39">
            <v>5.2376229618347629</v>
          </cell>
          <cell r="AW39">
            <v>5.0819914147398979</v>
          </cell>
        </row>
        <row r="40">
          <cell r="AN40">
            <v>12.377296920201838</v>
          </cell>
          <cell r="AO40">
            <v>12.767935355706122</v>
          </cell>
          <cell r="AU40">
            <v>5.0490812319192653</v>
          </cell>
          <cell r="AW40">
            <v>4.8928258577175514</v>
          </cell>
        </row>
        <row r="41">
          <cell r="AN41">
            <v>30.098762652942003</v>
          </cell>
          <cell r="AO41">
            <v>30.548036016120562</v>
          </cell>
          <cell r="AU41">
            <v>7.9604949388231985</v>
          </cell>
          <cell r="AW41">
            <v>7.7807855935517747</v>
          </cell>
        </row>
        <row r="42">
          <cell r="AN42">
            <v>37.743590410793857</v>
          </cell>
          <cell r="AO42">
            <v>38.218158178477331</v>
          </cell>
          <cell r="AU42">
            <v>4.9025638356824572</v>
          </cell>
          <cell r="AW42">
            <v>4.7127367286090678</v>
          </cell>
        </row>
        <row r="43">
          <cell r="AN43">
            <v>20.996984918777066</v>
          </cell>
          <cell r="AO43">
            <v>21.416143274134118</v>
          </cell>
          <cell r="AU43">
            <v>11.601206032489173</v>
          </cell>
          <cell r="AW43">
            <v>11.433542690346354</v>
          </cell>
        </row>
        <row r="44">
          <cell r="AN44">
            <v>22.822247610057843</v>
          </cell>
          <cell r="AO44">
            <v>23.247445203224217</v>
          </cell>
          <cell r="AU44">
            <v>10.871100955976862</v>
          </cell>
          <cell r="AW44">
            <v>10.701021918710314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8711-72E8-48C6-8D85-FE919778C93C}">
  <dimension ref="A1:U66"/>
  <sheetViews>
    <sheetView topLeftCell="A22" zoomScale="85" zoomScaleNormal="85" workbookViewId="0">
      <selection activeCell="D50" activeCellId="1" sqref="D40:E48 D50:E64"/>
    </sheetView>
  </sheetViews>
  <sheetFormatPr baseColWidth="10" defaultRowHeight="15" x14ac:dyDescent="0.25"/>
  <cols>
    <col min="2" max="2" width="28.28515625" bestFit="1" customWidth="1"/>
  </cols>
  <sheetData>
    <row r="1" spans="1:16" x14ac:dyDescent="0.25">
      <c r="A1" t="s">
        <v>18</v>
      </c>
      <c r="E1" t="s">
        <v>20</v>
      </c>
      <c r="F1" t="s">
        <v>21</v>
      </c>
      <c r="I1" t="s">
        <v>0</v>
      </c>
      <c r="J1" s="14" t="s">
        <v>51</v>
      </c>
    </row>
    <row r="2" spans="1:16" x14ac:dyDescent="0.25">
      <c r="A2" t="s">
        <v>19</v>
      </c>
      <c r="J2" s="10" t="s">
        <v>47</v>
      </c>
    </row>
    <row r="3" spans="1:16" x14ac:dyDescent="0.25">
      <c r="A3" t="s">
        <v>1</v>
      </c>
      <c r="C3" t="s">
        <v>2</v>
      </c>
      <c r="J3" s="10" t="s">
        <v>50</v>
      </c>
    </row>
    <row r="4" spans="1:16" x14ac:dyDescent="0.25">
      <c r="A4" t="s">
        <v>3</v>
      </c>
      <c r="C4" t="s">
        <v>4</v>
      </c>
      <c r="L4" t="s">
        <v>43</v>
      </c>
    </row>
    <row r="5" spans="1:16" x14ac:dyDescent="0.25">
      <c r="A5" s="1"/>
      <c r="B5" s="2"/>
      <c r="C5" s="3" t="s">
        <v>5</v>
      </c>
      <c r="D5" s="3" t="s">
        <v>6</v>
      </c>
      <c r="E5" s="4"/>
      <c r="F5" s="3" t="s">
        <v>7</v>
      </c>
      <c r="G5" s="3"/>
      <c r="H5" s="4"/>
      <c r="I5" s="3" t="s">
        <v>8</v>
      </c>
      <c r="J5" s="3"/>
      <c r="K5" s="4"/>
      <c r="L5" t="s">
        <v>44</v>
      </c>
    </row>
    <row r="6" spans="1:16" x14ac:dyDescent="0.25">
      <c r="A6" s="5" t="s">
        <v>9</v>
      </c>
      <c r="B6" s="6" t="s">
        <v>10</v>
      </c>
      <c r="C6" s="7" t="s">
        <v>11</v>
      </c>
      <c r="D6" s="7" t="s">
        <v>12</v>
      </c>
      <c r="E6" s="6" t="s">
        <v>13</v>
      </c>
      <c r="F6" s="7" t="s">
        <v>11</v>
      </c>
      <c r="G6" s="7" t="s">
        <v>14</v>
      </c>
      <c r="H6" s="6" t="s">
        <v>15</v>
      </c>
      <c r="I6" s="7" t="s">
        <v>11</v>
      </c>
      <c r="J6" s="7" t="s">
        <v>16</v>
      </c>
      <c r="K6" s="6" t="s">
        <v>17</v>
      </c>
      <c r="L6" t="s">
        <v>45</v>
      </c>
      <c r="M6" t="s">
        <v>46</v>
      </c>
    </row>
    <row r="7" spans="1:16" x14ac:dyDescent="0.25">
      <c r="A7">
        <v>1</v>
      </c>
      <c r="B7" s="4" t="s">
        <v>22</v>
      </c>
      <c r="C7">
        <v>15.856999999999999</v>
      </c>
      <c r="D7">
        <v>0</v>
      </c>
      <c r="E7" s="4">
        <v>38264</v>
      </c>
      <c r="F7">
        <v>0</v>
      </c>
      <c r="G7">
        <v>0</v>
      </c>
      <c r="H7" s="4">
        <v>0</v>
      </c>
      <c r="I7">
        <v>0</v>
      </c>
      <c r="J7">
        <v>0</v>
      </c>
      <c r="K7" s="4">
        <v>0</v>
      </c>
      <c r="L7" s="9">
        <v>0</v>
      </c>
      <c r="M7" s="9">
        <v>0</v>
      </c>
    </row>
    <row r="8" spans="1:16" x14ac:dyDescent="0.25">
      <c r="A8">
        <v>2</v>
      </c>
      <c r="B8" s="8" t="s">
        <v>23</v>
      </c>
      <c r="C8">
        <v>15.856</v>
      </c>
      <c r="D8">
        <v>0</v>
      </c>
      <c r="E8" s="8">
        <v>65110</v>
      </c>
      <c r="F8" s="9">
        <v>0</v>
      </c>
      <c r="G8" s="9">
        <v>0</v>
      </c>
      <c r="H8" s="8">
        <v>0</v>
      </c>
      <c r="I8" s="9">
        <v>0</v>
      </c>
      <c r="J8" s="9">
        <v>0</v>
      </c>
      <c r="K8" s="8">
        <v>0</v>
      </c>
      <c r="L8" s="9">
        <v>0</v>
      </c>
      <c r="M8" s="9">
        <v>0</v>
      </c>
    </row>
    <row r="9" spans="1:16" x14ac:dyDescent="0.25">
      <c r="A9">
        <v>3</v>
      </c>
      <c r="B9" s="8" t="s">
        <v>26</v>
      </c>
      <c r="C9">
        <v>15.856999999999999</v>
      </c>
      <c r="D9">
        <v>116897</v>
      </c>
      <c r="E9" s="8">
        <v>119732</v>
      </c>
      <c r="F9">
        <v>10.801</v>
      </c>
      <c r="G9">
        <v>147234</v>
      </c>
      <c r="H9" s="8">
        <v>147234</v>
      </c>
      <c r="I9">
        <v>10.8</v>
      </c>
      <c r="J9">
        <v>0</v>
      </c>
      <c r="K9" s="8">
        <v>22235</v>
      </c>
      <c r="L9" s="9">
        <v>0.25</v>
      </c>
      <c r="M9" s="9">
        <v>0.05</v>
      </c>
    </row>
    <row r="10" spans="1:16" x14ac:dyDescent="0.25">
      <c r="A10">
        <v>4</v>
      </c>
      <c r="B10" s="8" t="s">
        <v>27</v>
      </c>
      <c r="C10">
        <v>15.856</v>
      </c>
      <c r="D10">
        <v>195703</v>
      </c>
      <c r="E10" s="8">
        <v>193499</v>
      </c>
      <c r="F10">
        <v>10.801</v>
      </c>
      <c r="G10">
        <v>165600</v>
      </c>
      <c r="H10" s="8">
        <v>166507</v>
      </c>
      <c r="I10">
        <v>10.801</v>
      </c>
      <c r="J10">
        <v>0</v>
      </c>
      <c r="K10" s="8">
        <v>25684</v>
      </c>
      <c r="L10" s="9">
        <v>0.25</v>
      </c>
      <c r="M10" s="9">
        <v>0.05</v>
      </c>
    </row>
    <row r="11" spans="1:16" x14ac:dyDescent="0.25">
      <c r="A11">
        <v>5</v>
      </c>
      <c r="B11" s="8" t="s">
        <v>28</v>
      </c>
      <c r="C11">
        <v>15.856</v>
      </c>
      <c r="D11">
        <v>189035</v>
      </c>
      <c r="E11" s="8">
        <v>189035</v>
      </c>
      <c r="F11">
        <v>10.804</v>
      </c>
      <c r="G11">
        <v>1032350</v>
      </c>
      <c r="H11" s="8">
        <v>1029277</v>
      </c>
      <c r="I11">
        <v>10.804</v>
      </c>
      <c r="J11">
        <v>158172</v>
      </c>
      <c r="K11" s="8">
        <v>158675</v>
      </c>
      <c r="L11" s="9">
        <v>2.5</v>
      </c>
      <c r="M11" s="9">
        <v>0.5</v>
      </c>
    </row>
    <row r="12" spans="1:16" x14ac:dyDescent="0.25">
      <c r="A12">
        <v>6</v>
      </c>
      <c r="B12" s="8" t="s">
        <v>29</v>
      </c>
      <c r="C12">
        <v>15.856999999999999</v>
      </c>
      <c r="D12">
        <v>129087</v>
      </c>
      <c r="E12" s="8">
        <v>130713</v>
      </c>
      <c r="F12">
        <v>10.804</v>
      </c>
      <c r="G12">
        <v>1133164</v>
      </c>
      <c r="H12" s="8">
        <v>1130208</v>
      </c>
      <c r="I12">
        <v>10.803000000000001</v>
      </c>
      <c r="J12">
        <v>173081</v>
      </c>
      <c r="K12" s="8">
        <v>174886</v>
      </c>
      <c r="L12" s="9">
        <v>2.5</v>
      </c>
      <c r="M12" s="9">
        <v>0.5</v>
      </c>
    </row>
    <row r="13" spans="1:16" x14ac:dyDescent="0.25">
      <c r="A13">
        <v>7</v>
      </c>
      <c r="B13" s="8" t="s">
        <v>30</v>
      </c>
      <c r="C13">
        <v>15.856</v>
      </c>
      <c r="D13">
        <v>0</v>
      </c>
      <c r="E13" s="8">
        <v>55934</v>
      </c>
      <c r="F13">
        <v>10.805</v>
      </c>
      <c r="G13">
        <v>1925128</v>
      </c>
      <c r="H13" t="s">
        <v>121</v>
      </c>
      <c r="I13">
        <v>10.804</v>
      </c>
      <c r="J13">
        <v>293388</v>
      </c>
      <c r="K13" s="8">
        <v>294101</v>
      </c>
      <c r="L13">
        <v>5</v>
      </c>
      <c r="M13">
        <v>1</v>
      </c>
    </row>
    <row r="14" spans="1:16" x14ac:dyDescent="0.25">
      <c r="A14">
        <v>8</v>
      </c>
      <c r="B14" s="8" t="s">
        <v>31</v>
      </c>
      <c r="C14">
        <v>15.856999999999999</v>
      </c>
      <c r="D14">
        <v>0</v>
      </c>
      <c r="E14" s="8">
        <v>70546</v>
      </c>
      <c r="F14">
        <v>10.804</v>
      </c>
      <c r="G14">
        <v>2193130</v>
      </c>
      <c r="H14" s="8">
        <v>2188019</v>
      </c>
      <c r="I14">
        <v>10.804</v>
      </c>
      <c r="J14">
        <v>335306</v>
      </c>
      <c r="K14" s="8">
        <v>335306</v>
      </c>
      <c r="L14">
        <v>5</v>
      </c>
      <c r="M14">
        <v>1</v>
      </c>
      <c r="O14" t="s">
        <v>48</v>
      </c>
    </row>
    <row r="15" spans="1:16" x14ac:dyDescent="0.25">
      <c r="A15">
        <v>9</v>
      </c>
      <c r="B15" s="8" t="s">
        <v>24</v>
      </c>
      <c r="C15">
        <v>15.858000000000001</v>
      </c>
      <c r="D15">
        <v>0</v>
      </c>
      <c r="E15" s="8">
        <v>43590</v>
      </c>
      <c r="F15">
        <v>10.805</v>
      </c>
      <c r="G15" s="11">
        <v>0</v>
      </c>
      <c r="H15" s="12">
        <v>29635</v>
      </c>
      <c r="I15" s="9">
        <v>0</v>
      </c>
      <c r="J15" s="9">
        <v>0</v>
      </c>
      <c r="K15" s="8">
        <v>0</v>
      </c>
      <c r="L15">
        <v>0</v>
      </c>
      <c r="M15">
        <v>0</v>
      </c>
      <c r="O15" t="s">
        <v>49</v>
      </c>
    </row>
    <row r="16" spans="1:16" x14ac:dyDescent="0.25">
      <c r="B16" s="8"/>
      <c r="E16" s="8"/>
      <c r="G16" s="11"/>
      <c r="H16" s="8"/>
      <c r="K16" s="8"/>
      <c r="O16" t="s">
        <v>14</v>
      </c>
      <c r="P16" t="s">
        <v>15</v>
      </c>
    </row>
    <row r="17" spans="1:19" x14ac:dyDescent="0.25">
      <c r="A17" s="16">
        <v>10</v>
      </c>
      <c r="B17" s="17" t="s">
        <v>32</v>
      </c>
      <c r="C17" s="3">
        <v>15.856999999999999</v>
      </c>
      <c r="D17" s="3">
        <v>0</v>
      </c>
      <c r="E17" s="4">
        <v>65196</v>
      </c>
      <c r="F17" s="18">
        <v>0</v>
      </c>
      <c r="G17" s="18">
        <v>0</v>
      </c>
      <c r="H17" s="4">
        <v>0</v>
      </c>
      <c r="I17" s="18">
        <v>0</v>
      </c>
      <c r="J17" s="18">
        <v>0</v>
      </c>
      <c r="K17" s="4">
        <v>0</v>
      </c>
      <c r="L17" s="3"/>
      <c r="M17" s="3"/>
      <c r="N17" s="3"/>
      <c r="O17" s="3">
        <f t="shared" ref="O17:O29" si="0">G17/416499.537</f>
        <v>0</v>
      </c>
      <c r="P17" s="4">
        <f t="shared" ref="P17:P29" si="1">H17/415610.902</f>
        <v>0</v>
      </c>
    </row>
    <row r="18" spans="1:19" x14ac:dyDescent="0.25">
      <c r="A18" s="19">
        <v>11</v>
      </c>
      <c r="B18" s="13" t="s">
        <v>33</v>
      </c>
      <c r="C18" s="20">
        <v>15.856</v>
      </c>
      <c r="D18" s="20">
        <v>123905</v>
      </c>
      <c r="E18" s="8">
        <v>123905</v>
      </c>
      <c r="F18" s="20">
        <v>10.805</v>
      </c>
      <c r="G18" s="9">
        <v>0</v>
      </c>
      <c r="H18" s="8">
        <v>23045</v>
      </c>
      <c r="I18" s="9">
        <v>0</v>
      </c>
      <c r="J18" s="9">
        <v>0</v>
      </c>
      <c r="K18" s="8">
        <v>0</v>
      </c>
      <c r="L18" s="20"/>
      <c r="M18" s="20"/>
      <c r="N18" s="20"/>
      <c r="O18" s="20">
        <f t="shared" si="0"/>
        <v>0</v>
      </c>
      <c r="P18" s="8">
        <f t="shared" si="1"/>
        <v>5.5448497354383647E-2</v>
      </c>
    </row>
    <row r="19" spans="1:19" x14ac:dyDescent="0.25">
      <c r="A19" s="19">
        <v>12</v>
      </c>
      <c r="B19" s="8" t="s">
        <v>34</v>
      </c>
      <c r="C19" s="20">
        <v>15.856</v>
      </c>
      <c r="D19" s="20">
        <v>98959</v>
      </c>
      <c r="E19" s="8">
        <v>99791</v>
      </c>
      <c r="F19" s="20">
        <v>10.804</v>
      </c>
      <c r="G19" s="20">
        <v>1361993</v>
      </c>
      <c r="H19" s="8">
        <v>1361265</v>
      </c>
      <c r="I19" s="20">
        <v>10.804</v>
      </c>
      <c r="J19" s="20">
        <v>207743</v>
      </c>
      <c r="K19" s="8">
        <v>207955</v>
      </c>
      <c r="L19" s="20"/>
      <c r="M19" s="20"/>
      <c r="N19" s="20"/>
      <c r="O19" s="20">
        <f t="shared" si="0"/>
        <v>3.2700948716780927</v>
      </c>
      <c r="P19" s="8">
        <f t="shared" si="1"/>
        <v>3.275335159518987</v>
      </c>
    </row>
    <row r="20" spans="1:19" x14ac:dyDescent="0.25">
      <c r="A20" s="19">
        <v>13</v>
      </c>
      <c r="B20" s="8" t="s">
        <v>35</v>
      </c>
      <c r="C20" s="20">
        <v>15.856999999999999</v>
      </c>
      <c r="D20" s="20">
        <v>151298</v>
      </c>
      <c r="E20" s="8">
        <v>159019</v>
      </c>
      <c r="F20" s="20">
        <v>10.805999999999999</v>
      </c>
      <c r="G20" s="20">
        <v>977365</v>
      </c>
      <c r="H20" s="8">
        <v>974234</v>
      </c>
      <c r="I20" s="20">
        <v>10.805999999999999</v>
      </c>
      <c r="J20" s="20">
        <v>150703</v>
      </c>
      <c r="K20" s="8">
        <v>150703</v>
      </c>
      <c r="L20" s="20"/>
      <c r="M20" s="20"/>
      <c r="N20" s="20"/>
      <c r="O20" s="20">
        <f t="shared" si="0"/>
        <v>2.3466172544628781</v>
      </c>
      <c r="P20" s="8">
        <f t="shared" si="1"/>
        <v>2.3441011660468907</v>
      </c>
    </row>
    <row r="21" spans="1:19" x14ac:dyDescent="0.25">
      <c r="A21" s="19">
        <v>14</v>
      </c>
      <c r="B21" s="8" t="s">
        <v>36</v>
      </c>
      <c r="C21" s="20">
        <v>15.856999999999999</v>
      </c>
      <c r="D21" s="20">
        <v>92829</v>
      </c>
      <c r="E21" s="8">
        <v>92829</v>
      </c>
      <c r="F21" s="20">
        <v>10.805</v>
      </c>
      <c r="G21" s="20">
        <v>1252674</v>
      </c>
      <c r="H21" s="8">
        <v>1251788</v>
      </c>
      <c r="I21" s="20">
        <v>10.804</v>
      </c>
      <c r="J21" s="20">
        <v>191165</v>
      </c>
      <c r="K21" s="8">
        <v>191165</v>
      </c>
      <c r="L21" s="20"/>
      <c r="M21" s="20"/>
      <c r="N21" s="20"/>
      <c r="O21" s="20">
        <f t="shared" si="0"/>
        <v>3.0076239916684466</v>
      </c>
      <c r="P21" s="8">
        <f t="shared" si="1"/>
        <v>3.0119229163050205</v>
      </c>
    </row>
    <row r="22" spans="1:19" x14ac:dyDescent="0.25">
      <c r="A22" s="19">
        <v>15</v>
      </c>
      <c r="B22" s="8" t="s">
        <v>37</v>
      </c>
      <c r="C22" s="20">
        <v>15.856999999999999</v>
      </c>
      <c r="D22" s="20">
        <v>114641</v>
      </c>
      <c r="E22" s="8">
        <v>115192</v>
      </c>
      <c r="F22" s="20">
        <v>10.8</v>
      </c>
      <c r="G22" s="20">
        <v>1540315</v>
      </c>
      <c r="H22" s="8">
        <v>1536717</v>
      </c>
      <c r="I22" s="20">
        <v>10.798999999999999</v>
      </c>
      <c r="J22" s="20">
        <v>229657</v>
      </c>
      <c r="K22" s="8">
        <v>231656</v>
      </c>
      <c r="L22" s="20"/>
      <c r="M22" s="20"/>
      <c r="N22" s="20"/>
      <c r="O22" s="20">
        <f t="shared" si="0"/>
        <v>3.6982394052457255</v>
      </c>
      <c r="P22" s="8">
        <f t="shared" si="1"/>
        <v>3.6974896293745441</v>
      </c>
    </row>
    <row r="23" spans="1:19" x14ac:dyDescent="0.25">
      <c r="A23" s="19">
        <v>16</v>
      </c>
      <c r="B23" s="8" t="s">
        <v>38</v>
      </c>
      <c r="C23" s="20">
        <v>15.858000000000001</v>
      </c>
      <c r="D23" s="20">
        <v>211160</v>
      </c>
      <c r="E23" s="8">
        <v>211160</v>
      </c>
      <c r="F23" s="20">
        <v>10.805999999999999</v>
      </c>
      <c r="G23" s="20">
        <v>1558261</v>
      </c>
      <c r="H23" s="8">
        <v>1551785</v>
      </c>
      <c r="I23" s="20">
        <v>10.805999999999999</v>
      </c>
      <c r="J23" s="20">
        <v>239233</v>
      </c>
      <c r="K23" s="8">
        <v>240273</v>
      </c>
      <c r="L23" s="20"/>
      <c r="M23" s="20"/>
      <c r="N23" s="20"/>
      <c r="O23" s="20">
        <f t="shared" si="0"/>
        <v>3.7413270881979397</v>
      </c>
      <c r="P23" s="8">
        <f t="shared" si="1"/>
        <v>3.7337446937327932</v>
      </c>
    </row>
    <row r="24" spans="1:19" x14ac:dyDescent="0.25">
      <c r="A24" s="5">
        <v>17</v>
      </c>
      <c r="B24" s="6" t="s">
        <v>39</v>
      </c>
      <c r="C24" s="7">
        <v>15.856999999999999</v>
      </c>
      <c r="D24" s="7">
        <v>160474</v>
      </c>
      <c r="E24" s="6">
        <v>160474</v>
      </c>
      <c r="F24" s="7">
        <v>10.807</v>
      </c>
      <c r="G24" s="7">
        <v>1113566</v>
      </c>
      <c r="H24" s="6">
        <v>1113566</v>
      </c>
      <c r="I24" s="7">
        <v>10.807</v>
      </c>
      <c r="J24" s="7">
        <v>170663</v>
      </c>
      <c r="K24" s="6">
        <v>170663</v>
      </c>
      <c r="L24" s="7"/>
      <c r="M24" s="7"/>
      <c r="N24" s="7"/>
      <c r="O24" s="7">
        <f t="shared" si="0"/>
        <v>2.673630823267878</v>
      </c>
      <c r="P24" s="6">
        <f t="shared" si="1"/>
        <v>2.6793474248180331</v>
      </c>
    </row>
    <row r="25" spans="1:19" x14ac:dyDescent="0.25">
      <c r="A25">
        <v>18</v>
      </c>
      <c r="B25" s="8" t="s">
        <v>40</v>
      </c>
      <c r="C25">
        <v>15.856</v>
      </c>
      <c r="D25">
        <v>102334</v>
      </c>
      <c r="E25" s="8">
        <v>104145</v>
      </c>
      <c r="F25">
        <v>10.804</v>
      </c>
      <c r="G25">
        <v>0</v>
      </c>
      <c r="H25" s="8">
        <v>12974</v>
      </c>
      <c r="I25" s="9">
        <v>0</v>
      </c>
      <c r="J25" s="9">
        <v>0</v>
      </c>
      <c r="K25" s="8">
        <v>0</v>
      </c>
      <c r="O25">
        <f t="shared" si="0"/>
        <v>0</v>
      </c>
      <c r="P25">
        <f t="shared" si="1"/>
        <v>3.1216697968139442E-2</v>
      </c>
    </row>
    <row r="26" spans="1:19" x14ac:dyDescent="0.25">
      <c r="A26">
        <v>19</v>
      </c>
      <c r="B26" s="8" t="s">
        <v>41</v>
      </c>
      <c r="C26">
        <v>15.856</v>
      </c>
      <c r="D26">
        <v>100756</v>
      </c>
      <c r="E26" s="8">
        <v>101240</v>
      </c>
      <c r="F26" s="9">
        <v>0</v>
      </c>
      <c r="G26" s="9">
        <v>0</v>
      </c>
      <c r="H26" s="8">
        <v>0</v>
      </c>
      <c r="I26" s="9">
        <v>0</v>
      </c>
      <c r="J26" s="9">
        <v>0</v>
      </c>
      <c r="K26" s="8">
        <v>0</v>
      </c>
      <c r="O26">
        <f t="shared" si="0"/>
        <v>0</v>
      </c>
      <c r="P26">
        <f t="shared" si="1"/>
        <v>0</v>
      </c>
    </row>
    <row r="27" spans="1:19" x14ac:dyDescent="0.25">
      <c r="A27">
        <v>20</v>
      </c>
      <c r="B27" s="8" t="s">
        <v>25</v>
      </c>
      <c r="C27">
        <v>15.856</v>
      </c>
      <c r="D27">
        <v>0</v>
      </c>
      <c r="E27" s="8">
        <v>77347</v>
      </c>
      <c r="F27" s="9">
        <v>0</v>
      </c>
      <c r="G27" s="9">
        <v>0</v>
      </c>
      <c r="H27" s="8">
        <v>0</v>
      </c>
      <c r="I27" s="9">
        <v>0</v>
      </c>
      <c r="J27" s="9">
        <v>0</v>
      </c>
      <c r="K27" s="8">
        <v>0</v>
      </c>
      <c r="O27">
        <f t="shared" si="0"/>
        <v>0</v>
      </c>
      <c r="P27">
        <f t="shared" si="1"/>
        <v>0</v>
      </c>
    </row>
    <row r="28" spans="1:19" x14ac:dyDescent="0.25">
      <c r="A28">
        <v>21</v>
      </c>
      <c r="B28" s="31" t="s">
        <v>52</v>
      </c>
      <c r="C28" s="32">
        <v>15.856999999999999</v>
      </c>
      <c r="D28" s="32">
        <v>171232</v>
      </c>
      <c r="E28" s="31">
        <v>171232</v>
      </c>
      <c r="F28" s="32">
        <v>10.803000000000001</v>
      </c>
      <c r="G28" s="32">
        <v>740297</v>
      </c>
      <c r="H28" s="31">
        <v>742462</v>
      </c>
      <c r="I28" s="32">
        <v>10.804</v>
      </c>
      <c r="J28" s="33">
        <v>0</v>
      </c>
      <c r="K28" s="31">
        <v>114091</v>
      </c>
      <c r="L28" s="31" t="s">
        <v>53</v>
      </c>
      <c r="O28">
        <f t="shared" si="0"/>
        <v>1.7774257453736377</v>
      </c>
      <c r="P28">
        <f t="shared" si="1"/>
        <v>1.7864353327285913</v>
      </c>
      <c r="R28" s="9"/>
      <c r="S28" s="9"/>
    </row>
    <row r="29" spans="1:19" x14ac:dyDescent="0.25">
      <c r="A29">
        <v>22</v>
      </c>
      <c r="B29" s="15" t="s">
        <v>54</v>
      </c>
      <c r="C29">
        <v>15.858000000000001</v>
      </c>
      <c r="D29">
        <v>0</v>
      </c>
      <c r="E29" s="8">
        <v>63720</v>
      </c>
      <c r="F29">
        <v>10.805</v>
      </c>
      <c r="G29">
        <v>362102</v>
      </c>
      <c r="H29" s="8">
        <v>364151</v>
      </c>
      <c r="I29">
        <v>10.804</v>
      </c>
      <c r="J29" s="9">
        <v>0</v>
      </c>
      <c r="K29" s="8">
        <v>52295</v>
      </c>
      <c r="L29" s="15" t="s">
        <v>55</v>
      </c>
      <c r="O29">
        <f t="shared" si="0"/>
        <v>0.86939352347947507</v>
      </c>
      <c r="P29">
        <f t="shared" si="1"/>
        <v>0.8761825020653573</v>
      </c>
      <c r="R29" s="9"/>
      <c r="S29" s="9"/>
    </row>
    <row r="30" spans="1:19" x14ac:dyDescent="0.25">
      <c r="E30" s="8"/>
      <c r="H30" s="8"/>
      <c r="K30" s="8"/>
      <c r="L30" s="31" t="s">
        <v>42</v>
      </c>
      <c r="R30" s="9"/>
      <c r="S30" s="9"/>
    </row>
    <row r="31" spans="1:19" x14ac:dyDescent="0.25">
      <c r="R31" s="9"/>
      <c r="S31" s="9"/>
    </row>
    <row r="32" spans="1:19" x14ac:dyDescent="0.25">
      <c r="R32" s="9"/>
      <c r="S32" s="9"/>
    </row>
    <row r="33" spans="1:19" x14ac:dyDescent="0.25">
      <c r="R33" s="9"/>
      <c r="S33" s="9"/>
    </row>
    <row r="34" spans="1:19" x14ac:dyDescent="0.25">
      <c r="A34" t="s">
        <v>105</v>
      </c>
      <c r="E34" t="s">
        <v>20</v>
      </c>
      <c r="F34" t="s">
        <v>21</v>
      </c>
      <c r="I34" t="s">
        <v>0</v>
      </c>
      <c r="J34" s="14" t="s">
        <v>51</v>
      </c>
    </row>
    <row r="35" spans="1:19" x14ac:dyDescent="0.25">
      <c r="A35" t="s">
        <v>106</v>
      </c>
      <c r="J35" s="10" t="s">
        <v>47</v>
      </c>
    </row>
    <row r="36" spans="1:19" x14ac:dyDescent="0.25">
      <c r="A36" t="s">
        <v>1</v>
      </c>
      <c r="C36" t="s">
        <v>2</v>
      </c>
      <c r="J36" s="10" t="s">
        <v>50</v>
      </c>
    </row>
    <row r="37" spans="1:19" x14ac:dyDescent="0.25">
      <c r="A37" t="s">
        <v>3</v>
      </c>
      <c r="C37" t="s">
        <v>4</v>
      </c>
      <c r="L37" t="s">
        <v>43</v>
      </c>
    </row>
    <row r="38" spans="1:19" x14ac:dyDescent="0.25">
      <c r="A38" s="1"/>
      <c r="B38" s="2"/>
      <c r="C38" s="3" t="s">
        <v>5</v>
      </c>
      <c r="D38" s="3" t="s">
        <v>6</v>
      </c>
      <c r="E38" s="4"/>
      <c r="F38" s="3" t="s">
        <v>7</v>
      </c>
      <c r="G38" s="3"/>
      <c r="H38" s="4"/>
      <c r="I38" s="3" t="s">
        <v>8</v>
      </c>
      <c r="J38" s="3"/>
      <c r="K38" s="4"/>
      <c r="L38" t="s">
        <v>44</v>
      </c>
    </row>
    <row r="39" spans="1:19" x14ac:dyDescent="0.25">
      <c r="A39" s="5" t="s">
        <v>9</v>
      </c>
      <c r="B39" s="6" t="s">
        <v>10</v>
      </c>
      <c r="C39" s="7" t="s">
        <v>11</v>
      </c>
      <c r="D39" s="7" t="s">
        <v>12</v>
      </c>
      <c r="E39" s="6" t="s">
        <v>13</v>
      </c>
      <c r="F39" s="7" t="s">
        <v>11</v>
      </c>
      <c r="G39" s="7" t="s">
        <v>14</v>
      </c>
      <c r="H39" s="6" t="s">
        <v>15</v>
      </c>
      <c r="I39" s="7" t="s">
        <v>11</v>
      </c>
      <c r="J39" s="7" t="s">
        <v>16</v>
      </c>
      <c r="K39" s="6" t="s">
        <v>17</v>
      </c>
      <c r="L39" t="s">
        <v>45</v>
      </c>
      <c r="M39" t="s">
        <v>46</v>
      </c>
    </row>
    <row r="40" spans="1:19" x14ac:dyDescent="0.25">
      <c r="A40" s="21">
        <v>1</v>
      </c>
      <c r="B40" s="22" t="s">
        <v>101</v>
      </c>
      <c r="C40" s="18">
        <v>15.856999999999999</v>
      </c>
      <c r="D40" s="18">
        <v>297809</v>
      </c>
      <c r="E40" s="22">
        <v>297809</v>
      </c>
      <c r="F40" s="18">
        <v>10.798</v>
      </c>
      <c r="G40" s="18">
        <v>0</v>
      </c>
      <c r="H40" s="22">
        <v>49515</v>
      </c>
      <c r="I40" s="18">
        <v>0</v>
      </c>
      <c r="J40" s="18">
        <v>0</v>
      </c>
      <c r="K40" s="22">
        <v>0</v>
      </c>
      <c r="L40" s="9">
        <v>0</v>
      </c>
      <c r="M40" s="9">
        <v>0</v>
      </c>
    </row>
    <row r="41" spans="1:19" x14ac:dyDescent="0.25">
      <c r="A41" s="23">
        <v>2</v>
      </c>
      <c r="B41" s="15" t="s">
        <v>102</v>
      </c>
      <c r="C41" s="9">
        <v>15.856999999999999</v>
      </c>
      <c r="D41" s="9">
        <v>515182</v>
      </c>
      <c r="E41" s="15">
        <v>510487</v>
      </c>
      <c r="F41" s="9">
        <v>10.805</v>
      </c>
      <c r="G41" s="9">
        <v>0</v>
      </c>
      <c r="H41" s="15">
        <v>39546</v>
      </c>
      <c r="I41" s="9">
        <v>0</v>
      </c>
      <c r="J41" s="9">
        <v>0</v>
      </c>
      <c r="K41" s="15">
        <v>0</v>
      </c>
      <c r="L41" s="9">
        <v>0</v>
      </c>
      <c r="M41" s="9">
        <v>0</v>
      </c>
    </row>
    <row r="42" spans="1:19" x14ac:dyDescent="0.25">
      <c r="A42" s="23">
        <v>3</v>
      </c>
      <c r="B42" s="15" t="s">
        <v>81</v>
      </c>
      <c r="C42" s="9">
        <v>15.859</v>
      </c>
      <c r="D42" s="9">
        <v>977825</v>
      </c>
      <c r="E42" s="15">
        <v>977825</v>
      </c>
      <c r="F42" s="9">
        <v>10.803000000000001</v>
      </c>
      <c r="G42" s="9">
        <v>347718</v>
      </c>
      <c r="H42" s="15">
        <v>347976</v>
      </c>
      <c r="I42" s="9">
        <v>10.804</v>
      </c>
      <c r="J42" s="9">
        <v>0</v>
      </c>
      <c r="K42" s="15">
        <v>51489</v>
      </c>
      <c r="L42" s="9">
        <v>0.25</v>
      </c>
      <c r="M42" s="9">
        <v>0.05</v>
      </c>
    </row>
    <row r="43" spans="1:19" x14ac:dyDescent="0.25">
      <c r="A43" s="23">
        <v>4</v>
      </c>
      <c r="B43" s="15" t="s">
        <v>82</v>
      </c>
      <c r="C43" s="9">
        <v>15.856999999999999</v>
      </c>
      <c r="D43" s="9">
        <v>274808</v>
      </c>
      <c r="E43" s="15">
        <v>274808</v>
      </c>
      <c r="F43" s="9">
        <v>10.807</v>
      </c>
      <c r="G43" s="9">
        <v>402171</v>
      </c>
      <c r="H43" s="15">
        <v>403080</v>
      </c>
      <c r="I43" s="9">
        <v>10.805999999999999</v>
      </c>
      <c r="J43" s="9">
        <v>0</v>
      </c>
      <c r="K43" s="15">
        <v>62620</v>
      </c>
      <c r="L43" s="9">
        <v>0.25</v>
      </c>
      <c r="M43" s="9">
        <v>0.05</v>
      </c>
    </row>
    <row r="44" spans="1:19" x14ac:dyDescent="0.25">
      <c r="A44" s="23">
        <v>5</v>
      </c>
      <c r="B44" s="15" t="s">
        <v>83</v>
      </c>
      <c r="C44" s="9">
        <v>15.856</v>
      </c>
      <c r="D44" s="9">
        <v>276015</v>
      </c>
      <c r="E44" s="15">
        <v>276015</v>
      </c>
      <c r="F44" s="9">
        <v>10.807</v>
      </c>
      <c r="G44" s="9">
        <v>2884696</v>
      </c>
      <c r="H44" s="15">
        <v>2875301</v>
      </c>
      <c r="I44" s="9">
        <v>10.808</v>
      </c>
      <c r="J44" s="9">
        <v>434846</v>
      </c>
      <c r="K44" s="15">
        <v>434846</v>
      </c>
      <c r="L44" s="9">
        <v>2.5</v>
      </c>
      <c r="M44" s="9">
        <v>0.5</v>
      </c>
    </row>
    <row r="45" spans="1:19" x14ac:dyDescent="0.25">
      <c r="A45" s="23">
        <v>6</v>
      </c>
      <c r="B45" s="15" t="s">
        <v>84</v>
      </c>
      <c r="C45" s="9">
        <v>15.858000000000001</v>
      </c>
      <c r="D45" s="9">
        <v>534860</v>
      </c>
      <c r="E45" s="15">
        <v>534221</v>
      </c>
      <c r="F45" s="9">
        <v>10.808</v>
      </c>
      <c r="G45" s="9">
        <v>2026440</v>
      </c>
      <c r="H45" s="15">
        <v>2022114</v>
      </c>
      <c r="I45" s="9">
        <v>10.808</v>
      </c>
      <c r="J45" s="9">
        <v>312340</v>
      </c>
      <c r="K45" s="15">
        <v>312340</v>
      </c>
      <c r="L45" s="9">
        <v>2.5</v>
      </c>
      <c r="M45" s="9">
        <v>0.5</v>
      </c>
    </row>
    <row r="46" spans="1:19" x14ac:dyDescent="0.25">
      <c r="A46" s="23">
        <v>7</v>
      </c>
      <c r="B46" s="15" t="s">
        <v>85</v>
      </c>
      <c r="C46" s="9">
        <v>15.856999999999999</v>
      </c>
      <c r="D46" s="9">
        <v>552323</v>
      </c>
      <c r="E46" s="15">
        <v>552323</v>
      </c>
      <c r="F46" s="9">
        <v>10.808</v>
      </c>
      <c r="G46" s="9">
        <v>4948429</v>
      </c>
      <c r="H46" s="15">
        <v>4934383</v>
      </c>
      <c r="I46" s="9">
        <v>10.807</v>
      </c>
      <c r="J46" s="9">
        <v>750177</v>
      </c>
      <c r="K46" s="15">
        <v>750177</v>
      </c>
      <c r="L46">
        <v>5</v>
      </c>
      <c r="M46">
        <v>1</v>
      </c>
    </row>
    <row r="47" spans="1:19" x14ac:dyDescent="0.25">
      <c r="A47" s="23">
        <v>8</v>
      </c>
      <c r="B47" s="15" t="s">
        <v>86</v>
      </c>
      <c r="C47" s="9">
        <v>15.856999999999999</v>
      </c>
      <c r="D47" s="9">
        <v>843229</v>
      </c>
      <c r="E47" s="15">
        <v>842853</v>
      </c>
      <c r="F47" s="9">
        <v>10.81</v>
      </c>
      <c r="G47" s="9">
        <v>4638103</v>
      </c>
      <c r="H47" s="15">
        <v>4628932</v>
      </c>
      <c r="I47" s="9">
        <v>10.81</v>
      </c>
      <c r="J47" s="9">
        <v>701083</v>
      </c>
      <c r="K47" s="15">
        <v>701083</v>
      </c>
      <c r="L47">
        <v>5</v>
      </c>
      <c r="M47">
        <v>1</v>
      </c>
      <c r="O47" t="s">
        <v>48</v>
      </c>
    </row>
    <row r="48" spans="1:19" x14ac:dyDescent="0.25">
      <c r="A48" s="23">
        <v>9</v>
      </c>
      <c r="B48" s="15" t="s">
        <v>103</v>
      </c>
      <c r="C48" s="9">
        <v>15.858000000000001</v>
      </c>
      <c r="D48" s="9">
        <v>923140</v>
      </c>
      <c r="E48" s="15">
        <v>918832</v>
      </c>
      <c r="F48" s="9">
        <v>10.807</v>
      </c>
      <c r="G48" s="9">
        <v>542945</v>
      </c>
      <c r="H48" s="15">
        <v>545084</v>
      </c>
      <c r="I48" s="9">
        <v>10.807</v>
      </c>
      <c r="J48" s="9">
        <v>0</v>
      </c>
      <c r="K48" s="15">
        <v>82610</v>
      </c>
      <c r="L48">
        <v>0</v>
      </c>
      <c r="M48">
        <v>0</v>
      </c>
      <c r="O48" t="s">
        <v>49</v>
      </c>
    </row>
    <row r="49" spans="1:21" x14ac:dyDescent="0.25">
      <c r="A49" s="5"/>
      <c r="B49" s="6"/>
      <c r="C49" s="7"/>
      <c r="D49" s="7"/>
      <c r="E49" s="6"/>
      <c r="F49" s="7"/>
      <c r="G49" s="7"/>
      <c r="H49" s="6"/>
      <c r="I49" s="7"/>
      <c r="J49" s="7"/>
      <c r="K49" s="6"/>
      <c r="O49" t="s">
        <v>14</v>
      </c>
      <c r="P49" t="s">
        <v>15</v>
      </c>
    </row>
    <row r="50" spans="1:21" x14ac:dyDescent="0.25">
      <c r="A50" s="16">
        <v>10</v>
      </c>
      <c r="B50" s="22" t="s">
        <v>87</v>
      </c>
      <c r="C50" s="3">
        <v>15.858000000000001</v>
      </c>
      <c r="D50" s="3">
        <v>755962</v>
      </c>
      <c r="E50" s="4">
        <v>751169</v>
      </c>
      <c r="F50" s="3">
        <v>10.785</v>
      </c>
      <c r="G50" s="3">
        <v>408598</v>
      </c>
      <c r="H50" s="4">
        <v>411605</v>
      </c>
      <c r="I50" s="3">
        <v>10.784000000000001</v>
      </c>
      <c r="J50" s="3">
        <v>0</v>
      </c>
      <c r="K50" s="4">
        <v>62234</v>
      </c>
      <c r="O50">
        <f>G50/964439</f>
        <v>0.42366391238844553</v>
      </c>
      <c r="P50">
        <f>H50/962042</f>
        <v>0.42784514605391449</v>
      </c>
    </row>
    <row r="51" spans="1:21" x14ac:dyDescent="0.25">
      <c r="A51" s="19">
        <v>11</v>
      </c>
      <c r="B51" s="15" t="s">
        <v>88</v>
      </c>
      <c r="C51" s="20">
        <v>15.856999999999999</v>
      </c>
      <c r="D51" s="20">
        <v>444853</v>
      </c>
      <c r="E51" s="8">
        <v>444853</v>
      </c>
      <c r="F51" s="20">
        <v>10.807</v>
      </c>
      <c r="G51" s="20">
        <v>764937</v>
      </c>
      <c r="H51" s="8">
        <v>764937</v>
      </c>
      <c r="I51" s="20">
        <v>10.807</v>
      </c>
      <c r="J51" s="9">
        <v>0</v>
      </c>
      <c r="K51" s="8">
        <v>114769</v>
      </c>
      <c r="O51">
        <f t="shared" ref="O51:O53" si="2">G51/964439</f>
        <v>0.79314191981037685</v>
      </c>
      <c r="P51">
        <f t="shared" ref="P51:P53" si="3">H51/962042</f>
        <v>0.7951180925572896</v>
      </c>
    </row>
    <row r="52" spans="1:21" x14ac:dyDescent="0.25">
      <c r="A52" s="19">
        <v>12</v>
      </c>
      <c r="B52" s="15" t="s">
        <v>89</v>
      </c>
      <c r="C52" s="20">
        <v>15.856999999999999</v>
      </c>
      <c r="D52" s="20">
        <v>684842</v>
      </c>
      <c r="E52" s="8">
        <v>684304</v>
      </c>
      <c r="F52" s="20">
        <v>10.804</v>
      </c>
      <c r="G52" s="20">
        <v>379764</v>
      </c>
      <c r="H52" s="8">
        <v>380956</v>
      </c>
      <c r="I52" s="20">
        <v>10.803000000000001</v>
      </c>
      <c r="J52" s="9">
        <v>0</v>
      </c>
      <c r="K52" s="8">
        <v>55853</v>
      </c>
      <c r="O52">
        <f t="shared" si="2"/>
        <v>0.39376673900578468</v>
      </c>
      <c r="P52">
        <f t="shared" si="3"/>
        <v>0.39598686959612989</v>
      </c>
    </row>
    <row r="53" spans="1:21" x14ac:dyDescent="0.25">
      <c r="A53" s="19">
        <v>13</v>
      </c>
      <c r="B53" s="15" t="s">
        <v>90</v>
      </c>
      <c r="C53" s="20">
        <v>15.856999999999999</v>
      </c>
      <c r="D53" s="20">
        <v>379132</v>
      </c>
      <c r="E53" s="8">
        <v>379132</v>
      </c>
      <c r="F53" s="20">
        <v>10.808</v>
      </c>
      <c r="G53" s="20">
        <v>320750</v>
      </c>
      <c r="H53" s="8">
        <v>322616</v>
      </c>
      <c r="I53" s="20">
        <v>10.808</v>
      </c>
      <c r="J53" s="9">
        <v>0</v>
      </c>
      <c r="K53" s="8">
        <v>48005</v>
      </c>
      <c r="O53">
        <f t="shared" si="2"/>
        <v>0.33257676224209098</v>
      </c>
      <c r="P53">
        <f t="shared" si="3"/>
        <v>0.33534502651651382</v>
      </c>
    </row>
    <row r="54" spans="1:21" x14ac:dyDescent="0.25">
      <c r="A54" s="19">
        <v>14</v>
      </c>
      <c r="B54" s="15" t="s">
        <v>91</v>
      </c>
      <c r="C54" s="20">
        <v>15.859</v>
      </c>
      <c r="D54" s="20">
        <v>705590</v>
      </c>
      <c r="E54" s="8">
        <v>705590</v>
      </c>
      <c r="F54" s="20">
        <v>10.813000000000001</v>
      </c>
      <c r="G54" s="20">
        <v>435019</v>
      </c>
      <c r="H54" s="8">
        <v>435019</v>
      </c>
      <c r="I54" s="20">
        <v>10.811999999999999</v>
      </c>
      <c r="J54" s="9">
        <v>0</v>
      </c>
      <c r="K54" s="8">
        <v>65597</v>
      </c>
      <c r="N54" s="16"/>
      <c r="O54" s="43" t="s">
        <v>58</v>
      </c>
      <c r="P54" s="3" t="s">
        <v>60</v>
      </c>
      <c r="Q54" s="3" t="s">
        <v>61</v>
      </c>
      <c r="R54" s="3" t="s">
        <v>62</v>
      </c>
      <c r="S54" s="3" t="s">
        <v>122</v>
      </c>
      <c r="T54" s="3" t="s">
        <v>123</v>
      </c>
      <c r="U54" s="4" t="s">
        <v>124</v>
      </c>
    </row>
    <row r="55" spans="1:21" x14ac:dyDescent="0.25">
      <c r="A55" s="5">
        <v>15</v>
      </c>
      <c r="B55" s="24" t="s">
        <v>92</v>
      </c>
      <c r="C55" s="7">
        <v>15.859</v>
      </c>
      <c r="D55" s="7">
        <v>378974</v>
      </c>
      <c r="E55" s="6">
        <v>378974</v>
      </c>
      <c r="F55" s="7">
        <v>10.813000000000001</v>
      </c>
      <c r="G55" s="7">
        <v>580435</v>
      </c>
      <c r="H55" s="6">
        <v>581254</v>
      </c>
      <c r="I55" s="7">
        <v>10.811999999999999</v>
      </c>
      <c r="J55" s="7">
        <v>0</v>
      </c>
      <c r="K55" s="6">
        <v>87729</v>
      </c>
      <c r="N55" s="19"/>
      <c r="O55" s="27" t="s">
        <v>125</v>
      </c>
      <c r="P55" s="7" t="s">
        <v>126</v>
      </c>
      <c r="Q55" s="7" t="s">
        <v>127</v>
      </c>
      <c r="R55" s="7" t="s">
        <v>128</v>
      </c>
      <c r="S55" s="7" t="s">
        <v>128</v>
      </c>
      <c r="T55" s="7" t="s">
        <v>128</v>
      </c>
      <c r="U55" s="6" t="s">
        <v>127</v>
      </c>
    </row>
    <row r="56" spans="1:21" x14ac:dyDescent="0.25">
      <c r="A56" s="16">
        <v>16</v>
      </c>
      <c r="B56" s="22" t="s">
        <v>93</v>
      </c>
      <c r="C56" s="3">
        <v>15.86</v>
      </c>
      <c r="D56" s="3">
        <v>554397</v>
      </c>
      <c r="E56" s="4">
        <v>553196</v>
      </c>
      <c r="F56" s="3">
        <v>10.797000000000001</v>
      </c>
      <c r="G56" s="3">
        <v>0</v>
      </c>
      <c r="H56" s="4">
        <v>19244</v>
      </c>
      <c r="I56" s="3">
        <v>0</v>
      </c>
      <c r="J56" s="3">
        <v>0</v>
      </c>
      <c r="K56" s="4">
        <v>0</v>
      </c>
      <c r="N56" s="44">
        <v>44376</v>
      </c>
      <c r="O56" s="35" t="s">
        <v>129</v>
      </c>
      <c r="P56" s="16">
        <v>0</v>
      </c>
      <c r="Q56" s="3">
        <v>0</v>
      </c>
      <c r="R56" s="3">
        <v>0</v>
      </c>
      <c r="S56" s="3">
        <v>0</v>
      </c>
      <c r="T56" s="3">
        <v>0</v>
      </c>
      <c r="U56" s="4">
        <v>0</v>
      </c>
    </row>
    <row r="57" spans="1:21" x14ac:dyDescent="0.25">
      <c r="A57" s="19">
        <v>17</v>
      </c>
      <c r="B57" s="15" t="s">
        <v>94</v>
      </c>
      <c r="C57" s="20">
        <v>15.859</v>
      </c>
      <c r="D57" s="20">
        <v>391786</v>
      </c>
      <c r="E57" s="8">
        <v>391786</v>
      </c>
      <c r="F57" s="20">
        <v>10.816000000000001</v>
      </c>
      <c r="G57" s="9">
        <v>0</v>
      </c>
      <c r="H57" s="8">
        <v>17486</v>
      </c>
      <c r="I57" s="9">
        <v>0</v>
      </c>
      <c r="J57" s="9">
        <v>0</v>
      </c>
      <c r="K57" s="8">
        <v>0</v>
      </c>
      <c r="N57" s="19"/>
      <c r="O57" s="27" t="s">
        <v>130</v>
      </c>
      <c r="P57" s="19">
        <v>0</v>
      </c>
      <c r="Q57">
        <v>0.05</v>
      </c>
      <c r="R57">
        <v>0.5</v>
      </c>
      <c r="S57" s="42">
        <v>0.41759081873315362</v>
      </c>
      <c r="T57" s="42">
        <v>8.2409181266846376E-2</v>
      </c>
      <c r="U57" s="37">
        <v>8.2409181266846383E-3</v>
      </c>
    </row>
    <row r="58" spans="1:21" x14ac:dyDescent="0.25">
      <c r="A58" s="19">
        <v>18</v>
      </c>
      <c r="B58" s="15" t="s">
        <v>95</v>
      </c>
      <c r="C58" s="20">
        <v>15.861000000000001</v>
      </c>
      <c r="D58" s="20">
        <v>943081</v>
      </c>
      <c r="E58" s="8">
        <v>943081</v>
      </c>
      <c r="F58" s="20">
        <v>10.815</v>
      </c>
      <c r="G58" s="20">
        <v>1565204</v>
      </c>
      <c r="H58" s="8">
        <v>1560896</v>
      </c>
      <c r="I58" s="20">
        <v>10.815</v>
      </c>
      <c r="J58" s="20">
        <v>235608</v>
      </c>
      <c r="K58" s="8">
        <v>236756</v>
      </c>
      <c r="N58" s="19"/>
      <c r="O58" s="27" t="s">
        <v>131</v>
      </c>
      <c r="P58" s="19">
        <v>120460</v>
      </c>
      <c r="Q58">
        <v>0.1</v>
      </c>
      <c r="R58">
        <v>1</v>
      </c>
      <c r="S58" s="42">
        <v>0.83518163746630725</v>
      </c>
      <c r="T58" s="42">
        <v>0.16481836253369275</v>
      </c>
      <c r="U58" s="37">
        <v>1.6481836253369277E-2</v>
      </c>
    </row>
    <row r="59" spans="1:21" x14ac:dyDescent="0.25">
      <c r="A59" s="19">
        <v>19</v>
      </c>
      <c r="B59" s="15" t="s">
        <v>96</v>
      </c>
      <c r="C59" s="20">
        <v>15.856999999999999</v>
      </c>
      <c r="D59" s="20">
        <v>493965</v>
      </c>
      <c r="E59" s="8">
        <v>493965</v>
      </c>
      <c r="F59" s="20">
        <v>10.81</v>
      </c>
      <c r="G59" s="20">
        <v>1915049</v>
      </c>
      <c r="H59" s="8">
        <v>1911200</v>
      </c>
      <c r="I59" s="20">
        <v>10.808999999999999</v>
      </c>
      <c r="J59" s="20">
        <v>289107</v>
      </c>
      <c r="K59" s="8">
        <v>289107</v>
      </c>
      <c r="N59" s="19"/>
      <c r="O59" s="27" t="s">
        <v>132</v>
      </c>
      <c r="P59" s="19">
        <v>675632.5</v>
      </c>
      <c r="Q59">
        <v>0.5</v>
      </c>
      <c r="R59">
        <v>5</v>
      </c>
      <c r="S59" s="42">
        <v>4.1759081873315358</v>
      </c>
      <c r="T59" s="42">
        <v>0.82409181266846421</v>
      </c>
      <c r="U59" s="37">
        <v>8.2409181266846418E-2</v>
      </c>
    </row>
    <row r="60" spans="1:21" x14ac:dyDescent="0.25">
      <c r="A60" s="19">
        <v>20</v>
      </c>
      <c r="B60" s="8" t="s">
        <v>104</v>
      </c>
      <c r="C60" s="20">
        <v>15.861000000000001</v>
      </c>
      <c r="D60" s="20">
        <v>1278350</v>
      </c>
      <c r="E60" s="8">
        <v>1272967</v>
      </c>
      <c r="F60" s="20">
        <v>10.807</v>
      </c>
      <c r="G60" s="9">
        <v>0</v>
      </c>
      <c r="H60" s="8">
        <v>84578</v>
      </c>
      <c r="I60" s="20">
        <v>10.805999999999999</v>
      </c>
      <c r="J60" s="9">
        <v>0</v>
      </c>
      <c r="K60" s="8">
        <v>12501</v>
      </c>
      <c r="L60" s="9">
        <v>0</v>
      </c>
      <c r="M60">
        <v>0</v>
      </c>
      <c r="N60" s="5"/>
      <c r="O60" s="45" t="s">
        <v>133</v>
      </c>
      <c r="P60" s="19">
        <v>1435639.5</v>
      </c>
      <c r="Q60">
        <v>1</v>
      </c>
      <c r="R60">
        <v>10</v>
      </c>
      <c r="S60" s="42">
        <v>8.3518163746630716</v>
      </c>
      <c r="T60" s="42">
        <v>1.6481836253369284</v>
      </c>
      <c r="U60" s="37">
        <v>0.16481836253369284</v>
      </c>
    </row>
    <row r="61" spans="1:21" x14ac:dyDescent="0.25">
      <c r="A61" s="19">
        <v>21</v>
      </c>
      <c r="B61" s="15" t="s">
        <v>97</v>
      </c>
      <c r="C61" s="20">
        <v>15.859</v>
      </c>
      <c r="D61" s="20">
        <v>956299</v>
      </c>
      <c r="E61" s="8">
        <v>963316</v>
      </c>
      <c r="F61" s="20">
        <v>10.811999999999999</v>
      </c>
      <c r="G61" s="20">
        <v>1488547</v>
      </c>
      <c r="H61" s="8">
        <v>1485173</v>
      </c>
      <c r="I61" s="20">
        <v>10.811999999999999</v>
      </c>
      <c r="J61" s="9">
        <v>0</v>
      </c>
      <c r="K61" s="8">
        <v>225956</v>
      </c>
      <c r="N61" s="44">
        <v>44377</v>
      </c>
      <c r="O61" s="35" t="s">
        <v>129</v>
      </c>
      <c r="P61" s="16">
        <v>0</v>
      </c>
      <c r="Q61" s="3">
        <v>0</v>
      </c>
      <c r="R61" s="3">
        <v>0</v>
      </c>
      <c r="S61" s="3">
        <v>0</v>
      </c>
      <c r="T61" s="3">
        <v>0</v>
      </c>
      <c r="U61" s="4">
        <v>0</v>
      </c>
    </row>
    <row r="62" spans="1:21" x14ac:dyDescent="0.25">
      <c r="A62" s="19">
        <v>22</v>
      </c>
      <c r="B62" s="15" t="s">
        <v>98</v>
      </c>
      <c r="C62" s="20">
        <v>15.858000000000001</v>
      </c>
      <c r="D62" s="20">
        <v>753380</v>
      </c>
      <c r="E62" s="8">
        <v>753380</v>
      </c>
      <c r="F62" s="20">
        <v>10.811999999999999</v>
      </c>
      <c r="G62" s="20">
        <v>1731437</v>
      </c>
      <c r="H62" s="8">
        <v>1728790</v>
      </c>
      <c r="I62" s="20">
        <v>10.811999999999999</v>
      </c>
      <c r="J62" s="20">
        <v>260819</v>
      </c>
      <c r="K62" s="8">
        <v>260819</v>
      </c>
      <c r="N62" s="19"/>
      <c r="O62" s="27" t="s">
        <v>132</v>
      </c>
      <c r="P62" s="19">
        <v>508815</v>
      </c>
      <c r="Q62">
        <v>0.5</v>
      </c>
      <c r="R62">
        <v>5</v>
      </c>
      <c r="S62" s="42">
        <v>4.1759081873315358</v>
      </c>
      <c r="T62" s="42">
        <v>0.82409181266846421</v>
      </c>
      <c r="U62" s="37">
        <v>8.2409181266846418E-2</v>
      </c>
    </row>
    <row r="63" spans="1:21" x14ac:dyDescent="0.25">
      <c r="A63" s="19">
        <v>23</v>
      </c>
      <c r="B63" s="15" t="s">
        <v>99</v>
      </c>
      <c r="C63" s="20">
        <v>15.856999999999999</v>
      </c>
      <c r="D63" s="20">
        <v>356445</v>
      </c>
      <c r="E63" s="8">
        <v>356297</v>
      </c>
      <c r="F63" s="20">
        <v>10.804</v>
      </c>
      <c r="G63" s="20">
        <v>1357431</v>
      </c>
      <c r="H63" s="8">
        <v>1355616</v>
      </c>
      <c r="I63" s="20">
        <v>10.804</v>
      </c>
      <c r="J63" s="20">
        <v>202123</v>
      </c>
      <c r="K63" s="8">
        <v>202123</v>
      </c>
      <c r="N63" s="19"/>
      <c r="O63" s="27" t="s">
        <v>133</v>
      </c>
      <c r="P63" s="19">
        <v>916837.5</v>
      </c>
      <c r="Q63">
        <v>1</v>
      </c>
      <c r="R63">
        <v>10</v>
      </c>
      <c r="S63" s="42">
        <v>8.3518163746630716</v>
      </c>
      <c r="T63" s="42">
        <v>1.6481836253369284</v>
      </c>
      <c r="U63" s="37">
        <v>0.16481836253369284</v>
      </c>
    </row>
    <row r="64" spans="1:21" x14ac:dyDescent="0.25">
      <c r="A64" s="5">
        <v>24</v>
      </c>
      <c r="B64" s="24" t="s">
        <v>100</v>
      </c>
      <c r="C64" s="7">
        <v>15.856999999999999</v>
      </c>
      <c r="D64" s="7">
        <v>278183</v>
      </c>
      <c r="E64" s="6">
        <v>278183</v>
      </c>
      <c r="F64" s="7">
        <v>10.814</v>
      </c>
      <c r="G64" s="7">
        <v>1209075</v>
      </c>
      <c r="H64" s="6">
        <v>1204691</v>
      </c>
      <c r="I64" s="7">
        <v>10.814</v>
      </c>
      <c r="J64" s="7">
        <v>184788</v>
      </c>
      <c r="K64" s="6">
        <v>184788</v>
      </c>
      <c r="N64" s="5"/>
      <c r="O64" s="45" t="s">
        <v>134</v>
      </c>
      <c r="P64" s="5">
        <v>4883471</v>
      </c>
      <c r="Q64" s="7">
        <v>5</v>
      </c>
      <c r="R64" s="7">
        <v>50</v>
      </c>
      <c r="S64" s="38">
        <v>41.75908187331536</v>
      </c>
      <c r="T64" s="38">
        <v>8.2409181266846403</v>
      </c>
      <c r="U64" s="39">
        <v>0.82409181266846399</v>
      </c>
    </row>
    <row r="65" spans="2:2" x14ac:dyDescent="0.25">
      <c r="B65" s="9"/>
    </row>
    <row r="66" spans="2:2" x14ac:dyDescent="0.25">
      <c r="B66" s="9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5020-1426-4880-B943-057AE5E2DB9D}">
  <dimension ref="A1:BD60"/>
  <sheetViews>
    <sheetView tabSelected="1" topLeftCell="AA1" zoomScale="70" zoomScaleNormal="70" workbookViewId="0">
      <selection activeCell="AV8" sqref="AV8:AV46"/>
    </sheetView>
  </sheetViews>
  <sheetFormatPr baseColWidth="10" defaultRowHeight="15" x14ac:dyDescent="0.25"/>
  <cols>
    <col min="2" max="2" width="28.42578125" bestFit="1" customWidth="1"/>
    <col min="13" max="13" width="31.5703125" bestFit="1" customWidth="1"/>
    <col min="14" max="16" width="13.7109375" bestFit="1" customWidth="1"/>
    <col min="17" max="17" width="13.85546875" bestFit="1" customWidth="1"/>
    <col min="18" max="18" width="13.5703125" bestFit="1" customWidth="1"/>
    <col min="19" max="19" width="11.7109375" bestFit="1" customWidth="1"/>
    <col min="30" max="30" width="28.42578125" bestFit="1" customWidth="1"/>
    <col min="31" max="31" width="15.28515625" bestFit="1" customWidth="1"/>
    <col min="32" max="32" width="15" bestFit="1" customWidth="1"/>
    <col min="33" max="33" width="14.28515625" customWidth="1"/>
    <col min="34" max="34" width="12.7109375" customWidth="1"/>
    <col min="35" max="35" width="12.140625" bestFit="1" customWidth="1"/>
    <col min="36" max="36" width="17.42578125" bestFit="1" customWidth="1"/>
  </cols>
  <sheetData>
    <row r="1" spans="1:56" x14ac:dyDescent="0.25">
      <c r="A1" t="s">
        <v>18</v>
      </c>
      <c r="M1" s="87" t="s">
        <v>180</v>
      </c>
      <c r="R1" s="88"/>
      <c r="AD1" s="87" t="s">
        <v>180</v>
      </c>
      <c r="AN1" t="s">
        <v>149</v>
      </c>
      <c r="AO1" t="s">
        <v>150</v>
      </c>
      <c r="AP1" t="s">
        <v>151</v>
      </c>
      <c r="AT1" t="s">
        <v>145</v>
      </c>
      <c r="AU1">
        <v>20</v>
      </c>
      <c r="AZ1" t="s">
        <v>228</v>
      </c>
      <c r="BA1" t="s">
        <v>229</v>
      </c>
    </row>
    <row r="2" spans="1:56" x14ac:dyDescent="0.25">
      <c r="A2" t="s">
        <v>19</v>
      </c>
      <c r="M2" s="89" t="s">
        <v>181</v>
      </c>
      <c r="R2" s="88"/>
      <c r="AC2" s="94" t="s">
        <v>190</v>
      </c>
      <c r="AD2" s="89" t="s">
        <v>181</v>
      </c>
      <c r="AE2" t="s">
        <v>191</v>
      </c>
      <c r="AF2" t="s">
        <v>192</v>
      </c>
      <c r="AG2" s="25"/>
      <c r="AM2" t="s">
        <v>193</v>
      </c>
      <c r="AN2">
        <v>8</v>
      </c>
      <c r="AO2">
        <v>6</v>
      </c>
      <c r="AP2">
        <v>6</v>
      </c>
      <c r="BA2" t="s">
        <v>216</v>
      </c>
      <c r="BB2" t="s">
        <v>230</v>
      </c>
      <c r="BC2" t="s">
        <v>231</v>
      </c>
      <c r="BD2" t="s">
        <v>232</v>
      </c>
    </row>
    <row r="3" spans="1:56" ht="15.75" thickBot="1" x14ac:dyDescent="0.3">
      <c r="A3" t="s">
        <v>1</v>
      </c>
      <c r="M3" s="90" t="s">
        <v>182</v>
      </c>
      <c r="AC3" s="94" t="s">
        <v>194</v>
      </c>
      <c r="AD3" s="95" t="s">
        <v>182</v>
      </c>
      <c r="AE3" t="s">
        <v>195</v>
      </c>
      <c r="AF3" t="s">
        <v>192</v>
      </c>
      <c r="AM3" t="s">
        <v>196</v>
      </c>
      <c r="AN3">
        <v>8</v>
      </c>
      <c r="AO3">
        <v>16</v>
      </c>
      <c r="AP3">
        <v>8</v>
      </c>
      <c r="BA3" t="s">
        <v>149</v>
      </c>
      <c r="BB3">
        <f>AVERAGE(AN15:AN20)</f>
        <v>5.5305088119885832</v>
      </c>
      <c r="BC3">
        <f>AVERAGE(AU15:AU20)</f>
        <v>2.787796475204567</v>
      </c>
      <c r="BD3">
        <f>BC3/BB3</f>
        <v>0.50407594852057924</v>
      </c>
    </row>
    <row r="4" spans="1:56" ht="15.75" thickBot="1" x14ac:dyDescent="0.3">
      <c r="A4" t="s">
        <v>3</v>
      </c>
      <c r="M4" s="25"/>
      <c r="P4" s="93" t="s">
        <v>107</v>
      </c>
      <c r="AC4" s="94" t="s">
        <v>197</v>
      </c>
      <c r="AD4" s="96" t="s">
        <v>198</v>
      </c>
      <c r="AE4" t="s">
        <v>199</v>
      </c>
      <c r="AF4" t="s">
        <v>200</v>
      </c>
      <c r="AG4" s="97" t="s">
        <v>201</v>
      </c>
      <c r="AM4" t="s">
        <v>202</v>
      </c>
      <c r="AN4">
        <f>SUM(AN2:AN3)</f>
        <v>16</v>
      </c>
      <c r="AO4">
        <f t="shared" ref="AO4:AP4" si="0">SUM(AO2:AO3)</f>
        <v>22</v>
      </c>
      <c r="AP4">
        <f t="shared" si="0"/>
        <v>14</v>
      </c>
      <c r="BA4" t="s">
        <v>150</v>
      </c>
      <c r="BB4">
        <f>AVERAGE(AN32:AN37)</f>
        <v>0.89782398408108544</v>
      </c>
      <c r="BC4">
        <f>AVERAGE(AU32:AU37)</f>
        <v>3.4806528047756742</v>
      </c>
      <c r="BD4">
        <f>BC4/BB4</f>
        <v>3.8767652307017508</v>
      </c>
    </row>
    <row r="5" spans="1:56" x14ac:dyDescent="0.25">
      <c r="A5" s="1"/>
      <c r="B5" s="2"/>
      <c r="C5" t="s">
        <v>7</v>
      </c>
      <c r="E5" t="s">
        <v>8</v>
      </c>
      <c r="F5" s="8"/>
      <c r="G5" t="s">
        <v>5</v>
      </c>
      <c r="H5" s="8"/>
      <c r="I5" s="27" t="s">
        <v>178</v>
      </c>
      <c r="M5" s="25" t="s">
        <v>58</v>
      </c>
      <c r="N5" t="s">
        <v>183</v>
      </c>
      <c r="O5" s="91" t="s">
        <v>184</v>
      </c>
      <c r="P5" s="34" t="s">
        <v>185</v>
      </c>
      <c r="AC5" s="94" t="s">
        <v>203</v>
      </c>
      <c r="AD5" s="98" t="s">
        <v>204</v>
      </c>
      <c r="AJ5" s="93" t="s">
        <v>205</v>
      </c>
      <c r="AM5" t="s">
        <v>206</v>
      </c>
      <c r="AN5" s="47">
        <f>AN4/AN2</f>
        <v>2</v>
      </c>
      <c r="AO5" s="47">
        <f>AO4/AO2</f>
        <v>3.6666666666666665</v>
      </c>
      <c r="AP5" s="47">
        <f>AP4/AP2</f>
        <v>2.3333333333333335</v>
      </c>
      <c r="BA5" t="s">
        <v>151</v>
      </c>
      <c r="BB5">
        <f>AVERAGE(AN40:AN41,AN43:AN46)</f>
        <v>4.2538263440249287</v>
      </c>
      <c r="BC5">
        <f>AVERAGE(AU40:AU41,AU43:AU46)</f>
        <v>2.4738520967925219</v>
      </c>
      <c r="BD5">
        <f>BC5/BB5</f>
        <v>0.5815592590579961</v>
      </c>
    </row>
    <row r="6" spans="1:56" x14ac:dyDescent="0.25">
      <c r="A6" s="5" t="s">
        <v>9</v>
      </c>
      <c r="B6" s="6" t="s">
        <v>10</v>
      </c>
      <c r="C6" s="7" t="s">
        <v>14</v>
      </c>
      <c r="D6" s="6" t="s">
        <v>15</v>
      </c>
      <c r="E6" s="7" t="s">
        <v>16</v>
      </c>
      <c r="F6" s="6" t="s">
        <v>17</v>
      </c>
      <c r="G6" s="7" t="s">
        <v>12</v>
      </c>
      <c r="H6" s="6" t="s">
        <v>13</v>
      </c>
      <c r="I6" s="45" t="s">
        <v>179</v>
      </c>
      <c r="L6" s="26">
        <v>44398</v>
      </c>
      <c r="M6" t="s">
        <v>187</v>
      </c>
      <c r="N6" t="s">
        <v>60</v>
      </c>
      <c r="O6" s="91" t="s">
        <v>186</v>
      </c>
      <c r="P6" s="92" t="s">
        <v>186</v>
      </c>
      <c r="Q6" t="s">
        <v>61</v>
      </c>
      <c r="R6" t="s">
        <v>62</v>
      </c>
      <c r="S6" t="s">
        <v>63</v>
      </c>
      <c r="AG6" s="99" t="s">
        <v>107</v>
      </c>
      <c r="AH6" t="s">
        <v>152</v>
      </c>
      <c r="AI6" s="8"/>
      <c r="AJ6" s="100" t="s">
        <v>107</v>
      </c>
      <c r="AK6" s="8"/>
      <c r="AL6" t="s">
        <v>207</v>
      </c>
      <c r="AN6" s="47" t="s">
        <v>208</v>
      </c>
      <c r="AT6" t="s">
        <v>209</v>
      </c>
      <c r="AV6" t="s">
        <v>209</v>
      </c>
      <c r="AW6" s="8"/>
    </row>
    <row r="7" spans="1:56" x14ac:dyDescent="0.25">
      <c r="A7" s="9">
        <v>1</v>
      </c>
      <c r="B7" s="9" t="s">
        <v>22</v>
      </c>
      <c r="C7">
        <v>0</v>
      </c>
      <c r="D7" s="4">
        <v>0</v>
      </c>
      <c r="E7">
        <v>0</v>
      </c>
      <c r="F7" s="4">
        <v>0</v>
      </c>
      <c r="G7">
        <v>0</v>
      </c>
      <c r="H7" s="85">
        <v>38264</v>
      </c>
      <c r="L7" t="s">
        <v>9</v>
      </c>
      <c r="N7" s="6" t="s">
        <v>15</v>
      </c>
      <c r="O7" s="6" t="s">
        <v>15</v>
      </c>
      <c r="P7" s="6" t="s">
        <v>15</v>
      </c>
      <c r="Q7" t="s">
        <v>64</v>
      </c>
      <c r="R7" t="s">
        <v>65</v>
      </c>
      <c r="S7" t="s">
        <v>64</v>
      </c>
      <c r="AE7" s="8" t="s">
        <v>183</v>
      </c>
      <c r="AF7" s="101" t="s">
        <v>181</v>
      </c>
      <c r="AG7" s="84" t="s">
        <v>210</v>
      </c>
      <c r="AH7" t="s">
        <v>211</v>
      </c>
      <c r="AI7" s="8"/>
      <c r="AJ7" s="102" t="s">
        <v>212</v>
      </c>
      <c r="AK7" s="8"/>
      <c r="AL7" t="s">
        <v>213</v>
      </c>
      <c r="AN7" t="s">
        <v>214</v>
      </c>
      <c r="AP7" t="s">
        <v>215</v>
      </c>
      <c r="AR7" t="s">
        <v>216</v>
      </c>
      <c r="AS7" s="8"/>
      <c r="AT7" t="s">
        <v>217</v>
      </c>
      <c r="AV7" t="s">
        <v>218</v>
      </c>
      <c r="AW7" s="8"/>
      <c r="AX7" t="s">
        <v>219</v>
      </c>
    </row>
    <row r="8" spans="1:56" x14ac:dyDescent="0.25">
      <c r="A8" s="9">
        <v>2</v>
      </c>
      <c r="B8" s="9" t="s">
        <v>23</v>
      </c>
      <c r="C8" s="9">
        <v>0</v>
      </c>
      <c r="D8" s="15">
        <v>0</v>
      </c>
      <c r="E8" s="9">
        <v>0</v>
      </c>
      <c r="F8" s="15">
        <v>0</v>
      </c>
      <c r="G8" s="11">
        <v>0</v>
      </c>
      <c r="H8" s="84">
        <v>65110</v>
      </c>
      <c r="L8" s="9">
        <v>1</v>
      </c>
      <c r="M8" s="9" t="s">
        <v>22</v>
      </c>
      <c r="N8" s="4">
        <v>0</v>
      </c>
      <c r="O8" s="35">
        <f>IF(N8&lt;=0,0,N8*((892.617*0+52791.953)/(892.617*L8+52791.953)))</f>
        <v>0</v>
      </c>
      <c r="P8" s="35">
        <f>IF(AVERAGE($O$8:$O$9,$O$16:$O$17)&gt;0,IF(O8-AVERAGE($O$8:$O$9,$O$16:$O$17)&lt;=0,0,O8-AVERAGE($O$8:$O$9,$O$16:$O$17)),O8)</f>
        <v>0</v>
      </c>
      <c r="Q8">
        <v>0</v>
      </c>
      <c r="R8">
        <f>Q8*5</f>
        <v>0</v>
      </c>
      <c r="S8">
        <f t="shared" ref="S8:S17" si="1">Q8*5</f>
        <v>0</v>
      </c>
      <c r="AC8" s="26">
        <v>44398</v>
      </c>
      <c r="AD8" s="25" t="s">
        <v>66</v>
      </c>
      <c r="AE8" s="8" t="s">
        <v>60</v>
      </c>
      <c r="AF8" s="8" t="s">
        <v>60</v>
      </c>
      <c r="AG8" s="8" t="s">
        <v>60</v>
      </c>
      <c r="AH8" t="s">
        <v>220</v>
      </c>
      <c r="AI8" s="8" t="s">
        <v>221</v>
      </c>
      <c r="AJ8" t="s">
        <v>217</v>
      </c>
      <c r="AK8" s="8" t="s">
        <v>218</v>
      </c>
      <c r="AL8" t="s">
        <v>217</v>
      </c>
      <c r="AM8" s="8" t="s">
        <v>218</v>
      </c>
      <c r="AN8" t="s">
        <v>217</v>
      </c>
      <c r="AO8" s="8" t="s">
        <v>218</v>
      </c>
      <c r="AP8" t="s">
        <v>217</v>
      </c>
      <c r="AQ8" s="8" t="s">
        <v>218</v>
      </c>
      <c r="AR8" t="s">
        <v>222</v>
      </c>
      <c r="AS8" s="8"/>
      <c r="AT8" t="s">
        <v>223</v>
      </c>
      <c r="AU8" s="8" t="s">
        <v>224</v>
      </c>
      <c r="AV8" t="s">
        <v>223</v>
      </c>
      <c r="AW8" s="8" t="s">
        <v>224</v>
      </c>
      <c r="AX8" t="s">
        <v>217</v>
      </c>
      <c r="AY8" s="8" t="s">
        <v>218</v>
      </c>
    </row>
    <row r="9" spans="1:56" x14ac:dyDescent="0.25">
      <c r="A9" s="9">
        <v>3</v>
      </c>
      <c r="B9" s="9" t="s">
        <v>26</v>
      </c>
      <c r="C9" s="11">
        <v>147234</v>
      </c>
      <c r="D9" s="15">
        <v>147234</v>
      </c>
      <c r="E9" s="11">
        <v>0</v>
      </c>
      <c r="F9" s="15">
        <v>22235</v>
      </c>
      <c r="G9" s="11">
        <v>116897</v>
      </c>
      <c r="H9" s="15">
        <v>119732</v>
      </c>
      <c r="I9">
        <f t="shared" ref="I9:I28" si="2">D9/F9</f>
        <v>6.6217225095570047</v>
      </c>
      <c r="L9" s="9">
        <v>2</v>
      </c>
      <c r="M9" s="9" t="s">
        <v>23</v>
      </c>
      <c r="N9" s="9">
        <v>0</v>
      </c>
      <c r="O9" s="20">
        <f t="shared" ref="O9:O17" si="3">IF(N9&lt;=0,0,N9*((892.617*0+52791.953)/(892.617*L9+52791.953)))</f>
        <v>0</v>
      </c>
      <c r="P9" s="20">
        <f t="shared" ref="P9:P17" si="4">IF(AVERAGE($O$8:$O$9,$O$16:$O$17)&gt;0,IF(O9-AVERAGE($O$8:$O$9,$O$16:$O$17)&lt;=0,0,O9-AVERAGE($O$8:$O$9,$O$16:$O$17)),O9)</f>
        <v>0</v>
      </c>
      <c r="Q9">
        <v>0</v>
      </c>
      <c r="R9">
        <f>Q9*5</f>
        <v>0</v>
      </c>
      <c r="S9">
        <f t="shared" si="1"/>
        <v>0</v>
      </c>
      <c r="AC9" t="s">
        <v>9</v>
      </c>
      <c r="AD9" s="7" t="s">
        <v>137</v>
      </c>
      <c r="AE9" s="6" t="s">
        <v>15</v>
      </c>
      <c r="AF9" s="6" t="s">
        <v>15</v>
      </c>
      <c r="AG9" s="6" t="s">
        <v>15</v>
      </c>
      <c r="AH9" s="7" t="s">
        <v>225</v>
      </c>
      <c r="AI9" s="6" t="s">
        <v>225</v>
      </c>
      <c r="AJ9" s="5"/>
      <c r="AK9" s="6"/>
      <c r="AL9" s="5" t="s">
        <v>64</v>
      </c>
      <c r="AM9" s="6" t="s">
        <v>64</v>
      </c>
      <c r="AN9" s="5" t="s">
        <v>64</v>
      </c>
      <c r="AO9" s="6" t="s">
        <v>64</v>
      </c>
      <c r="AP9" s="6" t="s">
        <v>226</v>
      </c>
      <c r="AQ9" s="6" t="s">
        <v>226</v>
      </c>
      <c r="AR9" s="5" t="s">
        <v>64</v>
      </c>
      <c r="AS9" s="6" t="s">
        <v>226</v>
      </c>
      <c r="AT9" s="7" t="s">
        <v>226</v>
      </c>
      <c r="AU9" s="6" t="s">
        <v>64</v>
      </c>
      <c r="AV9" s="5" t="s">
        <v>226</v>
      </c>
      <c r="AW9" s="6" t="s">
        <v>64</v>
      </c>
      <c r="AX9" s="5" t="s">
        <v>227</v>
      </c>
      <c r="AY9" s="6" t="s">
        <v>227</v>
      </c>
      <c r="BA9" t="s">
        <v>233</v>
      </c>
    </row>
    <row r="10" spans="1:56" x14ac:dyDescent="0.25">
      <c r="A10" s="9">
        <v>4</v>
      </c>
      <c r="B10" s="9" t="s">
        <v>27</v>
      </c>
      <c r="C10" s="11">
        <v>165600</v>
      </c>
      <c r="D10" s="15">
        <v>166507</v>
      </c>
      <c r="E10" s="11">
        <v>0</v>
      </c>
      <c r="F10" s="15">
        <v>25684</v>
      </c>
      <c r="G10" s="11">
        <v>195703</v>
      </c>
      <c r="H10" s="15">
        <v>193499</v>
      </c>
      <c r="I10">
        <f t="shared" si="2"/>
        <v>6.4829076467839899</v>
      </c>
      <c r="L10" s="9">
        <v>3</v>
      </c>
      <c r="M10" s="9" t="s">
        <v>26</v>
      </c>
      <c r="N10" s="9">
        <v>147234</v>
      </c>
      <c r="O10" s="20">
        <f t="shared" si="3"/>
        <v>140126.15598933792</v>
      </c>
      <c r="P10" s="20">
        <f t="shared" si="4"/>
        <v>133695.91960480623</v>
      </c>
      <c r="Q10">
        <v>0.05</v>
      </c>
      <c r="R10">
        <f t="shared" ref="R10:R15" si="5">Q10*5</f>
        <v>0.25</v>
      </c>
      <c r="S10">
        <f t="shared" si="1"/>
        <v>0.25</v>
      </c>
      <c r="AC10" s="9">
        <v>1</v>
      </c>
      <c r="AD10" s="22" t="s">
        <v>22</v>
      </c>
      <c r="AE10" s="4">
        <v>0</v>
      </c>
      <c r="AF10" s="4">
        <f>IF(AE10&lt;=0,0,AE10*(892.617*0+52791.953)/(892.617*AC10+52791.953))</f>
        <v>0</v>
      </c>
      <c r="AG10" s="4">
        <f>IF(AVERAGE($AF$10:$AF$12,$AF$23)&gt;0,IF(AF10-AVERAGE($AF$10:$AF$12,$AF$23)&lt;=0,0,AF10-AVERAGE($AF$10:$AF$12,$AF$23)),AF10)</f>
        <v>0</v>
      </c>
      <c r="AH10">
        <f>IF(AG10&lt;=0,0,(AG10-30903.149)/363478.01)</f>
        <v>0</v>
      </c>
      <c r="AI10" s="4">
        <f t="shared" ref="AI10" si="6">IF(AG10&lt;=0,0,(AG10-27602.655)/362703.383)</f>
        <v>0</v>
      </c>
      <c r="AK10" s="4"/>
      <c r="AL10">
        <f>IF(AJ10&lt;=0,0,AJ10)</f>
        <v>0</v>
      </c>
      <c r="AM10" s="4">
        <f>IF(AK10&lt;=0,0,AK10)</f>
        <v>0</v>
      </c>
      <c r="AO10" s="4"/>
      <c r="AQ10" s="4"/>
      <c r="AR10">
        <v>0</v>
      </c>
      <c r="AS10" s="4"/>
      <c r="AT10">
        <f>AS10-AP10</f>
        <v>0</v>
      </c>
      <c r="AU10" s="4">
        <f>AT10/$AU$1</f>
        <v>0</v>
      </c>
      <c r="AV10" s="20">
        <f t="shared" ref="AV10:AV25" si="7">AS10-AQ10</f>
        <v>0</v>
      </c>
      <c r="AW10" s="4">
        <f>AV10/$AU$1</f>
        <v>0</v>
      </c>
      <c r="AY10" s="4"/>
      <c r="BA10" t="s">
        <v>216</v>
      </c>
      <c r="BB10" t="s">
        <v>230</v>
      </c>
      <c r="BC10" t="s">
        <v>231</v>
      </c>
      <c r="BD10" t="s">
        <v>232</v>
      </c>
    </row>
    <row r="11" spans="1:56" x14ac:dyDescent="0.25">
      <c r="A11" s="9">
        <v>5</v>
      </c>
      <c r="B11" s="9" t="s">
        <v>28</v>
      </c>
      <c r="C11" s="11">
        <v>1032350</v>
      </c>
      <c r="D11" s="15">
        <v>1029277</v>
      </c>
      <c r="E11" s="11">
        <v>158172</v>
      </c>
      <c r="F11" s="15">
        <v>158675</v>
      </c>
      <c r="G11" s="11">
        <v>189035</v>
      </c>
      <c r="H11" s="15">
        <v>189035</v>
      </c>
      <c r="I11">
        <f t="shared" si="2"/>
        <v>6.4866992279817239</v>
      </c>
      <c r="L11" s="9">
        <v>4</v>
      </c>
      <c r="M11" s="9" t="s">
        <v>27</v>
      </c>
      <c r="N11" s="9">
        <v>166507</v>
      </c>
      <c r="O11" s="20">
        <f t="shared" si="3"/>
        <v>155959.05147812938</v>
      </c>
      <c r="P11" s="20">
        <f t="shared" si="4"/>
        <v>149528.81509359769</v>
      </c>
      <c r="Q11">
        <v>0.05</v>
      </c>
      <c r="R11">
        <f t="shared" si="5"/>
        <v>0.25</v>
      </c>
      <c r="S11">
        <f t="shared" si="1"/>
        <v>0.25</v>
      </c>
      <c r="AC11" s="9">
        <v>2</v>
      </c>
      <c r="AD11" s="15" t="s">
        <v>23</v>
      </c>
      <c r="AE11" s="15">
        <v>0</v>
      </c>
      <c r="AF11" s="8">
        <f t="shared" ref="AF11:AF25" si="8">IF(AE11&lt;=0,0,AE11*(892.617*0+52791.953)/(892.617*AC11+52791.953))</f>
        <v>0</v>
      </c>
      <c r="AG11" s="8">
        <f t="shared" ref="AG11:AG25" si="9">IF(AVERAGE($AF$10:$AF$12,$AF$23)&gt;0,IF(AF11-AVERAGE($AF$10:$AF$12,$AF$23)&lt;=0,0,AF11-AVERAGE($AF$10:$AF$12,$AF$23)),AF11)</f>
        <v>0</v>
      </c>
      <c r="AH11">
        <f t="shared" ref="AH11:AH25" si="10">IF(AG11&lt;=0,0,(AG11-30903.149)/363478.01)</f>
        <v>0</v>
      </c>
      <c r="AI11" s="8">
        <f t="shared" ref="AI11:AI25" si="11">IF(AG11&lt;=0,0,(AG11-27602.655)/362703.383)</f>
        <v>0</v>
      </c>
      <c r="AK11" s="8"/>
      <c r="AL11">
        <f t="shared" ref="AL11:AL25" si="12">IF(AJ11&lt;=0,0,AJ11)</f>
        <v>0</v>
      </c>
      <c r="AM11" s="8">
        <f t="shared" ref="AM11:AM25" si="13">IF(AK11&lt;=0,0,AK11)</f>
        <v>0</v>
      </c>
      <c r="AO11" s="8"/>
      <c r="AQ11" s="8"/>
      <c r="AR11">
        <v>0</v>
      </c>
      <c r="AS11" s="8"/>
      <c r="AT11">
        <f t="shared" ref="AT11:AT46" si="14">AS11-AP11</f>
        <v>0</v>
      </c>
      <c r="AU11" s="8">
        <f t="shared" ref="AU11:AU46" si="15">AT11/$AU$1</f>
        <v>0</v>
      </c>
      <c r="AV11" s="20">
        <f t="shared" si="7"/>
        <v>0</v>
      </c>
      <c r="AW11" s="8">
        <f t="shared" ref="AW11:AW46" si="16">AV11/$AU$1</f>
        <v>0</v>
      </c>
      <c r="AY11" s="8"/>
      <c r="BA11" t="s">
        <v>149</v>
      </c>
      <c r="BB11">
        <f>AVERAGE(AO15:AO20)</f>
        <v>5.5605197519458329</v>
      </c>
      <c r="BC11">
        <f>AVERAGE(AW15:AW20)</f>
        <v>2.7757920992216669</v>
      </c>
      <c r="BD11">
        <f>BC11/BB11</f>
        <v>0.49919651814028965</v>
      </c>
    </row>
    <row r="12" spans="1:56" x14ac:dyDescent="0.25">
      <c r="A12" s="9">
        <v>6</v>
      </c>
      <c r="B12" s="9" t="s">
        <v>29</v>
      </c>
      <c r="C12" s="11">
        <v>1133164</v>
      </c>
      <c r="D12" s="15">
        <v>1130208</v>
      </c>
      <c r="E12" s="11">
        <v>173081</v>
      </c>
      <c r="F12" s="15">
        <v>174886</v>
      </c>
      <c r="G12" s="11">
        <v>129087</v>
      </c>
      <c r="H12" s="15">
        <v>130713</v>
      </c>
      <c r="I12">
        <f t="shared" si="2"/>
        <v>6.4625413126265112</v>
      </c>
      <c r="L12" s="9">
        <v>5</v>
      </c>
      <c r="M12" s="9" t="s">
        <v>28</v>
      </c>
      <c r="N12" s="9">
        <v>1029277</v>
      </c>
      <c r="O12" s="20">
        <f t="shared" si="3"/>
        <v>949043.87292487698</v>
      </c>
      <c r="P12" s="20">
        <f t="shared" si="4"/>
        <v>942613.63654034527</v>
      </c>
      <c r="Q12">
        <v>0.5</v>
      </c>
      <c r="R12">
        <f>Q12*5</f>
        <v>2.5</v>
      </c>
      <c r="S12">
        <f t="shared" si="1"/>
        <v>2.5</v>
      </c>
      <c r="AC12" s="9">
        <v>9</v>
      </c>
      <c r="AD12" s="15" t="s">
        <v>24</v>
      </c>
      <c r="AE12" s="15">
        <v>29635</v>
      </c>
      <c r="AF12" s="8">
        <f t="shared" si="8"/>
        <v>25720.945538126718</v>
      </c>
      <c r="AG12" s="8">
        <f t="shared" si="9"/>
        <v>19290.709153595039</v>
      </c>
      <c r="AH12">
        <f>IF(AG12&lt;=0,0,(AG12-30903.149)/363478.01)</f>
        <v>-3.1948122106217544E-2</v>
      </c>
      <c r="AI12" s="8">
        <f t="shared" si="11"/>
        <v>-2.2916648247543258E-2</v>
      </c>
      <c r="AK12" s="8"/>
      <c r="AL12">
        <f t="shared" si="12"/>
        <v>0</v>
      </c>
      <c r="AM12" s="8">
        <f t="shared" si="13"/>
        <v>0</v>
      </c>
      <c r="AO12" s="8"/>
      <c r="AQ12" s="8"/>
      <c r="AR12">
        <v>0</v>
      </c>
      <c r="AS12" s="8"/>
      <c r="AT12">
        <f t="shared" si="14"/>
        <v>0</v>
      </c>
      <c r="AU12" s="8">
        <f t="shared" si="15"/>
        <v>0</v>
      </c>
      <c r="AV12" s="20">
        <f t="shared" si="7"/>
        <v>0</v>
      </c>
      <c r="AW12" s="8">
        <f t="shared" si="16"/>
        <v>0</v>
      </c>
      <c r="AY12" s="8"/>
      <c r="BA12" t="s">
        <v>150</v>
      </c>
      <c r="BB12">
        <f>AVERAGE(AO32:AO37)</f>
        <v>1.3678045650619879</v>
      </c>
      <c r="BC12">
        <f>AVERAGE(AW32:AW37)</f>
        <v>3.3396586304814035</v>
      </c>
      <c r="BD12">
        <f t="shared" ref="BD12:BD13" si="17">BC12/BB12</f>
        <v>2.4416197428980309</v>
      </c>
    </row>
    <row r="13" spans="1:56" x14ac:dyDescent="0.25">
      <c r="A13" s="9">
        <v>7</v>
      </c>
      <c r="B13" s="9" t="s">
        <v>30</v>
      </c>
      <c r="C13" s="11">
        <v>1925128</v>
      </c>
      <c r="D13" s="11">
        <v>1922078</v>
      </c>
      <c r="E13" s="11">
        <v>293388</v>
      </c>
      <c r="F13" s="15">
        <v>294101</v>
      </c>
      <c r="G13" s="11">
        <v>0</v>
      </c>
      <c r="H13" s="15">
        <v>55934</v>
      </c>
      <c r="I13">
        <f t="shared" si="2"/>
        <v>6.5354351056269788</v>
      </c>
      <c r="L13" s="9">
        <v>6</v>
      </c>
      <c r="M13" s="9" t="s">
        <v>29</v>
      </c>
      <c r="N13" s="9">
        <v>1130208</v>
      </c>
      <c r="O13" s="20">
        <f t="shared" si="3"/>
        <v>1026109.954326172</v>
      </c>
      <c r="P13" s="20">
        <f t="shared" si="4"/>
        <v>1019679.7179416403</v>
      </c>
      <c r="Q13">
        <v>0.5</v>
      </c>
      <c r="R13">
        <f t="shared" si="5"/>
        <v>2.5</v>
      </c>
      <c r="S13">
        <f t="shared" si="1"/>
        <v>2.5</v>
      </c>
      <c r="AC13" s="86">
        <v>10</v>
      </c>
      <c r="AD13" s="105" t="s">
        <v>32</v>
      </c>
      <c r="AE13" s="105">
        <v>0</v>
      </c>
      <c r="AF13" s="105">
        <f t="shared" si="8"/>
        <v>0</v>
      </c>
      <c r="AG13" s="105">
        <f t="shared" si="9"/>
        <v>0</v>
      </c>
      <c r="AH13" s="103">
        <f t="shared" si="10"/>
        <v>0</v>
      </c>
      <c r="AI13" s="105">
        <f t="shared" si="11"/>
        <v>0</v>
      </c>
      <c r="AJ13" s="103">
        <f>IF(AVERAGE($AH$13:$AH$14)&gt;0,IF(AH13-MAX($AH$13:$AH$14)&lt;=0,0,AH13-MAX($AH$13:$AH$14)),AH13)</f>
        <v>0</v>
      </c>
      <c r="AK13" s="105">
        <f t="shared" ref="AK13:AK20" si="18">IF(AVERAGE($AI$13:$AI$14)&gt;0,IF(AI13-MAX($AI$13:$AI$14)&lt;=0,0,AI13-MAX($AI$13:$AI$14)),AI13)</f>
        <v>0</v>
      </c>
      <c r="AL13" s="103">
        <f t="shared" si="12"/>
        <v>0</v>
      </c>
      <c r="AM13" s="105">
        <f t="shared" si="13"/>
        <v>0</v>
      </c>
      <c r="AN13">
        <f>AL13*$AN$5</f>
        <v>0</v>
      </c>
      <c r="AO13" s="8">
        <f>AM13*$AN$5</f>
        <v>0</v>
      </c>
      <c r="AP13">
        <f>AN13*$AN$2</f>
        <v>0</v>
      </c>
      <c r="AQ13" s="8">
        <f>AO13*$AN$2</f>
        <v>0</v>
      </c>
      <c r="AR13">
        <v>0</v>
      </c>
      <c r="AS13" s="8">
        <f>AR13*$AN$2</f>
        <v>0</v>
      </c>
      <c r="AT13">
        <f t="shared" si="14"/>
        <v>0</v>
      </c>
      <c r="AU13" s="8">
        <f t="shared" si="15"/>
        <v>0</v>
      </c>
      <c r="AV13" s="20">
        <f t="shared" si="7"/>
        <v>0</v>
      </c>
      <c r="AW13" s="8">
        <f t="shared" si="16"/>
        <v>0</v>
      </c>
      <c r="AY13" s="8"/>
      <c r="BA13" t="s">
        <v>151</v>
      </c>
      <c r="BB13">
        <f>AVERAGE(AO40:AO41,AO43:AO46)</f>
        <v>4.614806472951936</v>
      </c>
      <c r="BC13">
        <f>AVERAGE(AW40:AW41,AW43:AW46)</f>
        <v>2.3655580581144195</v>
      </c>
      <c r="BD13">
        <f t="shared" si="17"/>
        <v>0.51260178990805039</v>
      </c>
    </row>
    <row r="14" spans="1:56" x14ac:dyDescent="0.25">
      <c r="A14" s="9">
        <v>8</v>
      </c>
      <c r="B14" s="9" t="s">
        <v>31</v>
      </c>
      <c r="C14" s="11">
        <v>2193130</v>
      </c>
      <c r="D14" s="15">
        <v>2188019</v>
      </c>
      <c r="E14" s="11">
        <v>335306</v>
      </c>
      <c r="F14" s="15">
        <v>335306</v>
      </c>
      <c r="G14" s="11">
        <v>0</v>
      </c>
      <c r="H14" s="15">
        <v>70546</v>
      </c>
      <c r="I14">
        <f t="shared" si="2"/>
        <v>6.5254394493388128</v>
      </c>
      <c r="L14" s="9">
        <v>7</v>
      </c>
      <c r="M14" s="9" t="s">
        <v>30</v>
      </c>
      <c r="N14" s="11">
        <v>1922078</v>
      </c>
      <c r="O14" s="20">
        <f t="shared" si="3"/>
        <v>1718661.6524790742</v>
      </c>
      <c r="P14" s="20">
        <f t="shared" si="4"/>
        <v>1712231.4160945425</v>
      </c>
      <c r="Q14">
        <v>1</v>
      </c>
      <c r="R14">
        <f t="shared" si="5"/>
        <v>5</v>
      </c>
      <c r="S14">
        <f t="shared" si="1"/>
        <v>5</v>
      </c>
      <c r="AC14" s="86">
        <v>11</v>
      </c>
      <c r="AD14" s="105" t="s">
        <v>33</v>
      </c>
      <c r="AE14" s="105">
        <v>23045</v>
      </c>
      <c r="AF14" s="105">
        <f t="shared" si="8"/>
        <v>19431.020251238046</v>
      </c>
      <c r="AG14" s="105">
        <f t="shared" si="9"/>
        <v>13000.783866706366</v>
      </c>
      <c r="AH14" s="103">
        <f>IF(AG14&lt;=0,0,(AG14-30903.149)/363478.01)</f>
        <v>-4.9252952422881469E-2</v>
      </c>
      <c r="AI14" s="105">
        <f t="shared" si="11"/>
        <v>-4.0258436556390303E-2</v>
      </c>
      <c r="AJ14" s="103">
        <f t="shared" ref="AJ14:AJ20" si="19">IF(AVERAGE($AH$13:$AH$14)&gt;0,IF(AH14-MAX($AH$13:$AH$14)&lt;=0,0,AH14-MAX($AH$13:$AH$14)),AH14)</f>
        <v>-4.9252952422881469E-2</v>
      </c>
      <c r="AK14" s="105">
        <f t="shared" si="18"/>
        <v>-4.0258436556390303E-2</v>
      </c>
      <c r="AL14" s="103">
        <f t="shared" si="12"/>
        <v>0</v>
      </c>
      <c r="AM14" s="105">
        <f t="shared" si="13"/>
        <v>0</v>
      </c>
      <c r="AN14">
        <f t="shared" ref="AN14:AN20" si="20">AL14*$AN$5</f>
        <v>0</v>
      </c>
      <c r="AO14" s="8">
        <f t="shared" ref="AO14:AO20" si="21">AM14*$AN$5</f>
        <v>0</v>
      </c>
      <c r="AP14">
        <f t="shared" ref="AP14:AP20" si="22">AN14*$AN$2</f>
        <v>0</v>
      </c>
      <c r="AQ14" s="8">
        <f t="shared" ref="AQ14:AQ20" si="23">AO14*$AN$2</f>
        <v>0</v>
      </c>
      <c r="AR14">
        <v>0</v>
      </c>
      <c r="AS14" s="8">
        <f t="shared" ref="AS14:AS20" si="24">AR14*$AN$2</f>
        <v>0</v>
      </c>
      <c r="AT14">
        <f t="shared" si="14"/>
        <v>0</v>
      </c>
      <c r="AU14" s="8">
        <f t="shared" si="15"/>
        <v>0</v>
      </c>
      <c r="AV14" s="20">
        <f t="shared" si="7"/>
        <v>0</v>
      </c>
      <c r="AW14" s="8">
        <f t="shared" si="16"/>
        <v>0</v>
      </c>
      <c r="AY14" s="8"/>
    </row>
    <row r="15" spans="1:56" x14ac:dyDescent="0.25">
      <c r="A15" s="9">
        <v>9</v>
      </c>
      <c r="B15" s="9" t="s">
        <v>24</v>
      </c>
      <c r="C15" s="11">
        <v>0</v>
      </c>
      <c r="D15" s="15">
        <v>29635</v>
      </c>
      <c r="E15" s="9">
        <v>0</v>
      </c>
      <c r="F15" s="15">
        <v>0</v>
      </c>
      <c r="G15" s="11">
        <v>0</v>
      </c>
      <c r="H15" s="84">
        <v>43590</v>
      </c>
      <c r="L15" s="9">
        <v>8</v>
      </c>
      <c r="M15" s="9" t="s">
        <v>31</v>
      </c>
      <c r="N15" s="9">
        <v>2188019</v>
      </c>
      <c r="O15" s="20">
        <f t="shared" si="3"/>
        <v>1927319.0086182395</v>
      </c>
      <c r="P15" s="20">
        <f t="shared" si="4"/>
        <v>1920888.7722337078</v>
      </c>
      <c r="Q15" s="11">
        <v>1</v>
      </c>
      <c r="R15" s="11">
        <f t="shared" si="5"/>
        <v>5</v>
      </c>
      <c r="S15" s="11">
        <f t="shared" si="1"/>
        <v>5</v>
      </c>
      <c r="T15" s="11"/>
      <c r="AC15" s="9">
        <v>12</v>
      </c>
      <c r="AD15" s="15" t="s">
        <v>34</v>
      </c>
      <c r="AE15" s="15">
        <v>1361265</v>
      </c>
      <c r="AF15" s="8">
        <f t="shared" si="8"/>
        <v>1131654.1564967188</v>
      </c>
      <c r="AG15" s="8">
        <f t="shared" si="9"/>
        <v>1125223.920112187</v>
      </c>
      <c r="AH15">
        <f t="shared" si="10"/>
        <v>3.010693194650722</v>
      </c>
      <c r="AI15" s="8">
        <f t="shared" si="11"/>
        <v>3.0262228491874503</v>
      </c>
      <c r="AJ15">
        <f t="shared" si="19"/>
        <v>3.010693194650722</v>
      </c>
      <c r="AK15" s="8">
        <f t="shared" si="18"/>
        <v>3.0262228491874503</v>
      </c>
      <c r="AL15">
        <f t="shared" si="12"/>
        <v>3.010693194650722</v>
      </c>
      <c r="AM15" s="8">
        <f t="shared" si="13"/>
        <v>3.0262228491874503</v>
      </c>
      <c r="AN15">
        <f t="shared" si="20"/>
        <v>6.0213863893014441</v>
      </c>
      <c r="AO15" s="8">
        <f t="shared" si="21"/>
        <v>6.0524456983749007</v>
      </c>
      <c r="AP15">
        <f t="shared" si="22"/>
        <v>48.171091114411553</v>
      </c>
      <c r="AQ15" s="8">
        <f t="shared" si="23"/>
        <v>48.419565586999205</v>
      </c>
      <c r="AR15">
        <v>12.5</v>
      </c>
      <c r="AS15" s="8">
        <f t="shared" si="24"/>
        <v>100</v>
      </c>
      <c r="AT15">
        <f t="shared" si="14"/>
        <v>51.828908885588447</v>
      </c>
      <c r="AU15" s="8">
        <f t="shared" si="15"/>
        <v>2.5914454442794224</v>
      </c>
      <c r="AV15" s="20">
        <f t="shared" si="7"/>
        <v>51.580434413000795</v>
      </c>
      <c r="AW15" s="8">
        <f t="shared" si="16"/>
        <v>2.5790217206500397</v>
      </c>
      <c r="AX15">
        <f t="shared" ref="AX15:AX46" si="25">AU15/AN15</f>
        <v>0.43037355132761418</v>
      </c>
      <c r="AY15" s="8">
        <f t="shared" ref="AY15:AY46" si="26">AW15/AO15</f>
        <v>0.42611232701228768</v>
      </c>
    </row>
    <row r="16" spans="1:56" x14ac:dyDescent="0.25">
      <c r="A16" s="86">
        <v>10</v>
      </c>
      <c r="B16" s="86" t="s">
        <v>32</v>
      </c>
      <c r="C16" s="18">
        <v>0</v>
      </c>
      <c r="D16" s="22">
        <v>0</v>
      </c>
      <c r="E16" s="18">
        <v>0</v>
      </c>
      <c r="F16" s="22">
        <v>0</v>
      </c>
      <c r="G16" s="18">
        <v>0</v>
      </c>
      <c r="H16" s="22">
        <v>65196</v>
      </c>
      <c r="L16" s="9">
        <v>9</v>
      </c>
      <c r="M16" s="9" t="s">
        <v>24</v>
      </c>
      <c r="N16" s="9">
        <v>29635</v>
      </c>
      <c r="O16" s="20">
        <f t="shared" si="3"/>
        <v>25720.945538126722</v>
      </c>
      <c r="P16" s="20">
        <f t="shared" si="4"/>
        <v>19290.709153595042</v>
      </c>
      <c r="Q16" s="11">
        <v>0</v>
      </c>
      <c r="R16" s="11">
        <f>Q16*5</f>
        <v>0</v>
      </c>
      <c r="S16" s="11">
        <f t="shared" si="1"/>
        <v>0</v>
      </c>
      <c r="T16" s="11"/>
      <c r="AC16" s="9">
        <v>13</v>
      </c>
      <c r="AD16" s="15" t="s">
        <v>35</v>
      </c>
      <c r="AE16" s="15">
        <v>974234</v>
      </c>
      <c r="AF16" s="8">
        <f t="shared" si="8"/>
        <v>798679.05311909714</v>
      </c>
      <c r="AG16" s="8">
        <f>IF(AVERAGE($AF$10:$AF$12,$AF$23)&gt;0,IF(AF16-AVERAGE($AF$10:$AF$12,$AF$23)&lt;=0,0,AF16-AVERAGE($AF$10:$AF$12,$AF$23)),AF16)</f>
        <v>792248.81673456542</v>
      </c>
      <c r="AH16">
        <f t="shared" si="10"/>
        <v>2.0946127325132142</v>
      </c>
      <c r="AI16" s="8">
        <f t="shared" si="11"/>
        <v>2.1081859105090439</v>
      </c>
      <c r="AJ16">
        <f t="shared" si="19"/>
        <v>2.0946127325132142</v>
      </c>
      <c r="AK16" s="8">
        <f t="shared" si="18"/>
        <v>2.1081859105090439</v>
      </c>
      <c r="AL16">
        <f t="shared" si="12"/>
        <v>2.0946127325132142</v>
      </c>
      <c r="AM16" s="8">
        <f t="shared" si="13"/>
        <v>2.1081859105090439</v>
      </c>
      <c r="AN16">
        <f>AL16*$AN$5</f>
        <v>4.1892254650264285</v>
      </c>
      <c r="AO16" s="8">
        <f t="shared" si="21"/>
        <v>4.2163718210180878</v>
      </c>
      <c r="AP16">
        <f t="shared" si="22"/>
        <v>33.513803720211428</v>
      </c>
      <c r="AQ16" s="8">
        <f t="shared" si="23"/>
        <v>33.730974568144703</v>
      </c>
      <c r="AR16">
        <v>12.5</v>
      </c>
      <c r="AS16" s="8">
        <f t="shared" si="24"/>
        <v>100</v>
      </c>
      <c r="AT16">
        <f t="shared" si="14"/>
        <v>66.486196279788572</v>
      </c>
      <c r="AU16" s="8">
        <f t="shared" si="15"/>
        <v>3.3243098139894287</v>
      </c>
      <c r="AV16" s="20">
        <f t="shared" si="7"/>
        <v>66.269025431855297</v>
      </c>
      <c r="AW16" s="8">
        <f t="shared" si="16"/>
        <v>3.3134512715927649</v>
      </c>
      <c r="AX16">
        <f t="shared" si="25"/>
        <v>0.79353805178123937</v>
      </c>
      <c r="AY16" s="8">
        <f t="shared" si="26"/>
        <v>0.78585367046511967</v>
      </c>
    </row>
    <row r="17" spans="1:54" x14ac:dyDescent="0.25">
      <c r="A17" s="86">
        <v>11</v>
      </c>
      <c r="B17" s="86" t="s">
        <v>33</v>
      </c>
      <c r="C17" s="9">
        <v>0</v>
      </c>
      <c r="D17" s="15">
        <v>23045</v>
      </c>
      <c r="E17" s="9">
        <v>0</v>
      </c>
      <c r="F17" s="15">
        <v>0</v>
      </c>
      <c r="G17" s="9">
        <v>123905</v>
      </c>
      <c r="H17" s="15">
        <v>123905</v>
      </c>
      <c r="L17" s="9">
        <v>20</v>
      </c>
      <c r="M17" s="9" t="s">
        <v>25</v>
      </c>
      <c r="N17" s="9">
        <v>0</v>
      </c>
      <c r="O17" s="20">
        <f t="shared" si="3"/>
        <v>0</v>
      </c>
      <c r="P17" s="20">
        <f t="shared" si="4"/>
        <v>0</v>
      </c>
      <c r="Q17" s="11">
        <v>0</v>
      </c>
      <c r="R17" s="11">
        <f>Q17*5</f>
        <v>0</v>
      </c>
      <c r="S17" s="11">
        <f t="shared" si="1"/>
        <v>0</v>
      </c>
      <c r="T17" s="11"/>
      <c r="AC17" s="9">
        <v>14</v>
      </c>
      <c r="AD17" s="15" t="s">
        <v>36</v>
      </c>
      <c r="AE17" s="15">
        <v>1251788</v>
      </c>
      <c r="AF17" s="8">
        <f t="shared" si="8"/>
        <v>1012188.0752789412</v>
      </c>
      <c r="AG17" s="8">
        <f t="shared" si="9"/>
        <v>1005757.8388944095</v>
      </c>
      <c r="AH17">
        <f t="shared" si="10"/>
        <v>2.6820183424422552</v>
      </c>
      <c r="AI17" s="8">
        <f t="shared" si="11"/>
        <v>2.6968460448421281</v>
      </c>
      <c r="AJ17">
        <f t="shared" si="19"/>
        <v>2.6820183424422552</v>
      </c>
      <c r="AK17" s="8">
        <f t="shared" si="18"/>
        <v>2.6968460448421281</v>
      </c>
      <c r="AL17">
        <f t="shared" si="12"/>
        <v>2.6820183424422552</v>
      </c>
      <c r="AM17" s="8">
        <f t="shared" si="13"/>
        <v>2.6968460448421281</v>
      </c>
      <c r="AN17">
        <f t="shared" si="20"/>
        <v>5.3640366848845105</v>
      </c>
      <c r="AO17" s="8">
        <f t="shared" si="21"/>
        <v>5.3936920896842562</v>
      </c>
      <c r="AP17">
        <f t="shared" si="22"/>
        <v>42.912293479076084</v>
      </c>
      <c r="AQ17" s="8">
        <f t="shared" si="23"/>
        <v>43.149536717474049</v>
      </c>
      <c r="AR17">
        <v>12.5</v>
      </c>
      <c r="AS17" s="8">
        <f t="shared" si="24"/>
        <v>100</v>
      </c>
      <c r="AT17">
        <f t="shared" si="14"/>
        <v>57.087706520923916</v>
      </c>
      <c r="AU17" s="8">
        <f t="shared" si="15"/>
        <v>2.854385326046196</v>
      </c>
      <c r="AV17" s="20">
        <f t="shared" si="7"/>
        <v>56.850463282525951</v>
      </c>
      <c r="AW17" s="8">
        <f t="shared" si="16"/>
        <v>2.8425231641262974</v>
      </c>
      <c r="AX17">
        <f t="shared" si="25"/>
        <v>0.53213381893708134</v>
      </c>
      <c r="AY17" s="8">
        <f t="shared" si="26"/>
        <v>0.52700879413616974</v>
      </c>
    </row>
    <row r="18" spans="1:54" x14ac:dyDescent="0.25">
      <c r="A18" s="9">
        <v>12</v>
      </c>
      <c r="B18" s="9" t="s">
        <v>34</v>
      </c>
      <c r="C18" s="9">
        <v>1361993</v>
      </c>
      <c r="D18" s="15">
        <v>1361265</v>
      </c>
      <c r="E18" s="9">
        <v>207743</v>
      </c>
      <c r="F18" s="15">
        <v>207955</v>
      </c>
      <c r="G18" s="9">
        <v>98959</v>
      </c>
      <c r="H18" s="15">
        <v>99791</v>
      </c>
      <c r="I18">
        <f t="shared" si="2"/>
        <v>6.5459594623836885</v>
      </c>
      <c r="AC18" s="9">
        <v>15</v>
      </c>
      <c r="AD18" s="15" t="s">
        <v>37</v>
      </c>
      <c r="AE18" s="15">
        <v>1536717</v>
      </c>
      <c r="AF18" s="8">
        <f t="shared" si="8"/>
        <v>1225820.6534746389</v>
      </c>
      <c r="AG18" s="8">
        <f t="shared" si="9"/>
        <v>1219390.4170901072</v>
      </c>
      <c r="AH18">
        <f t="shared" si="10"/>
        <v>3.26976387949881</v>
      </c>
      <c r="AI18" s="8">
        <f t="shared" si="11"/>
        <v>3.2858468322863899</v>
      </c>
      <c r="AJ18">
        <f t="shared" si="19"/>
        <v>3.26976387949881</v>
      </c>
      <c r="AK18" s="8">
        <f t="shared" si="18"/>
        <v>3.2858468322863899</v>
      </c>
      <c r="AL18">
        <f t="shared" si="12"/>
        <v>3.26976387949881</v>
      </c>
      <c r="AM18" s="8">
        <f t="shared" si="13"/>
        <v>3.2858468322863899</v>
      </c>
      <c r="AN18">
        <f t="shared" si="20"/>
        <v>6.53952775899762</v>
      </c>
      <c r="AO18" s="8">
        <f t="shared" si="21"/>
        <v>6.5716936645727797</v>
      </c>
      <c r="AP18">
        <f t="shared" si="22"/>
        <v>52.31622207198096</v>
      </c>
      <c r="AQ18" s="8">
        <f t="shared" si="23"/>
        <v>52.573549316582238</v>
      </c>
      <c r="AR18">
        <v>12.5</v>
      </c>
      <c r="AS18" s="8">
        <f t="shared" si="24"/>
        <v>100</v>
      </c>
      <c r="AT18">
        <f t="shared" si="14"/>
        <v>47.68377792801904</v>
      </c>
      <c r="AU18" s="8">
        <f t="shared" si="15"/>
        <v>2.3841888964009521</v>
      </c>
      <c r="AV18" s="20">
        <f t="shared" si="7"/>
        <v>47.426450683417762</v>
      </c>
      <c r="AW18" s="8">
        <f t="shared" si="16"/>
        <v>2.3713225341708881</v>
      </c>
      <c r="AX18">
        <f t="shared" si="25"/>
        <v>0.36458120284306295</v>
      </c>
      <c r="AY18" s="8">
        <f t="shared" si="26"/>
        <v>0.36083887277862725</v>
      </c>
      <c r="BA18" t="s">
        <v>234</v>
      </c>
      <c r="BB18" t="s">
        <v>235</v>
      </c>
    </row>
    <row r="19" spans="1:54" x14ac:dyDescent="0.25">
      <c r="A19" s="9">
        <v>13</v>
      </c>
      <c r="B19" s="9" t="s">
        <v>35</v>
      </c>
      <c r="C19" s="9">
        <v>977365</v>
      </c>
      <c r="D19" s="15">
        <v>974234</v>
      </c>
      <c r="E19" s="9">
        <v>150703</v>
      </c>
      <c r="F19" s="15">
        <v>150703</v>
      </c>
      <c r="G19" s="9">
        <v>151298</v>
      </c>
      <c r="H19" s="15">
        <v>159019</v>
      </c>
      <c r="I19">
        <f t="shared" si="2"/>
        <v>6.4645959270883795</v>
      </c>
      <c r="AC19" s="9">
        <v>16</v>
      </c>
      <c r="AD19" s="15" t="s">
        <v>38</v>
      </c>
      <c r="AE19" s="15">
        <v>1551785</v>
      </c>
      <c r="AF19" s="8">
        <f t="shared" si="8"/>
        <v>1221367.0651122849</v>
      </c>
      <c r="AG19" s="8">
        <f t="shared" si="9"/>
        <v>1214936.8287277531</v>
      </c>
      <c r="AH19">
        <f t="shared" si="10"/>
        <v>3.2575111757868189</v>
      </c>
      <c r="AI19" s="8">
        <f t="shared" si="11"/>
        <v>3.2735679604282963</v>
      </c>
      <c r="AJ19">
        <f t="shared" si="19"/>
        <v>3.2575111757868189</v>
      </c>
      <c r="AK19" s="8">
        <f t="shared" si="18"/>
        <v>3.2735679604282963</v>
      </c>
      <c r="AL19">
        <f t="shared" si="12"/>
        <v>3.2575111757868189</v>
      </c>
      <c r="AM19" s="8">
        <f t="shared" si="13"/>
        <v>3.2735679604282963</v>
      </c>
      <c r="AN19">
        <f t="shared" si="20"/>
        <v>6.5150223515736378</v>
      </c>
      <c r="AO19" s="8">
        <f t="shared" si="21"/>
        <v>6.5471359208565927</v>
      </c>
      <c r="AP19">
        <f t="shared" si="22"/>
        <v>52.120178812589103</v>
      </c>
      <c r="AQ19" s="8">
        <f t="shared" si="23"/>
        <v>52.377087366852741</v>
      </c>
      <c r="AR19">
        <v>12.5</v>
      </c>
      <c r="AS19" s="8">
        <f t="shared" si="24"/>
        <v>100</v>
      </c>
      <c r="AT19">
        <f t="shared" si="14"/>
        <v>47.879821187410897</v>
      </c>
      <c r="AU19" s="8">
        <f t="shared" si="15"/>
        <v>2.3939910593705447</v>
      </c>
      <c r="AV19" s="20">
        <f t="shared" si="7"/>
        <v>47.622912633147259</v>
      </c>
      <c r="AW19" s="8">
        <f t="shared" si="16"/>
        <v>2.3811456316573629</v>
      </c>
      <c r="AX19">
        <f t="shared" si="25"/>
        <v>0.36745707538398548</v>
      </c>
      <c r="AY19" s="8">
        <f t="shared" si="26"/>
        <v>0.36369271395022856</v>
      </c>
      <c r="AZ19" t="s">
        <v>107</v>
      </c>
      <c r="BA19">
        <f>AVERAGE(AX15:AX20)</f>
        <v>0.53100912131830225</v>
      </c>
      <c r="BB19">
        <f>AVERAGE(AY15:AY20)</f>
        <v>0.52579757937314275</v>
      </c>
    </row>
    <row r="20" spans="1:54" x14ac:dyDescent="0.25">
      <c r="A20" s="9">
        <v>14</v>
      </c>
      <c r="B20" s="9" t="s">
        <v>36</v>
      </c>
      <c r="C20" s="9">
        <v>1252674</v>
      </c>
      <c r="D20" s="15">
        <v>1251788</v>
      </c>
      <c r="E20" s="9">
        <v>191165</v>
      </c>
      <c r="F20" s="15">
        <v>191165</v>
      </c>
      <c r="G20" s="9">
        <v>92829</v>
      </c>
      <c r="H20" s="15">
        <v>92829</v>
      </c>
      <c r="I20">
        <f t="shared" si="2"/>
        <v>6.5482070462689297</v>
      </c>
      <c r="L20" s="26">
        <v>44400</v>
      </c>
      <c r="O20" s="91" t="s">
        <v>188</v>
      </c>
      <c r="AC20" s="9">
        <v>17</v>
      </c>
      <c r="AD20" s="15" t="s">
        <v>39</v>
      </c>
      <c r="AE20" s="15">
        <v>1113566</v>
      </c>
      <c r="AF20" s="8">
        <f t="shared" si="8"/>
        <v>864946.32063273236</v>
      </c>
      <c r="AG20" s="8">
        <f t="shared" si="9"/>
        <v>858516.08424820064</v>
      </c>
      <c r="AH20">
        <f t="shared" si="10"/>
        <v>2.2769271110739289</v>
      </c>
      <c r="AI20" s="8">
        <f t="shared" si="11"/>
        <v>2.2908896585841898</v>
      </c>
      <c r="AJ20">
        <f t="shared" si="19"/>
        <v>2.2769271110739289</v>
      </c>
      <c r="AK20" s="8">
        <f t="shared" si="18"/>
        <v>2.2908896585841898</v>
      </c>
      <c r="AL20">
        <f t="shared" si="12"/>
        <v>2.2769271110739289</v>
      </c>
      <c r="AM20" s="8">
        <f t="shared" si="13"/>
        <v>2.2908896585841898</v>
      </c>
      <c r="AN20">
        <f t="shared" si="20"/>
        <v>4.5538542221478577</v>
      </c>
      <c r="AO20" s="8">
        <f t="shared" si="21"/>
        <v>4.5817793171683796</v>
      </c>
      <c r="AP20">
        <f t="shared" si="22"/>
        <v>36.430833777182862</v>
      </c>
      <c r="AQ20" s="8">
        <f t="shared" si="23"/>
        <v>36.654234537347037</v>
      </c>
      <c r="AR20">
        <v>12.5</v>
      </c>
      <c r="AS20" s="8">
        <f t="shared" si="24"/>
        <v>100</v>
      </c>
      <c r="AT20">
        <f t="shared" si="14"/>
        <v>63.569166222817138</v>
      </c>
      <c r="AU20" s="8">
        <f t="shared" si="15"/>
        <v>3.1784583111408571</v>
      </c>
      <c r="AV20" s="20">
        <f t="shared" si="7"/>
        <v>63.345765462652963</v>
      </c>
      <c r="AW20" s="8">
        <f t="shared" si="16"/>
        <v>3.1672882731326482</v>
      </c>
      <c r="AX20">
        <f t="shared" si="25"/>
        <v>0.69797102763682994</v>
      </c>
      <c r="AY20" s="8">
        <f t="shared" si="26"/>
        <v>0.69127909789642339</v>
      </c>
      <c r="AZ20" t="s">
        <v>236</v>
      </c>
      <c r="BA20">
        <f>STDEV(AX15:AX20)</f>
        <v>0.1796518990497547</v>
      </c>
      <c r="BB20">
        <f>STDEV(AY15:AY20)</f>
        <v>0.17801195597002747</v>
      </c>
    </row>
    <row r="21" spans="1:54" x14ac:dyDescent="0.25">
      <c r="A21" s="9">
        <v>15</v>
      </c>
      <c r="B21" s="9" t="s">
        <v>37</v>
      </c>
      <c r="C21" s="9">
        <v>1540315</v>
      </c>
      <c r="D21" s="15">
        <v>1536717</v>
      </c>
      <c r="E21" s="9">
        <v>229657</v>
      </c>
      <c r="F21" s="15">
        <v>231656</v>
      </c>
      <c r="G21" s="9">
        <v>114641</v>
      </c>
      <c r="H21" s="15">
        <v>115192</v>
      </c>
      <c r="I21">
        <f t="shared" si="2"/>
        <v>6.6336162240563592</v>
      </c>
      <c r="L21" t="s">
        <v>9</v>
      </c>
      <c r="O21" s="91" t="s">
        <v>189</v>
      </c>
      <c r="AC21" s="86">
        <v>18</v>
      </c>
      <c r="AD21" s="105" t="s">
        <v>40</v>
      </c>
      <c r="AE21" s="105">
        <v>12974</v>
      </c>
      <c r="AF21" s="105">
        <f t="shared" si="8"/>
        <v>9946.7347966808538</v>
      </c>
      <c r="AG21" s="105">
        <f t="shared" si="9"/>
        <v>3516.4984121491743</v>
      </c>
      <c r="AH21" s="103">
        <f t="shared" si="10"/>
        <v>-7.5346100271240141E-2</v>
      </c>
      <c r="AI21" s="105">
        <f t="shared" si="11"/>
        <v>-6.6407311640241384E-2</v>
      </c>
      <c r="AJ21" s="103"/>
      <c r="AK21" s="105"/>
      <c r="AL21" s="103">
        <f t="shared" si="12"/>
        <v>0</v>
      </c>
      <c r="AM21" s="105">
        <f t="shared" si="13"/>
        <v>0</v>
      </c>
      <c r="AN21" s="103">
        <f>AL21*$AO$5</f>
        <v>0</v>
      </c>
      <c r="AO21" s="105">
        <f>AM21*$AO$5</f>
        <v>0</v>
      </c>
      <c r="AP21" s="103">
        <f>AN21*$AO$2</f>
        <v>0</v>
      </c>
      <c r="AQ21" s="105">
        <f>AO21*$AO$2</f>
        <v>0</v>
      </c>
      <c r="AR21" s="103">
        <v>0</v>
      </c>
      <c r="AS21" s="105">
        <f>AR21*$AO$2</f>
        <v>0</v>
      </c>
      <c r="AT21" s="103">
        <f t="shared" si="14"/>
        <v>0</v>
      </c>
      <c r="AU21" s="105">
        <f t="shared" si="15"/>
        <v>0</v>
      </c>
      <c r="AV21" s="86">
        <f t="shared" si="7"/>
        <v>0</v>
      </c>
      <c r="AW21" s="105">
        <f t="shared" si="16"/>
        <v>0</v>
      </c>
      <c r="AY21" s="8"/>
      <c r="AZ21" t="s">
        <v>237</v>
      </c>
      <c r="BA21">
        <f>(BA20/BA19)*100</f>
        <v>33.83216819397461</v>
      </c>
      <c r="BB21">
        <f>(BB20/BB19)*100</f>
        <v>33.85560583642355</v>
      </c>
    </row>
    <row r="22" spans="1:54" x14ac:dyDescent="0.25">
      <c r="A22" s="9">
        <v>16</v>
      </c>
      <c r="B22" s="9" t="s">
        <v>38</v>
      </c>
      <c r="C22" s="9">
        <v>1558261</v>
      </c>
      <c r="D22" s="15">
        <v>1551785</v>
      </c>
      <c r="E22" s="9">
        <v>239233</v>
      </c>
      <c r="F22" s="15">
        <v>240273</v>
      </c>
      <c r="G22" s="9">
        <v>211160</v>
      </c>
      <c r="H22" s="15">
        <v>211160</v>
      </c>
      <c r="I22">
        <f t="shared" si="2"/>
        <v>6.4584243756060813</v>
      </c>
      <c r="L22" s="9">
        <v>1</v>
      </c>
      <c r="M22" s="9" t="s">
        <v>101</v>
      </c>
      <c r="N22" s="22">
        <v>49515</v>
      </c>
      <c r="O22" s="35">
        <f>IF(N22&lt;=0,0,N22*((41454.534*0+472398.478)/(41454.534*L22+472398.478)))</f>
        <v>45520.431119259454</v>
      </c>
      <c r="P22" s="35">
        <f>IF(AVERAGE($O$22:$O$23,$O$30:$O$31)&gt;0,IF(O22-AVERAGE($O$22:$O$23,$O$30:$O$31)&lt;=0,0,O22-AVERAGE($O$22:$O$23,$O$30:$O$31)),O22)</f>
        <v>0</v>
      </c>
      <c r="Q22" s="11">
        <v>0</v>
      </c>
      <c r="R22" s="11">
        <f t="shared" ref="R22:R31" si="27">Q22*5</f>
        <v>0</v>
      </c>
      <c r="S22" s="11">
        <f t="shared" ref="S22:S31" si="28">Q22*5</f>
        <v>0</v>
      </c>
      <c r="AC22" s="86">
        <v>19</v>
      </c>
      <c r="AD22" s="105" t="s">
        <v>41</v>
      </c>
      <c r="AE22" s="105">
        <v>0</v>
      </c>
      <c r="AF22" s="105">
        <f t="shared" si="8"/>
        <v>0</v>
      </c>
      <c r="AG22" s="105">
        <f t="shared" si="9"/>
        <v>0</v>
      </c>
      <c r="AH22" s="103">
        <f t="shared" si="10"/>
        <v>0</v>
      </c>
      <c r="AI22" s="105">
        <f t="shared" si="11"/>
        <v>0</v>
      </c>
      <c r="AJ22" s="103"/>
      <c r="AK22" s="105"/>
      <c r="AL22" s="103">
        <f t="shared" si="12"/>
        <v>0</v>
      </c>
      <c r="AM22" s="105">
        <f t="shared" si="13"/>
        <v>0</v>
      </c>
      <c r="AN22" s="103">
        <f t="shared" ref="AN22:AN25" si="29">AL22*$AO$5</f>
        <v>0</v>
      </c>
      <c r="AO22" s="105">
        <f t="shared" ref="AO22:AO25" si="30">AM22*$AO$5</f>
        <v>0</v>
      </c>
      <c r="AP22" s="103">
        <f t="shared" ref="AP22:AP37" si="31">AN22*$AO$2</f>
        <v>0</v>
      </c>
      <c r="AQ22" s="105">
        <f t="shared" ref="AQ22:AQ37" si="32">AO22*$AO$2</f>
        <v>0</v>
      </c>
      <c r="AR22" s="103">
        <v>0</v>
      </c>
      <c r="AS22" s="105">
        <f t="shared" ref="AS22:AS37" si="33">AR22*$AO$2</f>
        <v>0</v>
      </c>
      <c r="AT22" s="103">
        <f t="shared" si="14"/>
        <v>0</v>
      </c>
      <c r="AU22" s="105">
        <f t="shared" si="15"/>
        <v>0</v>
      </c>
      <c r="AV22" s="86">
        <f t="shared" si="7"/>
        <v>0</v>
      </c>
      <c r="AW22" s="105">
        <f t="shared" si="16"/>
        <v>0</v>
      </c>
      <c r="AY22" s="8"/>
    </row>
    <row r="23" spans="1:54" x14ac:dyDescent="0.25">
      <c r="A23" s="9">
        <v>17</v>
      </c>
      <c r="B23" s="9" t="s">
        <v>39</v>
      </c>
      <c r="C23" s="51">
        <v>1113566</v>
      </c>
      <c r="D23" s="24">
        <v>1113566</v>
      </c>
      <c r="E23" s="51">
        <v>170663</v>
      </c>
      <c r="F23" s="24">
        <v>170663</v>
      </c>
      <c r="G23" s="51">
        <v>160474</v>
      </c>
      <c r="H23" s="24">
        <v>160474</v>
      </c>
      <c r="I23">
        <f t="shared" si="2"/>
        <v>6.5249409655285566</v>
      </c>
      <c r="L23" s="9">
        <v>2</v>
      </c>
      <c r="M23" s="9" t="s">
        <v>102</v>
      </c>
      <c r="N23" s="9">
        <v>39546</v>
      </c>
      <c r="O23" s="9">
        <f t="shared" ref="O23:O31" si="34">IF(N23&lt;=0,0,N23*((41454.534*0+472398.478)/(41454.534*L23+472398.478)))</f>
        <v>33641.664597491355</v>
      </c>
      <c r="P23" s="20">
        <f t="shared" ref="P23:P31" si="35">IF(AVERAGE($O$22:$O$23,$O$30:$O$31)&gt;0,IF(O23-AVERAGE($O$22:$O$23,$O$30:$O$31)&lt;=0,0,O23-AVERAGE($O$22:$O$23,$O$30:$O$31)),O23)</f>
        <v>0</v>
      </c>
      <c r="Q23" s="11">
        <v>0</v>
      </c>
      <c r="R23" s="11">
        <f t="shared" si="27"/>
        <v>0</v>
      </c>
      <c r="S23" s="11">
        <f t="shared" si="28"/>
        <v>0</v>
      </c>
      <c r="AC23" s="9">
        <v>20</v>
      </c>
      <c r="AD23" s="15" t="s">
        <v>25</v>
      </c>
      <c r="AE23" s="15">
        <v>0</v>
      </c>
      <c r="AF23" s="8">
        <f t="shared" si="8"/>
        <v>0</v>
      </c>
      <c r="AG23" s="8">
        <f t="shared" si="9"/>
        <v>0</v>
      </c>
      <c r="AH23">
        <f t="shared" si="10"/>
        <v>0</v>
      </c>
      <c r="AI23" s="8">
        <f t="shared" si="11"/>
        <v>0</v>
      </c>
      <c r="AK23" s="8"/>
      <c r="AL23">
        <f t="shared" si="12"/>
        <v>0</v>
      </c>
      <c r="AM23" s="8">
        <f t="shared" si="13"/>
        <v>0</v>
      </c>
      <c r="AO23" s="8"/>
      <c r="AQ23" s="8"/>
      <c r="AR23">
        <v>0</v>
      </c>
      <c r="AS23" s="15">
        <f t="shared" si="33"/>
        <v>0</v>
      </c>
      <c r="AT23">
        <f t="shared" si="14"/>
        <v>0</v>
      </c>
      <c r="AU23" s="8">
        <f t="shared" si="15"/>
        <v>0</v>
      </c>
      <c r="AV23" s="20">
        <f t="shared" si="7"/>
        <v>0</v>
      </c>
      <c r="AW23" s="8">
        <f t="shared" si="16"/>
        <v>0</v>
      </c>
      <c r="AY23" s="8"/>
    </row>
    <row r="24" spans="1:54" x14ac:dyDescent="0.25">
      <c r="A24" s="86">
        <v>18</v>
      </c>
      <c r="B24" s="86" t="s">
        <v>40</v>
      </c>
      <c r="C24" s="11">
        <v>0</v>
      </c>
      <c r="D24" s="15">
        <v>12974</v>
      </c>
      <c r="E24" s="9">
        <v>0</v>
      </c>
      <c r="F24" s="15">
        <v>0</v>
      </c>
      <c r="G24" s="11">
        <v>102334</v>
      </c>
      <c r="H24" s="15">
        <v>104145</v>
      </c>
      <c r="L24" s="9">
        <v>3</v>
      </c>
      <c r="M24" s="9" t="s">
        <v>81</v>
      </c>
      <c r="N24" s="9">
        <v>347976</v>
      </c>
      <c r="O24" s="9">
        <f t="shared" si="34"/>
        <v>275458.74359263579</v>
      </c>
      <c r="P24" s="20">
        <f t="shared" si="35"/>
        <v>171855.036082962</v>
      </c>
      <c r="Q24" s="11">
        <v>0.05</v>
      </c>
      <c r="R24" s="11">
        <f t="shared" si="27"/>
        <v>0.25</v>
      </c>
      <c r="S24" s="11">
        <f t="shared" si="28"/>
        <v>0.25</v>
      </c>
      <c r="AC24" s="9">
        <v>21</v>
      </c>
      <c r="AD24" s="15" t="s">
        <v>52</v>
      </c>
      <c r="AE24" s="15">
        <v>742462</v>
      </c>
      <c r="AF24" s="8">
        <f t="shared" si="8"/>
        <v>547913.22421231226</v>
      </c>
      <c r="AG24" s="8">
        <f t="shared" si="9"/>
        <v>541482.98782778054</v>
      </c>
      <c r="AH24">
        <f t="shared" si="10"/>
        <v>1.4047062677265691</v>
      </c>
      <c r="AI24" s="8">
        <f t="shared" si="11"/>
        <v>1.4168060098512523</v>
      </c>
      <c r="AJ24">
        <f t="shared" ref="AJ24:AJ25" si="36">IF(AVERAGE($AH$21:$AH$22)&gt;0,IF(AH24-MAX($AH$21:$AH$22)&lt;=0,0,AH24-MAX($AH$21:$AH$22)),AH24)</f>
        <v>1.4047062677265691</v>
      </c>
      <c r="AK24" s="8">
        <f t="shared" ref="AK24:AK25" si="37">IF(AVERAGE($AI$21:$AI$22)&gt;0,IF(AI24-MAX($AI$21:$AI$22)&lt;=0,0,AI24-MAX($AI$21:$AI$22)),AI24)</f>
        <v>1.4168060098512523</v>
      </c>
      <c r="AL24">
        <f t="shared" si="12"/>
        <v>1.4047062677265691</v>
      </c>
      <c r="AM24" s="8">
        <f t="shared" si="13"/>
        <v>1.4168060098512523</v>
      </c>
      <c r="AN24">
        <f t="shared" si="29"/>
        <v>5.1505896483307536</v>
      </c>
      <c r="AO24" s="8">
        <f t="shared" si="30"/>
        <v>5.1949553694545916</v>
      </c>
      <c r="AP24">
        <f t="shared" si="31"/>
        <v>30.90353788998452</v>
      </c>
      <c r="AQ24" s="8">
        <f t="shared" si="32"/>
        <v>31.169732216727549</v>
      </c>
      <c r="AR24">
        <v>12.5</v>
      </c>
      <c r="AS24" s="15">
        <f t="shared" si="33"/>
        <v>75</v>
      </c>
      <c r="AT24">
        <f t="shared" si="14"/>
        <v>44.09646211001548</v>
      </c>
      <c r="AU24" s="8">
        <f t="shared" si="15"/>
        <v>2.2048231055007741</v>
      </c>
      <c r="AV24" s="20">
        <f t="shared" si="7"/>
        <v>43.830267783272447</v>
      </c>
      <c r="AW24" s="8">
        <f t="shared" si="16"/>
        <v>2.1915133891636223</v>
      </c>
      <c r="AX24">
        <f t="shared" si="25"/>
        <v>0.42807197933450819</v>
      </c>
      <c r="AY24" s="8">
        <f t="shared" si="26"/>
        <v>0.42185413219319051</v>
      </c>
    </row>
    <row r="25" spans="1:54" x14ac:dyDescent="0.25">
      <c r="A25" s="86">
        <v>19</v>
      </c>
      <c r="B25" s="86" t="s">
        <v>41</v>
      </c>
      <c r="C25" s="9">
        <v>0</v>
      </c>
      <c r="D25" s="15">
        <v>0</v>
      </c>
      <c r="E25" s="9">
        <v>0</v>
      </c>
      <c r="F25" s="15">
        <v>0</v>
      </c>
      <c r="G25" s="11">
        <v>100756</v>
      </c>
      <c r="H25" s="15">
        <v>101240</v>
      </c>
      <c r="L25" s="9">
        <v>4</v>
      </c>
      <c r="M25" s="9" t="s">
        <v>82</v>
      </c>
      <c r="N25" s="9">
        <v>403080</v>
      </c>
      <c r="O25" s="9">
        <f t="shared" si="34"/>
        <v>298353.8415254103</v>
      </c>
      <c r="P25" s="20">
        <f t="shared" si="35"/>
        <v>194750.13401573652</v>
      </c>
      <c r="Q25" s="11">
        <v>0.05</v>
      </c>
      <c r="R25" s="11">
        <f t="shared" si="27"/>
        <v>0.25</v>
      </c>
      <c r="S25" s="11">
        <f t="shared" si="28"/>
        <v>0.25</v>
      </c>
      <c r="AC25" s="9">
        <v>22</v>
      </c>
      <c r="AD25" s="15" t="s">
        <v>54</v>
      </c>
      <c r="AE25" s="15">
        <v>364151</v>
      </c>
      <c r="AF25" s="8">
        <f t="shared" si="8"/>
        <v>265419.96438694122</v>
      </c>
      <c r="AG25" s="8">
        <f t="shared" si="9"/>
        <v>258989.72800240954</v>
      </c>
      <c r="AH25">
        <f t="shared" si="10"/>
        <v>0.6275113561956871</v>
      </c>
      <c r="AI25" s="8">
        <f t="shared" si="11"/>
        <v>0.6379512401802151</v>
      </c>
      <c r="AJ25">
        <f t="shared" si="36"/>
        <v>0.6275113561956871</v>
      </c>
      <c r="AK25" s="8">
        <f t="shared" si="37"/>
        <v>0.6379512401802151</v>
      </c>
      <c r="AL25">
        <f t="shared" si="12"/>
        <v>0.6275113561956871</v>
      </c>
      <c r="AM25" s="8">
        <f t="shared" si="13"/>
        <v>0.6379512401802151</v>
      </c>
      <c r="AN25">
        <f t="shared" si="29"/>
        <v>2.3008749727175193</v>
      </c>
      <c r="AO25" s="8">
        <f t="shared" si="30"/>
        <v>2.3391545473274551</v>
      </c>
      <c r="AP25">
        <f t="shared" si="31"/>
        <v>13.805249836305116</v>
      </c>
      <c r="AQ25" s="8">
        <f t="shared" si="32"/>
        <v>14.034927283964731</v>
      </c>
      <c r="AR25">
        <v>12.5</v>
      </c>
      <c r="AS25" s="15">
        <f t="shared" si="33"/>
        <v>75</v>
      </c>
      <c r="AT25">
        <f t="shared" si="14"/>
        <v>61.194750163694884</v>
      </c>
      <c r="AU25" s="8">
        <f t="shared" si="15"/>
        <v>3.0597375081847442</v>
      </c>
      <c r="AV25" s="20">
        <f t="shared" si="7"/>
        <v>60.965072716035266</v>
      </c>
      <c r="AW25" s="8">
        <f t="shared" si="16"/>
        <v>3.0482536358017631</v>
      </c>
      <c r="AX25">
        <f t="shared" si="25"/>
        <v>1.329814763716147</v>
      </c>
      <c r="AY25" s="8">
        <f t="shared" si="26"/>
        <v>1.30314332555943</v>
      </c>
    </row>
    <row r="26" spans="1:54" x14ac:dyDescent="0.25">
      <c r="A26" s="9">
        <v>20</v>
      </c>
      <c r="B26" s="9" t="s">
        <v>25</v>
      </c>
      <c r="C26" s="9">
        <v>0</v>
      </c>
      <c r="D26" s="15">
        <v>0</v>
      </c>
      <c r="E26" s="9">
        <v>0</v>
      </c>
      <c r="F26" s="15">
        <v>0</v>
      </c>
      <c r="G26" s="11">
        <v>0</v>
      </c>
      <c r="H26" s="84">
        <v>77347</v>
      </c>
      <c r="L26" s="9">
        <v>5</v>
      </c>
      <c r="M26" s="9" t="s">
        <v>83</v>
      </c>
      <c r="N26" s="9">
        <v>2875301</v>
      </c>
      <c r="O26" s="9">
        <f t="shared" si="34"/>
        <v>1998448.5441066243</v>
      </c>
      <c r="P26" s="20">
        <f t="shared" si="35"/>
        <v>1894844.8365969504</v>
      </c>
      <c r="Q26" s="11">
        <v>0.5</v>
      </c>
      <c r="R26" s="11">
        <f t="shared" si="27"/>
        <v>2.5</v>
      </c>
      <c r="S26" s="11">
        <f t="shared" si="28"/>
        <v>2.5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Q26" s="20"/>
      <c r="AR26" s="20"/>
      <c r="AS26" s="9"/>
      <c r="AU26" s="20"/>
      <c r="AV26" s="20"/>
      <c r="AW26" s="20"/>
      <c r="AY26" s="20"/>
    </row>
    <row r="27" spans="1:54" x14ac:dyDescent="0.25">
      <c r="A27" s="9">
        <v>21</v>
      </c>
      <c r="B27" s="9" t="s">
        <v>52</v>
      </c>
      <c r="C27" s="11">
        <v>740297</v>
      </c>
      <c r="D27" s="15">
        <v>742462</v>
      </c>
      <c r="E27" s="9">
        <v>0</v>
      </c>
      <c r="F27" s="15">
        <v>114091</v>
      </c>
      <c r="G27" s="11">
        <v>171232</v>
      </c>
      <c r="H27" s="15">
        <v>171232</v>
      </c>
      <c r="I27">
        <f t="shared" si="2"/>
        <v>6.5076298743985062</v>
      </c>
      <c r="L27" s="9">
        <v>6</v>
      </c>
      <c r="M27" s="9" t="s">
        <v>84</v>
      </c>
      <c r="N27" s="9">
        <v>2022114</v>
      </c>
      <c r="O27" s="9">
        <f t="shared" si="34"/>
        <v>1324656.1588171145</v>
      </c>
      <c r="P27" s="20">
        <f t="shared" si="35"/>
        <v>1221052.4513074406</v>
      </c>
      <c r="Q27" s="11">
        <v>0.5</v>
      </c>
      <c r="R27" s="11">
        <f t="shared" si="27"/>
        <v>2.5</v>
      </c>
      <c r="S27" s="11">
        <f t="shared" si="28"/>
        <v>2.5</v>
      </c>
      <c r="AC27" s="26">
        <v>44400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Q27" s="20"/>
      <c r="AR27" s="20"/>
      <c r="AS27" s="9"/>
      <c r="AU27" s="20"/>
      <c r="AV27" s="20"/>
      <c r="AW27" s="20"/>
      <c r="AY27" s="20"/>
    </row>
    <row r="28" spans="1:54" x14ac:dyDescent="0.25">
      <c r="A28" s="9">
        <v>22</v>
      </c>
      <c r="B28" s="9" t="s">
        <v>54</v>
      </c>
      <c r="C28" s="11">
        <v>362102</v>
      </c>
      <c r="D28" s="15">
        <v>364151</v>
      </c>
      <c r="E28" s="9">
        <v>0</v>
      </c>
      <c r="F28" s="15">
        <v>52295</v>
      </c>
      <c r="G28" s="11">
        <v>0</v>
      </c>
      <c r="H28" s="15">
        <v>63720</v>
      </c>
      <c r="I28">
        <f t="shared" si="2"/>
        <v>6.9633999426331386</v>
      </c>
      <c r="L28" s="9">
        <v>7</v>
      </c>
      <c r="M28" s="9" t="s">
        <v>85</v>
      </c>
      <c r="N28" s="9">
        <v>4934383</v>
      </c>
      <c r="O28" s="9">
        <f t="shared" si="34"/>
        <v>3056721.0768933375</v>
      </c>
      <c r="P28" s="20">
        <f t="shared" si="35"/>
        <v>2953117.3693836639</v>
      </c>
      <c r="Q28" s="11">
        <v>1</v>
      </c>
      <c r="R28" s="11">
        <f t="shared" si="27"/>
        <v>5</v>
      </c>
      <c r="S28" s="11">
        <f t="shared" si="28"/>
        <v>5</v>
      </c>
      <c r="AC28" t="s">
        <v>9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Q28" s="20"/>
      <c r="AR28" s="20"/>
      <c r="AS28" s="9"/>
      <c r="AU28" s="20"/>
      <c r="AV28" s="20"/>
      <c r="AW28" s="20"/>
      <c r="AY28" s="20"/>
    </row>
    <row r="29" spans="1:54" x14ac:dyDescent="0.25">
      <c r="L29" s="9">
        <v>8</v>
      </c>
      <c r="M29" s="9" t="s">
        <v>86</v>
      </c>
      <c r="N29" s="9">
        <v>4628932</v>
      </c>
      <c r="O29" s="9">
        <f t="shared" si="34"/>
        <v>2719659.1087207315</v>
      </c>
      <c r="P29" s="20">
        <f t="shared" si="35"/>
        <v>2616055.4012110578</v>
      </c>
      <c r="Q29" s="11">
        <v>1</v>
      </c>
      <c r="R29" s="11">
        <f t="shared" si="27"/>
        <v>5</v>
      </c>
      <c r="S29" s="11">
        <f t="shared" si="28"/>
        <v>5</v>
      </c>
      <c r="AC29" s="9">
        <v>1</v>
      </c>
      <c r="AD29" s="15" t="s">
        <v>101</v>
      </c>
      <c r="AE29" s="15">
        <v>49515</v>
      </c>
      <c r="AF29" s="8">
        <f>IF(AE29&lt;=0,0,AE29*(41454.534*0+5472398.478)/(41454.534*AC29+5472398.478))</f>
        <v>49142.733774088141</v>
      </c>
      <c r="AG29" s="8">
        <f>IF(AVERAGE($AF$29:$AF$31,$AF$42)&gt;0,IF(AF29-AVERAGE($AF$29:$AF$31,$AF$42)&lt;=0,0,AF29-AVERAGE($AF$29:$AF$31,$AF$42)),AF29)</f>
        <v>0</v>
      </c>
      <c r="AH29">
        <f>IF(AG29&lt;=0,0,(AG29-137512.144)/562102.636)</f>
        <v>0</v>
      </c>
      <c r="AI29" s="8">
        <f>IF(AG29&lt;=0,0,(AG29-66510.744)/554033.403)</f>
        <v>0</v>
      </c>
      <c r="AJ29">
        <f>IF(AVERAGE($AH$21:$AH$22)&gt;0,IF(AH29-MAX($AH$21:$AH$22)&lt;=0,0,AH29-MAX($AH$21:$AH$22)),AH29)</f>
        <v>0</v>
      </c>
      <c r="AK29" s="8">
        <f>IF(AVERAGE($AI$21:$AI$22)&gt;0,IF(AI29-MAX($AI$21:$AI$22)&lt;=0,0,AI29-MAX($AI$21:$AI$22)),AI29)</f>
        <v>0</v>
      </c>
      <c r="AL29">
        <f>IF(AJ29&lt;=0,0,AJ29)</f>
        <v>0</v>
      </c>
      <c r="AM29" s="8">
        <f>IF(AK29&lt;=0,0,AK29)</f>
        <v>0</v>
      </c>
      <c r="AO29" s="8"/>
      <c r="AQ29" s="8"/>
      <c r="AR29">
        <v>0</v>
      </c>
      <c r="AS29" s="15"/>
      <c r="AT29">
        <f t="shared" si="14"/>
        <v>0</v>
      </c>
      <c r="AU29" s="8">
        <f t="shared" si="15"/>
        <v>0</v>
      </c>
      <c r="AV29" s="20">
        <f t="shared" ref="AV29:AV46" si="38">AS29-AQ29</f>
        <v>0</v>
      </c>
      <c r="AW29" s="8">
        <f t="shared" si="16"/>
        <v>0</v>
      </c>
      <c r="AY29" s="8"/>
    </row>
    <row r="30" spans="1:54" x14ac:dyDescent="0.25">
      <c r="L30" s="9">
        <v>9</v>
      </c>
      <c r="M30" s="9" t="s">
        <v>103</v>
      </c>
      <c r="N30" s="9">
        <v>545084</v>
      </c>
      <c r="O30" s="9">
        <f t="shared" si="34"/>
        <v>304553.65532717033</v>
      </c>
      <c r="P30" s="20">
        <f t="shared" si="35"/>
        <v>200949.94781749655</v>
      </c>
      <c r="Q30" s="11">
        <v>0</v>
      </c>
      <c r="R30" s="11">
        <f t="shared" si="27"/>
        <v>0</v>
      </c>
      <c r="S30" s="11">
        <f t="shared" si="28"/>
        <v>0</v>
      </c>
      <c r="AC30" s="9">
        <v>2</v>
      </c>
      <c r="AD30" s="15" t="s">
        <v>102</v>
      </c>
      <c r="AE30" s="15">
        <v>39546</v>
      </c>
      <c r="AF30" s="8">
        <f t="shared" ref="AF30:AF46" si="39">IF(AE30&lt;=0,0,AE30*(41454.534*0+5472398.478)/(41454.534*AC30+5472398.478))</f>
        <v>38955.803692058638</v>
      </c>
      <c r="AG30" s="8">
        <f t="shared" ref="AG30:AG46" si="40">IF(AVERAGE($AF$29:$AF$31,$AF$42)&gt;0,IF(AF30-AVERAGE($AF$29:$AF$31,$AF$42)&lt;=0,0,AF30-AVERAGE($AF$29:$AF$31,$AF$42)),AF30)</f>
        <v>0</v>
      </c>
      <c r="AH30">
        <f t="shared" ref="AH30:AH46" si="41">IF(AG30&lt;=0,0,(AG30-137512.144)/562102.636)</f>
        <v>0</v>
      </c>
      <c r="AI30" s="8">
        <f t="shared" ref="AI30:AI46" si="42">IF(AG30&lt;=0,0,(AG30-66510.744)/554033.403)</f>
        <v>0</v>
      </c>
      <c r="AJ30">
        <f t="shared" ref="AJ30:AJ37" si="43">IF(AVERAGE($AH$21:$AH$22)&gt;0,IF(AH30-MAX($AH$21:$AH$22)&lt;=0,0,AH30-MAX($AH$21:$AH$22)),AH30)</f>
        <v>0</v>
      </c>
      <c r="AK30" s="8">
        <f t="shared" ref="AK30:AK37" si="44">IF(AVERAGE($AI$21:$AI$22)&gt;0,IF(AI30-MAX($AI$21:$AI$22)&lt;=0,0,AI30-MAX($AI$21:$AI$22)),AI30)</f>
        <v>0</v>
      </c>
      <c r="AL30">
        <f t="shared" ref="AL30:AL46" si="45">IF(AJ30&lt;=0,0,AJ30)</f>
        <v>0</v>
      </c>
      <c r="AM30" s="8">
        <f t="shared" ref="AM30:AM46" si="46">IF(AK30&lt;=0,0,AK30)</f>
        <v>0</v>
      </c>
      <c r="AO30" s="8"/>
      <c r="AQ30" s="8"/>
      <c r="AR30">
        <v>0</v>
      </c>
      <c r="AS30" s="15"/>
      <c r="AT30">
        <f t="shared" si="14"/>
        <v>0</v>
      </c>
      <c r="AU30" s="8">
        <f t="shared" si="15"/>
        <v>0</v>
      </c>
      <c r="AV30" s="20">
        <f t="shared" si="38"/>
        <v>0</v>
      </c>
      <c r="AW30" s="8">
        <f t="shared" si="16"/>
        <v>0</v>
      </c>
      <c r="AY30" s="8"/>
    </row>
    <row r="31" spans="1:54" x14ac:dyDescent="0.25">
      <c r="A31" t="s">
        <v>105</v>
      </c>
      <c r="L31" s="9">
        <v>20</v>
      </c>
      <c r="M31" s="9" t="s">
        <v>104</v>
      </c>
      <c r="N31" s="20">
        <v>84578</v>
      </c>
      <c r="O31" s="9">
        <f t="shared" si="34"/>
        <v>30699.078994774081</v>
      </c>
      <c r="P31" s="20">
        <f t="shared" si="35"/>
        <v>0</v>
      </c>
      <c r="Q31" s="11">
        <v>0</v>
      </c>
      <c r="R31" s="11">
        <f t="shared" si="27"/>
        <v>0</v>
      </c>
      <c r="S31" s="11">
        <f t="shared" si="28"/>
        <v>0</v>
      </c>
      <c r="AC31" s="9">
        <v>9</v>
      </c>
      <c r="AD31" s="106" t="s">
        <v>103</v>
      </c>
      <c r="AE31" s="15">
        <v>545084</v>
      </c>
      <c r="AF31" s="8">
        <f t="shared" si="39"/>
        <v>510293.78501246293</v>
      </c>
      <c r="AG31" s="8">
        <f t="shared" si="40"/>
        <v>342333.19884582073</v>
      </c>
      <c r="AH31">
        <f t="shared" si="41"/>
        <v>0.36438372946150127</v>
      </c>
      <c r="AI31" s="8">
        <f t="shared" si="42"/>
        <v>0.49784445008601891</v>
      </c>
      <c r="AJ31">
        <f t="shared" si="43"/>
        <v>0.36438372946150127</v>
      </c>
      <c r="AK31" s="8">
        <f t="shared" si="44"/>
        <v>0.49784445008601891</v>
      </c>
      <c r="AL31">
        <f t="shared" si="45"/>
        <v>0.36438372946150127</v>
      </c>
      <c r="AM31" s="8">
        <f t="shared" si="46"/>
        <v>0.49784445008601891</v>
      </c>
      <c r="AO31" s="8"/>
      <c r="AQ31" s="8"/>
      <c r="AR31">
        <v>0</v>
      </c>
      <c r="AS31" s="15"/>
      <c r="AT31">
        <f t="shared" si="14"/>
        <v>0</v>
      </c>
      <c r="AU31" s="8">
        <f t="shared" si="15"/>
        <v>0</v>
      </c>
      <c r="AV31" s="20">
        <f t="shared" si="38"/>
        <v>0</v>
      </c>
      <c r="AW31" s="8">
        <f t="shared" si="16"/>
        <v>0</v>
      </c>
      <c r="AY31" s="8"/>
    </row>
    <row r="32" spans="1:54" x14ac:dyDescent="0.25">
      <c r="A32" t="s">
        <v>106</v>
      </c>
      <c r="AC32" s="9">
        <v>10</v>
      </c>
      <c r="AD32" s="15" t="s">
        <v>87</v>
      </c>
      <c r="AE32" s="4">
        <v>411605</v>
      </c>
      <c r="AF32" s="8">
        <f t="shared" si="39"/>
        <v>382620.70187420805</v>
      </c>
      <c r="AG32" s="8">
        <f t="shared" si="40"/>
        <v>214660.11570756583</v>
      </c>
      <c r="AH32">
        <f>IF(AG32&lt;=0,0,(AG32-137512.144)/562102.636)</f>
        <v>0.1372489057453305</v>
      </c>
      <c r="AI32" s="8">
        <f>IF(AG32&lt;=0,0,(AG32-66510.744)/554033.403)</f>
        <v>0.26740151569447124</v>
      </c>
      <c r="AJ32">
        <f>IF(AVERAGE($AH$21:$AH$22)&gt;0,IF(AH32-MAX($AH$21:$AH$22)&lt;=0,0,AH32-MAX($AH$21:$AH$22)),AH32)</f>
        <v>0.1372489057453305</v>
      </c>
      <c r="AK32" s="8">
        <f t="shared" si="44"/>
        <v>0.26740151569447124</v>
      </c>
      <c r="AL32">
        <f t="shared" si="45"/>
        <v>0.1372489057453305</v>
      </c>
      <c r="AM32" s="8">
        <f t="shared" si="46"/>
        <v>0.26740151569447124</v>
      </c>
      <c r="AN32">
        <f>AL32*$AO$5</f>
        <v>0.50324598773287843</v>
      </c>
      <c r="AO32" s="8">
        <f>AM32*$AO$5</f>
        <v>0.98047222421306113</v>
      </c>
      <c r="AP32">
        <f t="shared" si="31"/>
        <v>3.0194759263972708</v>
      </c>
      <c r="AQ32" s="8">
        <f>AO32*$AO$2</f>
        <v>5.8828333452783665</v>
      </c>
      <c r="AR32">
        <v>12.5</v>
      </c>
      <c r="AS32" s="15">
        <f t="shared" si="33"/>
        <v>75</v>
      </c>
      <c r="AT32">
        <f t="shared" si="14"/>
        <v>71.980524073602723</v>
      </c>
      <c r="AU32" s="8">
        <f t="shared" si="15"/>
        <v>3.5990262036801361</v>
      </c>
      <c r="AV32" s="20">
        <f t="shared" si="38"/>
        <v>69.117166654721629</v>
      </c>
      <c r="AW32" s="8">
        <f t="shared" si="16"/>
        <v>3.4558583327360815</v>
      </c>
      <c r="AX32">
        <f t="shared" si="25"/>
        <v>7.1516242382651427</v>
      </c>
      <c r="AY32" s="8">
        <f t="shared" si="26"/>
        <v>3.5246876427425522</v>
      </c>
    </row>
    <row r="33" spans="1:54" x14ac:dyDescent="0.25">
      <c r="A33" t="s">
        <v>1</v>
      </c>
      <c r="AC33" s="9">
        <v>11</v>
      </c>
      <c r="AD33" s="15" t="s">
        <v>88</v>
      </c>
      <c r="AE33" s="8">
        <v>764937</v>
      </c>
      <c r="AF33" s="8">
        <f t="shared" si="39"/>
        <v>706099.66234028235</v>
      </c>
      <c r="AG33" s="8">
        <f t="shared" si="40"/>
        <v>538139.07617364009</v>
      </c>
      <c r="AH33">
        <f t="shared" si="41"/>
        <v>0.71272914680592259</v>
      </c>
      <c r="AI33" s="8">
        <f t="shared" si="42"/>
        <v>0.85126335275066445</v>
      </c>
      <c r="AJ33">
        <f t="shared" si="43"/>
        <v>0.71272914680592259</v>
      </c>
      <c r="AK33" s="8">
        <f t="shared" si="44"/>
        <v>0.85126335275066445</v>
      </c>
      <c r="AL33">
        <f t="shared" si="45"/>
        <v>0.71272914680592259</v>
      </c>
      <c r="AM33" s="8">
        <f t="shared" si="46"/>
        <v>0.85126335275066445</v>
      </c>
      <c r="AN33">
        <f>AL33*$AO$5</f>
        <v>2.6133402049550494</v>
      </c>
      <c r="AO33" s="8">
        <f t="shared" ref="AO33:AO37" si="47">AM33*$AO$5</f>
        <v>3.1212989600857695</v>
      </c>
      <c r="AP33">
        <f t="shared" si="31"/>
        <v>15.680041229730296</v>
      </c>
      <c r="AQ33" s="8">
        <f t="shared" si="32"/>
        <v>18.727793760514615</v>
      </c>
      <c r="AR33">
        <v>12.5</v>
      </c>
      <c r="AS33" s="15">
        <f t="shared" si="33"/>
        <v>75</v>
      </c>
      <c r="AT33">
        <f t="shared" si="14"/>
        <v>59.319958770269707</v>
      </c>
      <c r="AU33" s="8">
        <f t="shared" si="15"/>
        <v>2.9659979385134854</v>
      </c>
      <c r="AV33" s="20">
        <f t="shared" si="38"/>
        <v>56.272206239485385</v>
      </c>
      <c r="AW33" s="8">
        <f t="shared" si="16"/>
        <v>2.8136103119742693</v>
      </c>
      <c r="AX33">
        <f t="shared" si="25"/>
        <v>1.1349452064793462</v>
      </c>
      <c r="AY33" s="8">
        <f t="shared" si="26"/>
        <v>0.90142288449580454</v>
      </c>
    </row>
    <row r="34" spans="1:54" x14ac:dyDescent="0.25">
      <c r="A34" t="s">
        <v>3</v>
      </c>
      <c r="AC34" s="9">
        <v>12</v>
      </c>
      <c r="AD34" s="15" t="s">
        <v>89</v>
      </c>
      <c r="AE34" s="8">
        <v>380956</v>
      </c>
      <c r="AF34" s="8">
        <f t="shared" si="39"/>
        <v>349211.79372341541</v>
      </c>
      <c r="AG34" s="8">
        <f t="shared" si="40"/>
        <v>181251.20755677318</v>
      </c>
      <c r="AH34">
        <f t="shared" si="41"/>
        <v>7.781330446700338E-2</v>
      </c>
      <c r="AI34" s="8">
        <f t="shared" si="42"/>
        <v>0.20710026315285754</v>
      </c>
      <c r="AJ34">
        <f t="shared" si="43"/>
        <v>7.781330446700338E-2</v>
      </c>
      <c r="AK34" s="8">
        <f t="shared" si="44"/>
        <v>0.20710026315285754</v>
      </c>
      <c r="AL34">
        <f t="shared" si="45"/>
        <v>7.781330446700338E-2</v>
      </c>
      <c r="AM34" s="8">
        <f t="shared" si="46"/>
        <v>0.20710026315285754</v>
      </c>
      <c r="AN34">
        <f t="shared" ref="AN34:AN37" si="48">AL34*$AO$5</f>
        <v>0.28531544971234574</v>
      </c>
      <c r="AO34" s="8">
        <f t="shared" si="47"/>
        <v>0.7593676315604776</v>
      </c>
      <c r="AP34">
        <f t="shared" si="31"/>
        <v>1.7118926982740743</v>
      </c>
      <c r="AQ34" s="8">
        <f t="shared" si="32"/>
        <v>4.5562057893628651</v>
      </c>
      <c r="AR34">
        <v>12.5</v>
      </c>
      <c r="AS34" s="15">
        <f t="shared" si="33"/>
        <v>75</v>
      </c>
      <c r="AT34">
        <f t="shared" si="14"/>
        <v>73.28810730172593</v>
      </c>
      <c r="AU34" s="8">
        <f t="shared" si="15"/>
        <v>3.6644053650862967</v>
      </c>
      <c r="AV34" s="20">
        <f t="shared" si="38"/>
        <v>70.443794210637137</v>
      </c>
      <c r="AW34" s="8">
        <f t="shared" si="16"/>
        <v>3.5221897105318569</v>
      </c>
      <c r="AX34">
        <f t="shared" si="25"/>
        <v>12.84334714008912</v>
      </c>
      <c r="AY34" s="8">
        <f t="shared" si="26"/>
        <v>4.6383195229086382</v>
      </c>
    </row>
    <row r="35" spans="1:54" x14ac:dyDescent="0.25">
      <c r="A35" s="1"/>
      <c r="B35" s="2"/>
      <c r="C35" t="s">
        <v>7</v>
      </c>
      <c r="E35" t="s">
        <v>8</v>
      </c>
      <c r="F35" s="8"/>
      <c r="G35" t="s">
        <v>5</v>
      </c>
      <c r="H35" s="8"/>
      <c r="I35" s="27" t="s">
        <v>178</v>
      </c>
      <c r="AC35" s="9">
        <v>13</v>
      </c>
      <c r="AD35" s="15" t="s">
        <v>90</v>
      </c>
      <c r="AE35" s="8">
        <v>322616</v>
      </c>
      <c r="AF35" s="8">
        <f t="shared" si="39"/>
        <v>293693.73150083347</v>
      </c>
      <c r="AG35" s="8">
        <f t="shared" si="40"/>
        <v>125733.14533419124</v>
      </c>
      <c r="AH35">
        <f t="shared" si="41"/>
        <v>-2.0955245379437711E-2</v>
      </c>
      <c r="AI35" s="8">
        <f t="shared" si="42"/>
        <v>0.1068931963551505</v>
      </c>
      <c r="AJ35">
        <f t="shared" si="43"/>
        <v>-2.0955245379437711E-2</v>
      </c>
      <c r="AK35" s="8">
        <f t="shared" si="44"/>
        <v>0.1068931963551505</v>
      </c>
      <c r="AL35">
        <f t="shared" si="45"/>
        <v>0</v>
      </c>
      <c r="AM35" s="8">
        <f t="shared" si="46"/>
        <v>0.1068931963551505</v>
      </c>
      <c r="AN35">
        <f t="shared" si="48"/>
        <v>0</v>
      </c>
      <c r="AO35" s="8">
        <f t="shared" si="47"/>
        <v>0.39194171996888516</v>
      </c>
      <c r="AP35">
        <f t="shared" si="31"/>
        <v>0</v>
      </c>
      <c r="AQ35" s="8">
        <f t="shared" si="32"/>
        <v>2.3516503198133112</v>
      </c>
      <c r="AR35">
        <v>12.5</v>
      </c>
      <c r="AS35" s="15">
        <f t="shared" si="33"/>
        <v>75</v>
      </c>
      <c r="AT35">
        <f t="shared" si="14"/>
        <v>75</v>
      </c>
      <c r="AU35" s="8">
        <f t="shared" si="15"/>
        <v>3.75</v>
      </c>
      <c r="AV35" s="20">
        <f t="shared" si="38"/>
        <v>72.648349680186683</v>
      </c>
      <c r="AW35" s="8">
        <f t="shared" si="16"/>
        <v>3.6324174840093342</v>
      </c>
      <c r="AY35" s="8">
        <f t="shared" si="26"/>
        <v>9.2677490018100102</v>
      </c>
      <c r="BA35" t="s">
        <v>234</v>
      </c>
      <c r="BB35" t="s">
        <v>235</v>
      </c>
    </row>
    <row r="36" spans="1:54" x14ac:dyDescent="0.25">
      <c r="A36" s="1" t="s">
        <v>9</v>
      </c>
      <c r="B36" s="2" t="s">
        <v>10</v>
      </c>
      <c r="C36" s="7" t="s">
        <v>14</v>
      </c>
      <c r="D36" s="6" t="s">
        <v>15</v>
      </c>
      <c r="E36" s="7" t="s">
        <v>16</v>
      </c>
      <c r="F36" s="6" t="s">
        <v>17</v>
      </c>
      <c r="G36" s="7" t="s">
        <v>12</v>
      </c>
      <c r="H36" s="6" t="s">
        <v>13</v>
      </c>
      <c r="I36" s="45" t="s">
        <v>179</v>
      </c>
      <c r="AC36" s="9">
        <v>14</v>
      </c>
      <c r="AD36" s="15" t="s">
        <v>91</v>
      </c>
      <c r="AE36" s="8">
        <v>435019</v>
      </c>
      <c r="AF36" s="8">
        <f t="shared" si="39"/>
        <v>393307.60594803363</v>
      </c>
      <c r="AG36" s="8">
        <f t="shared" si="40"/>
        <v>225347.0197813914</v>
      </c>
      <c r="AH36">
        <f t="shared" si="41"/>
        <v>0.15626127713336571</v>
      </c>
      <c r="AI36" s="8">
        <f t="shared" si="42"/>
        <v>0.28669079322892627</v>
      </c>
      <c r="AJ36">
        <f t="shared" si="43"/>
        <v>0.15626127713336571</v>
      </c>
      <c r="AK36" s="8">
        <f t="shared" si="44"/>
        <v>0.28669079322892627</v>
      </c>
      <c r="AL36">
        <f t="shared" si="45"/>
        <v>0.15626127713336571</v>
      </c>
      <c r="AM36" s="8">
        <f t="shared" si="46"/>
        <v>0.28669079322892627</v>
      </c>
      <c r="AN36">
        <f t="shared" si="48"/>
        <v>0.57295801615567421</v>
      </c>
      <c r="AO36" s="8">
        <f t="shared" si="47"/>
        <v>1.0511995751727297</v>
      </c>
      <c r="AP36">
        <f t="shared" si="31"/>
        <v>3.4377480969340453</v>
      </c>
      <c r="AQ36" s="8">
        <f t="shared" si="32"/>
        <v>6.3071974510363784</v>
      </c>
      <c r="AR36">
        <v>12.5</v>
      </c>
      <c r="AS36" s="15">
        <f t="shared" si="33"/>
        <v>75</v>
      </c>
      <c r="AT36">
        <f t="shared" si="14"/>
        <v>71.562251903065956</v>
      </c>
      <c r="AU36" s="8">
        <f t="shared" si="15"/>
        <v>3.5781125951532977</v>
      </c>
      <c r="AV36" s="20">
        <f t="shared" si="38"/>
        <v>68.692802548963627</v>
      </c>
      <c r="AW36" s="8">
        <f t="shared" si="16"/>
        <v>3.4346401274481813</v>
      </c>
      <c r="AX36">
        <f t="shared" si="25"/>
        <v>6.2449821701789663</v>
      </c>
      <c r="AY36" s="8">
        <f t="shared" si="26"/>
        <v>3.2673530398676318</v>
      </c>
      <c r="AZ36" t="s">
        <v>107</v>
      </c>
      <c r="BA36">
        <f>AVERAGE(AX32:AX37)</f>
        <v>5.9461095346265429</v>
      </c>
      <c r="BB36">
        <f>AVERAGE(AY32:AY37)</f>
        <v>3.8784289632137683</v>
      </c>
    </row>
    <row r="37" spans="1:54" x14ac:dyDescent="0.25">
      <c r="A37" s="9">
        <v>1</v>
      </c>
      <c r="B37" s="9" t="s">
        <v>101</v>
      </c>
      <c r="C37" s="18">
        <v>0</v>
      </c>
      <c r="D37" s="22">
        <v>49515</v>
      </c>
      <c r="E37" s="18">
        <v>0</v>
      </c>
      <c r="F37" s="22">
        <v>0</v>
      </c>
      <c r="G37" s="18">
        <v>297809</v>
      </c>
      <c r="H37" s="85">
        <v>297809</v>
      </c>
      <c r="AC37" s="9">
        <v>15</v>
      </c>
      <c r="AD37" s="15" t="s">
        <v>92</v>
      </c>
      <c r="AE37" s="6">
        <v>581254</v>
      </c>
      <c r="AF37" s="8">
        <f t="shared" si="39"/>
        <v>521946.26022799936</v>
      </c>
      <c r="AG37" s="8">
        <f t="shared" si="40"/>
        <v>353985.67406135716</v>
      </c>
      <c r="AH37">
        <f t="shared" si="41"/>
        <v>0.38511388525379042</v>
      </c>
      <c r="AI37" s="8">
        <f t="shared" si="42"/>
        <v>0.5188765307375468</v>
      </c>
      <c r="AJ37">
        <f t="shared" si="43"/>
        <v>0.38511388525379042</v>
      </c>
      <c r="AK37" s="8">
        <f t="shared" si="44"/>
        <v>0.5188765307375468</v>
      </c>
      <c r="AL37">
        <f t="shared" si="45"/>
        <v>0.38511388525379042</v>
      </c>
      <c r="AM37" s="8">
        <f t="shared" si="46"/>
        <v>0.5188765307375468</v>
      </c>
      <c r="AN37">
        <f t="shared" si="48"/>
        <v>1.4120842459305649</v>
      </c>
      <c r="AO37" s="8">
        <f t="shared" si="47"/>
        <v>1.9025472793710048</v>
      </c>
      <c r="AP37">
        <f t="shared" si="31"/>
        <v>8.4725054755833895</v>
      </c>
      <c r="AQ37" s="8">
        <f t="shared" si="32"/>
        <v>11.415283676226029</v>
      </c>
      <c r="AR37">
        <v>12.5</v>
      </c>
      <c r="AS37" s="15">
        <f t="shared" si="33"/>
        <v>75</v>
      </c>
      <c r="AT37">
        <f t="shared" si="14"/>
        <v>66.52749452441661</v>
      </c>
      <c r="AU37" s="8">
        <f t="shared" si="15"/>
        <v>3.3263747262208305</v>
      </c>
      <c r="AV37" s="20">
        <f t="shared" si="38"/>
        <v>63.584716323773975</v>
      </c>
      <c r="AW37" s="8">
        <f t="shared" si="16"/>
        <v>3.1792358161886987</v>
      </c>
      <c r="AX37">
        <f t="shared" si="25"/>
        <v>2.3556489181201412</v>
      </c>
      <c r="AY37" s="8">
        <f t="shared" si="26"/>
        <v>1.6710416874579725</v>
      </c>
      <c r="AZ37" t="s">
        <v>236</v>
      </c>
      <c r="BA37">
        <f>STDEV(AX32:AX37)</f>
        <v>4.6139242183389211</v>
      </c>
      <c r="BB37">
        <f>STDEV(AY32:AY37)</f>
        <v>2.961616944337087</v>
      </c>
    </row>
    <row r="38" spans="1:54" x14ac:dyDescent="0.25">
      <c r="A38" s="9">
        <v>2</v>
      </c>
      <c r="B38" s="9" t="s">
        <v>102</v>
      </c>
      <c r="C38" s="9">
        <v>0</v>
      </c>
      <c r="D38" s="15">
        <v>39546</v>
      </c>
      <c r="E38" s="9">
        <v>0</v>
      </c>
      <c r="F38" s="15">
        <v>0</v>
      </c>
      <c r="G38" s="9">
        <v>515182</v>
      </c>
      <c r="H38" s="84">
        <v>510487</v>
      </c>
      <c r="AC38" s="86">
        <v>16</v>
      </c>
      <c r="AD38" s="105" t="s">
        <v>93</v>
      </c>
      <c r="AE38" s="104">
        <v>19244</v>
      </c>
      <c r="AF38" s="105">
        <f t="shared" si="39"/>
        <v>17163.703192858702</v>
      </c>
      <c r="AG38" s="105">
        <f>IF(AVERAGE($AF$29:$AF$31,$AF$42)&gt;0,IF(AF38-AVERAGE($AF$29:$AF$31,$AF$42)&lt;=0,0,AF38-AVERAGE($AF$29:$AF$31,$AF$42)),AF38)</f>
        <v>0</v>
      </c>
      <c r="AH38" s="103">
        <f t="shared" si="41"/>
        <v>0</v>
      </c>
      <c r="AI38" s="105">
        <f t="shared" si="42"/>
        <v>0</v>
      </c>
      <c r="AJ38" s="103">
        <f>IF(AVERAGE($AH$38:$AH$39)&gt;0,IF(AH38-MAX($AH$38:$AH$39)&lt;=0,0,AH38-MAX($AH$38:$AH$39)),AH38)</f>
        <v>0</v>
      </c>
      <c r="AK38" s="105">
        <f>IF(AVERAGE($AI$38:$AI$39)&gt;0,IF(AI38-MAX($AI$38:$AI$39)&lt;=0,0,AI38-MAX($AI$38:$AI$39)),AI38)</f>
        <v>0</v>
      </c>
      <c r="AL38" s="103">
        <f t="shared" si="45"/>
        <v>0</v>
      </c>
      <c r="AM38" s="105">
        <f t="shared" si="46"/>
        <v>0</v>
      </c>
      <c r="AN38" s="103">
        <f>AL38*$AP$5</f>
        <v>0</v>
      </c>
      <c r="AO38" s="105">
        <f>AM38*$AP$5</f>
        <v>0</v>
      </c>
      <c r="AP38" s="103">
        <f>AN38*$AP$2</f>
        <v>0</v>
      </c>
      <c r="AQ38" s="105">
        <f>AO38*$AP$2</f>
        <v>0</v>
      </c>
      <c r="AR38" s="103">
        <v>0</v>
      </c>
      <c r="AS38" s="105">
        <f t="shared" ref="AS38:AS45" si="49">AR38*$AP$2</f>
        <v>0</v>
      </c>
      <c r="AT38" s="103">
        <f t="shared" si="14"/>
        <v>0</v>
      </c>
      <c r="AU38" s="105">
        <f t="shared" si="15"/>
        <v>0</v>
      </c>
      <c r="AV38" s="86">
        <f t="shared" si="38"/>
        <v>0</v>
      </c>
      <c r="AW38" s="105">
        <f t="shared" si="16"/>
        <v>0</v>
      </c>
      <c r="AY38" s="8"/>
      <c r="AZ38" t="s">
        <v>237</v>
      </c>
      <c r="BA38">
        <f>(BA37/BA36)*100</f>
        <v>77.595681537149957</v>
      </c>
      <c r="BB38">
        <f>(BB37/BB36)*100</f>
        <v>76.361252775995496</v>
      </c>
    </row>
    <row r="39" spans="1:54" x14ac:dyDescent="0.25">
      <c r="A39" s="9">
        <v>3</v>
      </c>
      <c r="B39" s="9" t="s">
        <v>81</v>
      </c>
      <c r="C39" s="9">
        <v>347718</v>
      </c>
      <c r="D39" s="15">
        <v>347976</v>
      </c>
      <c r="E39" s="9">
        <v>0</v>
      </c>
      <c r="F39" s="15">
        <v>51489</v>
      </c>
      <c r="G39" s="9">
        <v>977825</v>
      </c>
      <c r="H39" s="15">
        <v>977825</v>
      </c>
      <c r="I39">
        <f t="shared" ref="I39:I60" si="50">D39/F39</f>
        <v>6.7582590456213945</v>
      </c>
      <c r="AC39" s="86">
        <v>17</v>
      </c>
      <c r="AD39" s="105" t="s">
        <v>94</v>
      </c>
      <c r="AE39" s="105">
        <v>17486</v>
      </c>
      <c r="AF39" s="105">
        <f t="shared" si="39"/>
        <v>15491.082206247453</v>
      </c>
      <c r="AG39" s="105">
        <f t="shared" si="40"/>
        <v>0</v>
      </c>
      <c r="AH39" s="103">
        <f t="shared" si="41"/>
        <v>0</v>
      </c>
      <c r="AI39" s="105">
        <f t="shared" si="42"/>
        <v>0</v>
      </c>
      <c r="AJ39" s="103">
        <f t="shared" ref="AJ39:AJ46" si="51">IF(AVERAGE($AH$38:$AH$39)&gt;0,IF(AH39-MAX($AH$38:$AH$39)&lt;=0,0,AH39-MAX($AH$38:$AH$39)),AH39)</f>
        <v>0</v>
      </c>
      <c r="AK39" s="105">
        <f t="shared" ref="AK39:AK46" si="52">IF(AVERAGE($AI$38:$AI$39)&gt;0,IF(AI39-MAX($AI$38:$AI$39)&lt;=0,0,AI39-MAX($AI$38:$AI$39)),AI39)</f>
        <v>0</v>
      </c>
      <c r="AL39" s="103">
        <f t="shared" si="45"/>
        <v>0</v>
      </c>
      <c r="AM39" s="105">
        <f t="shared" si="46"/>
        <v>0</v>
      </c>
      <c r="AN39" s="103">
        <f t="shared" ref="AN39:AN46" si="53">AL39*$AP$5</f>
        <v>0</v>
      </c>
      <c r="AO39" s="105">
        <f t="shared" ref="AO39:AO46" si="54">AM39*$AP$5</f>
        <v>0</v>
      </c>
      <c r="AP39" s="103">
        <f t="shared" ref="AP39:AP46" si="55">AN39*$AP$2</f>
        <v>0</v>
      </c>
      <c r="AQ39" s="105">
        <f t="shared" ref="AQ39:AQ46" si="56">AO39*$AP$2</f>
        <v>0</v>
      </c>
      <c r="AR39" s="103">
        <v>0</v>
      </c>
      <c r="AS39" s="105">
        <f t="shared" si="49"/>
        <v>0</v>
      </c>
      <c r="AT39" s="103">
        <f t="shared" si="14"/>
        <v>0</v>
      </c>
      <c r="AU39" s="105">
        <f t="shared" si="15"/>
        <v>0</v>
      </c>
      <c r="AV39" s="86">
        <f t="shared" si="38"/>
        <v>0</v>
      </c>
      <c r="AW39" s="105">
        <f t="shared" si="16"/>
        <v>0</v>
      </c>
      <c r="AY39" s="8"/>
    </row>
    <row r="40" spans="1:54" x14ac:dyDescent="0.25">
      <c r="A40" s="9">
        <v>4</v>
      </c>
      <c r="B40" s="9" t="s">
        <v>82</v>
      </c>
      <c r="C40" s="9">
        <v>402171</v>
      </c>
      <c r="D40" s="15">
        <v>403080</v>
      </c>
      <c r="E40" s="9">
        <v>0</v>
      </c>
      <c r="F40" s="15">
        <v>62620</v>
      </c>
      <c r="G40" s="9">
        <v>274808</v>
      </c>
      <c r="H40" s="15">
        <v>274808</v>
      </c>
      <c r="I40">
        <f t="shared" si="50"/>
        <v>6.4369211114659857</v>
      </c>
      <c r="AC40" s="9">
        <v>18</v>
      </c>
      <c r="AD40" s="15" t="s">
        <v>95</v>
      </c>
      <c r="AE40" s="8">
        <v>1560896</v>
      </c>
      <c r="AF40" s="8">
        <f t="shared" si="39"/>
        <v>1373600.5279488631</v>
      </c>
      <c r="AG40" s="8">
        <f t="shared" si="40"/>
        <v>1205639.941782221</v>
      </c>
      <c r="AH40">
        <f t="shared" si="41"/>
        <v>1.9002362368964603</v>
      </c>
      <c r="AI40" s="8">
        <f t="shared" si="42"/>
        <v>2.0560659187948294</v>
      </c>
      <c r="AJ40" s="11">
        <f t="shared" si="51"/>
        <v>1.9002362368964603</v>
      </c>
      <c r="AK40" s="15">
        <f t="shared" si="52"/>
        <v>2.0560659187948294</v>
      </c>
      <c r="AL40">
        <f t="shared" si="45"/>
        <v>1.9002362368964603</v>
      </c>
      <c r="AM40" s="8">
        <f t="shared" si="46"/>
        <v>2.0560659187948294</v>
      </c>
      <c r="AN40">
        <f t="shared" si="53"/>
        <v>4.4338845527584079</v>
      </c>
      <c r="AO40" s="8">
        <f t="shared" si="54"/>
        <v>4.7974871438546023</v>
      </c>
      <c r="AP40">
        <f t="shared" si="55"/>
        <v>26.603307316550449</v>
      </c>
      <c r="AQ40" s="8">
        <f t="shared" si="56"/>
        <v>28.784922863127612</v>
      </c>
      <c r="AR40">
        <v>12.5</v>
      </c>
      <c r="AS40" s="8">
        <f t="shared" si="49"/>
        <v>75</v>
      </c>
      <c r="AT40">
        <f t="shared" si="14"/>
        <v>48.396692683449551</v>
      </c>
      <c r="AU40" s="8">
        <f t="shared" si="15"/>
        <v>2.4198346341724775</v>
      </c>
      <c r="AV40" s="20">
        <f t="shared" si="38"/>
        <v>46.215077136872388</v>
      </c>
      <c r="AW40" s="8">
        <f t="shared" si="16"/>
        <v>2.3107538568436192</v>
      </c>
      <c r="AX40">
        <f t="shared" si="25"/>
        <v>0.54575950396973016</v>
      </c>
      <c r="AY40" s="8">
        <f t="shared" si="26"/>
        <v>0.4816592077382858</v>
      </c>
    </row>
    <row r="41" spans="1:54" x14ac:dyDescent="0.25">
      <c r="A41" s="9">
        <v>5</v>
      </c>
      <c r="B41" s="9" t="s">
        <v>83</v>
      </c>
      <c r="C41" s="9">
        <v>2884696</v>
      </c>
      <c r="D41" s="15">
        <v>2875301</v>
      </c>
      <c r="E41" s="9">
        <v>434846</v>
      </c>
      <c r="F41" s="15">
        <v>434846</v>
      </c>
      <c r="G41" s="9">
        <v>276015</v>
      </c>
      <c r="H41" s="15">
        <v>276015</v>
      </c>
      <c r="I41">
        <f t="shared" si="50"/>
        <v>6.6122282371230279</v>
      </c>
      <c r="AC41" s="9">
        <v>19</v>
      </c>
      <c r="AD41" s="15" t="s">
        <v>96</v>
      </c>
      <c r="AE41" s="8">
        <v>1911200</v>
      </c>
      <c r="AF41" s="8">
        <f t="shared" si="39"/>
        <v>1670733.246595155</v>
      </c>
      <c r="AG41" s="8">
        <f t="shared" si="40"/>
        <v>1502772.6604285128</v>
      </c>
      <c r="AH41">
        <f t="shared" si="41"/>
        <v>2.4288456039699353</v>
      </c>
      <c r="AI41" s="8">
        <f t="shared" si="42"/>
        <v>2.5923742298774588</v>
      </c>
      <c r="AJ41" s="11">
        <f t="shared" si="51"/>
        <v>2.4288456039699353</v>
      </c>
      <c r="AK41" s="15">
        <f t="shared" si="52"/>
        <v>2.5923742298774588</v>
      </c>
      <c r="AL41">
        <f t="shared" si="45"/>
        <v>2.4288456039699353</v>
      </c>
      <c r="AM41" s="8">
        <f t="shared" si="46"/>
        <v>2.5923742298774588</v>
      </c>
      <c r="AN41">
        <f t="shared" si="53"/>
        <v>5.6673064092631824</v>
      </c>
      <c r="AO41" s="8">
        <f t="shared" si="54"/>
        <v>6.0488732030474042</v>
      </c>
      <c r="AP41">
        <f t="shared" si="55"/>
        <v>34.003838455579093</v>
      </c>
      <c r="AQ41" s="8">
        <f t="shared" si="56"/>
        <v>36.293239218284427</v>
      </c>
      <c r="AR41">
        <v>12.5</v>
      </c>
      <c r="AS41" s="8">
        <f t="shared" si="49"/>
        <v>75</v>
      </c>
      <c r="AT41">
        <f t="shared" si="14"/>
        <v>40.996161544420907</v>
      </c>
      <c r="AU41" s="8">
        <f t="shared" si="15"/>
        <v>2.0498080772210452</v>
      </c>
      <c r="AV41" s="20">
        <f t="shared" si="38"/>
        <v>38.706760781715573</v>
      </c>
      <c r="AW41" s="8">
        <f t="shared" si="16"/>
        <v>1.9353380390857786</v>
      </c>
      <c r="AX41">
        <f t="shared" si="25"/>
        <v>0.36169000389155681</v>
      </c>
      <c r="AY41" s="8">
        <f t="shared" si="26"/>
        <v>0.31995017487071165</v>
      </c>
    </row>
    <row r="42" spans="1:54" x14ac:dyDescent="0.25">
      <c r="A42" s="9">
        <v>6</v>
      </c>
      <c r="B42" s="9" t="s">
        <v>84</v>
      </c>
      <c r="C42" s="9">
        <v>2026440</v>
      </c>
      <c r="D42" s="15">
        <v>2022114</v>
      </c>
      <c r="E42" s="9">
        <v>312340</v>
      </c>
      <c r="F42" s="15">
        <v>312340</v>
      </c>
      <c r="G42" s="9">
        <v>534860</v>
      </c>
      <c r="H42" s="15">
        <v>534221</v>
      </c>
      <c r="I42">
        <f t="shared" si="50"/>
        <v>6.4740795287187041</v>
      </c>
      <c r="AC42" s="9">
        <v>20</v>
      </c>
      <c r="AD42" s="15" t="s">
        <v>104</v>
      </c>
      <c r="AE42" s="8">
        <v>84578</v>
      </c>
      <c r="AF42" s="8">
        <f t="shared" si="39"/>
        <v>73450.022187959141</v>
      </c>
      <c r="AG42" s="8">
        <f t="shared" si="40"/>
        <v>0</v>
      </c>
      <c r="AH42">
        <f t="shared" si="41"/>
        <v>0</v>
      </c>
      <c r="AI42" s="8">
        <f t="shared" si="42"/>
        <v>0</v>
      </c>
      <c r="AJ42" s="11">
        <f t="shared" si="51"/>
        <v>0</v>
      </c>
      <c r="AK42" s="15">
        <f t="shared" si="52"/>
        <v>0</v>
      </c>
      <c r="AL42">
        <f t="shared" si="45"/>
        <v>0</v>
      </c>
      <c r="AM42" s="8">
        <f t="shared" si="46"/>
        <v>0</v>
      </c>
      <c r="AO42" s="8"/>
      <c r="AQ42" s="8"/>
      <c r="AR42">
        <v>0</v>
      </c>
      <c r="AS42" s="8">
        <f t="shared" si="49"/>
        <v>0</v>
      </c>
      <c r="AT42">
        <f t="shared" si="14"/>
        <v>0</v>
      </c>
      <c r="AU42" s="8">
        <f t="shared" si="15"/>
        <v>0</v>
      </c>
      <c r="AV42" s="20">
        <f t="shared" si="38"/>
        <v>0</v>
      </c>
      <c r="AW42" s="8">
        <f t="shared" si="16"/>
        <v>0</v>
      </c>
      <c r="AY42" s="8"/>
    </row>
    <row r="43" spans="1:54" x14ac:dyDescent="0.25">
      <c r="A43" s="9">
        <v>7</v>
      </c>
      <c r="B43" s="9" t="s">
        <v>85</v>
      </c>
      <c r="C43" s="9">
        <v>4948429</v>
      </c>
      <c r="D43" s="15">
        <v>4934383</v>
      </c>
      <c r="E43" s="9">
        <v>750177</v>
      </c>
      <c r="F43" s="15">
        <v>750177</v>
      </c>
      <c r="G43" s="9">
        <v>552323</v>
      </c>
      <c r="H43" s="15">
        <v>552323</v>
      </c>
      <c r="I43">
        <f t="shared" si="50"/>
        <v>6.5776250138300698</v>
      </c>
      <c r="AC43" s="9">
        <v>21</v>
      </c>
      <c r="AD43" s="15" t="s">
        <v>97</v>
      </c>
      <c r="AE43" s="8">
        <v>1485173</v>
      </c>
      <c r="AF43" s="8">
        <f t="shared" si="39"/>
        <v>1281338.5802269385</v>
      </c>
      <c r="AG43" s="8">
        <f t="shared" si="40"/>
        <v>1113377.9940602963</v>
      </c>
      <c r="AH43">
        <f t="shared" si="41"/>
        <v>1.7360990459050192</v>
      </c>
      <c r="AI43" s="8">
        <f t="shared" si="42"/>
        <v>1.8895381476851068</v>
      </c>
      <c r="AJ43" s="11">
        <f t="shared" si="51"/>
        <v>1.7360990459050192</v>
      </c>
      <c r="AK43" s="15">
        <f t="shared" si="52"/>
        <v>1.8895381476851068</v>
      </c>
      <c r="AL43">
        <f t="shared" si="45"/>
        <v>1.7360990459050192</v>
      </c>
      <c r="AM43" s="8">
        <f t="shared" si="46"/>
        <v>1.8895381476851068</v>
      </c>
      <c r="AN43">
        <f t="shared" si="53"/>
        <v>4.0508977737783782</v>
      </c>
      <c r="AO43" s="8">
        <f t="shared" si="54"/>
        <v>4.408922344598583</v>
      </c>
      <c r="AP43">
        <f t="shared" si="55"/>
        <v>24.305386642670271</v>
      </c>
      <c r="AQ43" s="8">
        <f t="shared" si="56"/>
        <v>26.453534067591498</v>
      </c>
      <c r="AR43">
        <v>12.5</v>
      </c>
      <c r="AS43" s="8">
        <f t="shared" si="49"/>
        <v>75</v>
      </c>
      <c r="AT43">
        <f t="shared" si="14"/>
        <v>50.694613357329729</v>
      </c>
      <c r="AU43" s="8">
        <f t="shared" si="15"/>
        <v>2.5347306678664863</v>
      </c>
      <c r="AV43" s="20">
        <f t="shared" si="38"/>
        <v>48.546465932408502</v>
      </c>
      <c r="AW43" s="8">
        <f t="shared" si="16"/>
        <v>2.427323296620425</v>
      </c>
      <c r="AX43">
        <f t="shared" si="25"/>
        <v>0.62572071906477089</v>
      </c>
      <c r="AY43" s="8">
        <f t="shared" si="26"/>
        <v>0.55054798132114169</v>
      </c>
    </row>
    <row r="44" spans="1:54" x14ac:dyDescent="0.25">
      <c r="A44" s="9">
        <v>8</v>
      </c>
      <c r="B44" s="9" t="s">
        <v>86</v>
      </c>
      <c r="C44" s="9">
        <v>4638103</v>
      </c>
      <c r="D44" s="15">
        <v>4628932</v>
      </c>
      <c r="E44" s="9">
        <v>701083</v>
      </c>
      <c r="F44" s="15">
        <v>701083</v>
      </c>
      <c r="G44" s="9">
        <v>843229</v>
      </c>
      <c r="H44" s="15">
        <v>842853</v>
      </c>
      <c r="I44">
        <f t="shared" si="50"/>
        <v>6.602544919788385</v>
      </c>
      <c r="AC44" s="9">
        <v>22</v>
      </c>
      <c r="AD44" s="15" t="s">
        <v>98</v>
      </c>
      <c r="AE44" s="8">
        <v>1728790</v>
      </c>
      <c r="AF44" s="8">
        <f t="shared" si="39"/>
        <v>1481835.4729587354</v>
      </c>
      <c r="AG44" s="8">
        <f t="shared" si="40"/>
        <v>1313874.8867920933</v>
      </c>
      <c r="AH44">
        <f t="shared" si="41"/>
        <v>2.0927899416434923</v>
      </c>
      <c r="AI44" s="8">
        <f t="shared" si="42"/>
        <v>2.2514240766672571</v>
      </c>
      <c r="AJ44" s="11">
        <f t="shared" si="51"/>
        <v>2.0927899416434923</v>
      </c>
      <c r="AK44" s="15">
        <f t="shared" si="52"/>
        <v>2.2514240766672571</v>
      </c>
      <c r="AL44">
        <f t="shared" si="45"/>
        <v>2.0927899416434923</v>
      </c>
      <c r="AM44" s="8">
        <f t="shared" si="46"/>
        <v>2.2514240766672571</v>
      </c>
      <c r="AN44">
        <f t="shared" si="53"/>
        <v>4.8831765305014825</v>
      </c>
      <c r="AO44" s="8">
        <f t="shared" si="54"/>
        <v>5.2533228455569336</v>
      </c>
      <c r="AP44">
        <f t="shared" si="55"/>
        <v>29.299059183008893</v>
      </c>
      <c r="AQ44" s="8">
        <f t="shared" si="56"/>
        <v>31.519937073341602</v>
      </c>
      <c r="AR44">
        <v>12.5</v>
      </c>
      <c r="AS44" s="8">
        <f t="shared" si="49"/>
        <v>75</v>
      </c>
      <c r="AT44">
        <f t="shared" si="14"/>
        <v>45.700940816991107</v>
      </c>
      <c r="AU44" s="8">
        <f t="shared" si="15"/>
        <v>2.2850470408495553</v>
      </c>
      <c r="AV44" s="20">
        <f t="shared" si="38"/>
        <v>43.480062926658398</v>
      </c>
      <c r="AW44" s="8">
        <f t="shared" si="16"/>
        <v>2.1740031463329199</v>
      </c>
      <c r="AX44">
        <f t="shared" si="25"/>
        <v>0.46794274722132362</v>
      </c>
      <c r="AY44" s="8">
        <f t="shared" si="26"/>
        <v>0.41383391241062056</v>
      </c>
      <c r="BA44" t="s">
        <v>234</v>
      </c>
      <c r="BB44" t="s">
        <v>235</v>
      </c>
    </row>
    <row r="45" spans="1:54" x14ac:dyDescent="0.25">
      <c r="A45" s="9">
        <v>9</v>
      </c>
      <c r="B45" s="9" t="s">
        <v>103</v>
      </c>
      <c r="C45" s="9">
        <v>542945</v>
      </c>
      <c r="D45" s="15">
        <v>545084</v>
      </c>
      <c r="E45" s="9">
        <v>0</v>
      </c>
      <c r="F45" s="15">
        <v>82610</v>
      </c>
      <c r="G45" s="9">
        <v>923140</v>
      </c>
      <c r="H45" s="84">
        <v>918832</v>
      </c>
      <c r="I45">
        <f t="shared" si="50"/>
        <v>6.5982810797724243</v>
      </c>
      <c r="AC45" s="9">
        <v>23</v>
      </c>
      <c r="AD45" s="15" t="s">
        <v>99</v>
      </c>
      <c r="AE45" s="8">
        <v>1355616</v>
      </c>
      <c r="AF45" s="8">
        <f t="shared" si="39"/>
        <v>1154472.5987702913</v>
      </c>
      <c r="AG45" s="8">
        <f t="shared" si="40"/>
        <v>986512.01260364905</v>
      </c>
      <c r="AH45">
        <f t="shared" si="41"/>
        <v>1.5104000839513034</v>
      </c>
      <c r="AI45" s="8">
        <f t="shared" si="42"/>
        <v>1.6605519876996457</v>
      </c>
      <c r="AJ45" s="11">
        <f t="shared" si="51"/>
        <v>1.5104000839513034</v>
      </c>
      <c r="AK45" s="15">
        <f t="shared" si="52"/>
        <v>1.6605519876996457</v>
      </c>
      <c r="AL45">
        <f t="shared" si="45"/>
        <v>1.5104000839513034</v>
      </c>
      <c r="AM45" s="8">
        <f t="shared" si="46"/>
        <v>1.6605519876996457</v>
      </c>
      <c r="AN45">
        <f t="shared" si="53"/>
        <v>3.5242668625530418</v>
      </c>
      <c r="AO45" s="8">
        <f t="shared" si="54"/>
        <v>3.8746213046325071</v>
      </c>
      <c r="AP45">
        <f t="shared" si="55"/>
        <v>21.145601175318252</v>
      </c>
      <c r="AQ45" s="8">
        <f t="shared" si="56"/>
        <v>23.247727827795043</v>
      </c>
      <c r="AR45">
        <v>12.5</v>
      </c>
      <c r="AS45" s="8">
        <f t="shared" si="49"/>
        <v>75</v>
      </c>
      <c r="AT45">
        <f t="shared" si="14"/>
        <v>53.854398824681752</v>
      </c>
      <c r="AU45" s="8">
        <f t="shared" si="15"/>
        <v>2.6927199412340874</v>
      </c>
      <c r="AV45" s="20">
        <f t="shared" si="38"/>
        <v>51.752272172204954</v>
      </c>
      <c r="AW45" s="8">
        <f t="shared" si="16"/>
        <v>2.5876136086102477</v>
      </c>
      <c r="AX45">
        <f t="shared" si="25"/>
        <v>0.76405109097880097</v>
      </c>
      <c r="AY45" s="8">
        <f t="shared" si="26"/>
        <v>0.66783652005332506</v>
      </c>
      <c r="AZ45" t="s">
        <v>107</v>
      </c>
      <c r="BA45">
        <f>AVERAGE(AX40:AX41,AX43:AX46)</f>
        <v>0.62176522301889758</v>
      </c>
      <c r="BB45">
        <f>AVERAGE(AY40:AY41,AY43:AY46)</f>
        <v>0.5447103680149139</v>
      </c>
    </row>
    <row r="46" spans="1:54" x14ac:dyDescent="0.25">
      <c r="A46" s="9">
        <v>10</v>
      </c>
      <c r="B46" s="9" t="s">
        <v>87</v>
      </c>
      <c r="C46" s="3">
        <v>408598</v>
      </c>
      <c r="D46" s="4">
        <v>411605</v>
      </c>
      <c r="E46" s="3">
        <v>0</v>
      </c>
      <c r="F46" s="4">
        <v>62234</v>
      </c>
      <c r="G46" s="3">
        <v>755962</v>
      </c>
      <c r="H46" s="4">
        <v>751169</v>
      </c>
      <c r="I46">
        <f t="shared" si="50"/>
        <v>6.6138284538997976</v>
      </c>
      <c r="AC46" s="9">
        <v>24</v>
      </c>
      <c r="AD46" s="15" t="s">
        <v>100</v>
      </c>
      <c r="AE46" s="6">
        <v>1204691</v>
      </c>
      <c r="AF46" s="8">
        <f t="shared" si="39"/>
        <v>1019365.3858038399</v>
      </c>
      <c r="AG46" s="8">
        <f t="shared" si="40"/>
        <v>851404.79963719763</v>
      </c>
      <c r="AH46">
        <f t="shared" si="41"/>
        <v>1.2700396865550325</v>
      </c>
      <c r="AI46" s="8">
        <f t="shared" si="42"/>
        <v>1.4166908554378219</v>
      </c>
      <c r="AJ46" s="11">
        <f t="shared" si="51"/>
        <v>1.2700396865550325</v>
      </c>
      <c r="AK46" s="15">
        <f t="shared" si="52"/>
        <v>1.4166908554378219</v>
      </c>
      <c r="AL46">
        <f t="shared" si="45"/>
        <v>1.2700396865550325</v>
      </c>
      <c r="AM46" s="8">
        <f t="shared" si="46"/>
        <v>1.4166908554378219</v>
      </c>
      <c r="AN46">
        <f t="shared" si="53"/>
        <v>2.963425935295076</v>
      </c>
      <c r="AO46" s="8">
        <f t="shared" si="54"/>
        <v>3.3056119960215846</v>
      </c>
      <c r="AP46">
        <f t="shared" si="55"/>
        <v>17.780555611770456</v>
      </c>
      <c r="AQ46" s="8">
        <f t="shared" si="56"/>
        <v>19.833671976129509</v>
      </c>
      <c r="AR46">
        <v>12.5</v>
      </c>
      <c r="AS46" s="8">
        <f>AR46*$AP$2</f>
        <v>75</v>
      </c>
      <c r="AT46">
        <f t="shared" si="14"/>
        <v>57.219444388229547</v>
      </c>
      <c r="AU46" s="8">
        <f t="shared" si="15"/>
        <v>2.8609722194114773</v>
      </c>
      <c r="AV46" s="20">
        <f t="shared" si="38"/>
        <v>55.166328023870491</v>
      </c>
      <c r="AW46" s="8">
        <f t="shared" si="16"/>
        <v>2.7583164011935244</v>
      </c>
      <c r="AX46">
        <f t="shared" si="25"/>
        <v>0.96542727298720321</v>
      </c>
      <c r="AY46" s="8">
        <f t="shared" si="26"/>
        <v>0.83443441169539889</v>
      </c>
      <c r="AZ46" t="s">
        <v>236</v>
      </c>
      <c r="BA46">
        <f>STDEV(AX40:AX41,AX43:AX46)</f>
        <v>0.21699855379762364</v>
      </c>
      <c r="BB46">
        <f>STDEV(AY40:AY41,AY43:AY46)</f>
        <v>0.1848001019466502</v>
      </c>
    </row>
    <row r="47" spans="1:54" x14ac:dyDescent="0.25">
      <c r="A47" s="9">
        <v>11</v>
      </c>
      <c r="B47" s="9" t="s">
        <v>88</v>
      </c>
      <c r="C47" s="20">
        <v>764937</v>
      </c>
      <c r="D47" s="8">
        <v>764937</v>
      </c>
      <c r="E47" s="9">
        <v>0</v>
      </c>
      <c r="F47" s="8">
        <v>114769</v>
      </c>
      <c r="G47" s="20">
        <v>444853</v>
      </c>
      <c r="H47" s="8">
        <v>444853</v>
      </c>
      <c r="I47">
        <f t="shared" si="50"/>
        <v>6.6650140717441122</v>
      </c>
      <c r="AV47" s="20"/>
      <c r="AZ47" t="s">
        <v>237</v>
      </c>
      <c r="BA47">
        <f>(BA46/BA45)*100</f>
        <v>34.90040062775082</v>
      </c>
      <c r="BB47">
        <f>(BB46/BB45)*100</f>
        <v>33.926305206951831</v>
      </c>
    </row>
    <row r="48" spans="1:54" x14ac:dyDescent="0.25">
      <c r="A48" s="9">
        <v>12</v>
      </c>
      <c r="B48" s="9" t="s">
        <v>89</v>
      </c>
      <c r="C48" s="20">
        <v>379764</v>
      </c>
      <c r="D48" s="8">
        <v>380956</v>
      </c>
      <c r="E48" s="9">
        <v>0</v>
      </c>
      <c r="F48" s="8">
        <v>55853</v>
      </c>
      <c r="G48" s="20">
        <v>684842</v>
      </c>
      <c r="H48" s="8">
        <v>684304</v>
      </c>
      <c r="I48">
        <f t="shared" si="50"/>
        <v>6.8206900256029224</v>
      </c>
    </row>
    <row r="49" spans="1:9" x14ac:dyDescent="0.25">
      <c r="A49" s="9">
        <v>13</v>
      </c>
      <c r="B49" s="9" t="s">
        <v>90</v>
      </c>
      <c r="C49" s="20">
        <v>320750</v>
      </c>
      <c r="D49" s="8">
        <v>322616</v>
      </c>
      <c r="E49" s="9">
        <v>0</v>
      </c>
      <c r="F49" s="8">
        <v>48005</v>
      </c>
      <c r="G49" s="20">
        <v>379132</v>
      </c>
      <c r="H49" s="8">
        <v>379132</v>
      </c>
      <c r="I49">
        <f t="shared" si="50"/>
        <v>6.7204666180606187</v>
      </c>
    </row>
    <row r="50" spans="1:9" x14ac:dyDescent="0.25">
      <c r="A50" s="9">
        <v>14</v>
      </c>
      <c r="B50" s="9" t="s">
        <v>91</v>
      </c>
      <c r="C50" s="20">
        <v>435019</v>
      </c>
      <c r="D50" s="8">
        <v>435019</v>
      </c>
      <c r="E50" s="9">
        <v>0</v>
      </c>
      <c r="F50" s="8">
        <v>65597</v>
      </c>
      <c r="G50" s="20">
        <v>705590</v>
      </c>
      <c r="H50" s="8">
        <v>705590</v>
      </c>
      <c r="I50">
        <f t="shared" si="50"/>
        <v>6.6316904736497095</v>
      </c>
    </row>
    <row r="51" spans="1:9" x14ac:dyDescent="0.25">
      <c r="A51" s="9">
        <v>15</v>
      </c>
      <c r="B51" s="9" t="s">
        <v>92</v>
      </c>
      <c r="C51" s="7">
        <v>580435</v>
      </c>
      <c r="D51" s="6">
        <v>581254</v>
      </c>
      <c r="E51" s="7">
        <v>0</v>
      </c>
      <c r="F51" s="6">
        <v>87729</v>
      </c>
      <c r="G51" s="7">
        <v>378974</v>
      </c>
      <c r="H51" s="6">
        <v>378974</v>
      </c>
      <c r="I51">
        <f t="shared" si="50"/>
        <v>6.6255628127529098</v>
      </c>
    </row>
    <row r="52" spans="1:9" x14ac:dyDescent="0.25">
      <c r="A52" s="86">
        <v>16</v>
      </c>
      <c r="B52" s="86" t="s">
        <v>93</v>
      </c>
      <c r="C52" s="3">
        <v>0</v>
      </c>
      <c r="D52" s="4">
        <v>19244</v>
      </c>
      <c r="E52" s="3">
        <v>0</v>
      </c>
      <c r="F52" s="4">
        <v>0</v>
      </c>
      <c r="G52" s="3">
        <v>554397</v>
      </c>
      <c r="H52" s="4">
        <v>553196</v>
      </c>
    </row>
    <row r="53" spans="1:9" x14ac:dyDescent="0.25">
      <c r="A53" s="86">
        <v>17</v>
      </c>
      <c r="B53" s="86" t="s">
        <v>94</v>
      </c>
      <c r="C53" s="9">
        <v>0</v>
      </c>
      <c r="D53" s="8">
        <v>17486</v>
      </c>
      <c r="E53" s="9">
        <v>0</v>
      </c>
      <c r="F53" s="8">
        <v>0</v>
      </c>
      <c r="G53" s="20">
        <v>391786</v>
      </c>
      <c r="H53" s="8">
        <v>391786</v>
      </c>
    </row>
    <row r="54" spans="1:9" x14ac:dyDescent="0.25">
      <c r="A54" s="9">
        <v>18</v>
      </c>
      <c r="B54" s="9" t="s">
        <v>95</v>
      </c>
      <c r="C54" s="20">
        <v>1565204</v>
      </c>
      <c r="D54" s="8">
        <v>1560896</v>
      </c>
      <c r="E54" s="20">
        <v>235608</v>
      </c>
      <c r="F54" s="8">
        <v>236756</v>
      </c>
      <c r="G54" s="20">
        <v>943081</v>
      </c>
      <c r="H54" s="8">
        <v>943081</v>
      </c>
      <c r="I54">
        <f t="shared" si="50"/>
        <v>6.5928466438020576</v>
      </c>
    </row>
    <row r="55" spans="1:9" x14ac:dyDescent="0.25">
      <c r="A55" s="9">
        <v>19</v>
      </c>
      <c r="B55" s="9" t="s">
        <v>96</v>
      </c>
      <c r="C55" s="20">
        <v>1915049</v>
      </c>
      <c r="D55" s="8">
        <v>1911200</v>
      </c>
      <c r="E55" s="20">
        <v>289107</v>
      </c>
      <c r="F55" s="8">
        <v>289107</v>
      </c>
      <c r="G55" s="20">
        <v>493965</v>
      </c>
      <c r="H55" s="8">
        <v>493965</v>
      </c>
      <c r="I55">
        <f t="shared" si="50"/>
        <v>6.6107012282649675</v>
      </c>
    </row>
    <row r="56" spans="1:9" x14ac:dyDescent="0.25">
      <c r="A56" s="9">
        <v>20</v>
      </c>
      <c r="B56" s="9" t="s">
        <v>104</v>
      </c>
      <c r="C56" s="9">
        <v>0</v>
      </c>
      <c r="D56" s="8">
        <v>84578</v>
      </c>
      <c r="E56" s="9">
        <v>0</v>
      </c>
      <c r="F56" s="8">
        <v>12501</v>
      </c>
      <c r="G56" s="20">
        <v>1278350</v>
      </c>
      <c r="H56" s="84">
        <v>1272967</v>
      </c>
      <c r="I56">
        <f t="shared" si="50"/>
        <v>6.7656987441004723</v>
      </c>
    </row>
    <row r="57" spans="1:9" x14ac:dyDescent="0.25">
      <c r="A57" s="9">
        <v>21</v>
      </c>
      <c r="B57" s="9" t="s">
        <v>97</v>
      </c>
      <c r="C57" s="20">
        <v>1488547</v>
      </c>
      <c r="D57" s="8">
        <v>1485173</v>
      </c>
      <c r="E57" s="9">
        <v>0</v>
      </c>
      <c r="F57" s="8">
        <v>225956</v>
      </c>
      <c r="G57" s="20">
        <v>956299</v>
      </c>
      <c r="H57" s="8">
        <v>963316</v>
      </c>
      <c r="I57">
        <f t="shared" si="50"/>
        <v>6.5728416151817166</v>
      </c>
    </row>
    <row r="58" spans="1:9" x14ac:dyDescent="0.25">
      <c r="A58" s="9">
        <v>22</v>
      </c>
      <c r="B58" s="9" t="s">
        <v>98</v>
      </c>
      <c r="C58" s="20">
        <v>1731437</v>
      </c>
      <c r="D58" s="8">
        <v>1728790</v>
      </c>
      <c r="E58" s="20">
        <v>260819</v>
      </c>
      <c r="F58" s="8">
        <v>260819</v>
      </c>
      <c r="G58" s="20">
        <v>753380</v>
      </c>
      <c r="H58" s="8">
        <v>753380</v>
      </c>
      <c r="I58">
        <f t="shared" si="50"/>
        <v>6.6283131213600237</v>
      </c>
    </row>
    <row r="59" spans="1:9" x14ac:dyDescent="0.25">
      <c r="A59" s="9">
        <v>23</v>
      </c>
      <c r="B59" s="9" t="s">
        <v>99</v>
      </c>
      <c r="C59" s="20">
        <v>1357431</v>
      </c>
      <c r="D59" s="8">
        <v>1355616</v>
      </c>
      <c r="E59" s="20">
        <v>202123</v>
      </c>
      <c r="F59" s="8">
        <v>202123</v>
      </c>
      <c r="G59" s="20">
        <v>356445</v>
      </c>
      <c r="H59" s="8">
        <v>356297</v>
      </c>
      <c r="I59">
        <f t="shared" si="50"/>
        <v>6.7068864008549252</v>
      </c>
    </row>
    <row r="60" spans="1:9" x14ac:dyDescent="0.25">
      <c r="A60" s="9">
        <v>24</v>
      </c>
      <c r="B60" s="9" t="s">
        <v>100</v>
      </c>
      <c r="C60" s="7">
        <v>1209075</v>
      </c>
      <c r="D60" s="6">
        <v>1204691</v>
      </c>
      <c r="E60" s="7">
        <v>184788</v>
      </c>
      <c r="F60" s="6">
        <v>184788</v>
      </c>
      <c r="G60" s="7">
        <v>278183</v>
      </c>
      <c r="H60" s="6">
        <v>278183</v>
      </c>
      <c r="I60">
        <f t="shared" si="50"/>
        <v>6.5193140247202201</v>
      </c>
    </row>
  </sheetData>
  <pageMargins left="0.7" right="0.7" top="0.78740157499999996" bottom="0.78740157499999996" header="0.3" footer="0.3"/>
  <ignoredErrors>
    <ignoredError sqref="AV10:AV25 AV29:AV4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51C4-0115-4AAC-9102-B6BB90E69F7F}">
  <dimension ref="A1:AM68"/>
  <sheetViews>
    <sheetView topLeftCell="D1" zoomScale="80" zoomScaleNormal="80" workbookViewId="0">
      <selection activeCell="W14" sqref="W14"/>
    </sheetView>
  </sheetViews>
  <sheetFormatPr baseColWidth="10" defaultRowHeight="15" x14ac:dyDescent="0.25"/>
  <cols>
    <col min="2" max="2" width="28.42578125" bestFit="1" customWidth="1"/>
    <col min="4" max="4" width="13.28515625" bestFit="1" customWidth="1"/>
    <col min="6" max="6" width="14.85546875" customWidth="1"/>
    <col min="7" max="7" width="28.28515625" bestFit="1" customWidth="1"/>
    <col min="8" max="8" width="14" customWidth="1"/>
    <col min="9" max="9" width="13.7109375" bestFit="1" customWidth="1"/>
    <col min="10" max="10" width="12.85546875" bestFit="1" customWidth="1"/>
    <col min="11" max="11" width="12.28515625" bestFit="1" customWidth="1"/>
    <col min="12" max="12" width="14.5703125" bestFit="1" customWidth="1"/>
    <col min="13" max="13" width="11.28515625" bestFit="1" customWidth="1"/>
    <col min="14" max="14" width="31.5703125" bestFit="1" customWidth="1"/>
    <col min="18" max="18" width="14.140625" bestFit="1" customWidth="1"/>
    <col min="19" max="19" width="12.5703125" bestFit="1" customWidth="1"/>
    <col min="20" max="20" width="12.5703125" customWidth="1"/>
    <col min="21" max="21" width="13.28515625" customWidth="1"/>
    <col min="22" max="22" width="15.28515625" customWidth="1"/>
    <col min="23" max="23" width="15" customWidth="1"/>
    <col min="24" max="24" width="12" bestFit="1" customWidth="1"/>
  </cols>
  <sheetData>
    <row r="1" spans="1:39" x14ac:dyDescent="0.25">
      <c r="G1" s="34" t="s">
        <v>172</v>
      </c>
      <c r="H1" s="34" t="s">
        <v>173</v>
      </c>
      <c r="S1" t="s">
        <v>166</v>
      </c>
      <c r="T1" t="s">
        <v>149</v>
      </c>
      <c r="U1" t="s">
        <v>150</v>
      </c>
      <c r="V1" t="s">
        <v>151</v>
      </c>
    </row>
    <row r="2" spans="1:39" x14ac:dyDescent="0.25">
      <c r="G2" s="34"/>
      <c r="H2" s="34" t="s">
        <v>174</v>
      </c>
      <c r="S2" t="s">
        <v>168</v>
      </c>
      <c r="T2">
        <v>8</v>
      </c>
      <c r="U2">
        <v>16</v>
      </c>
      <c r="V2">
        <v>8</v>
      </c>
    </row>
    <row r="3" spans="1:39" x14ac:dyDescent="0.25">
      <c r="G3" s="34"/>
      <c r="H3" s="34" t="s">
        <v>175</v>
      </c>
      <c r="S3" t="s">
        <v>170</v>
      </c>
      <c r="T3">
        <v>8</v>
      </c>
      <c r="U3">
        <v>6</v>
      </c>
      <c r="V3">
        <v>6</v>
      </c>
    </row>
    <row r="4" spans="1:39" x14ac:dyDescent="0.25">
      <c r="G4" s="34" t="s">
        <v>176</v>
      </c>
      <c r="H4" s="34" t="s">
        <v>177</v>
      </c>
      <c r="S4" t="s">
        <v>169</v>
      </c>
      <c r="T4">
        <f>SUM(T2:T3)</f>
        <v>16</v>
      </c>
      <c r="U4">
        <f t="shared" ref="U4:V4" si="0">SUM(U2:U3)</f>
        <v>22</v>
      </c>
      <c r="V4">
        <f t="shared" si="0"/>
        <v>14</v>
      </c>
    </row>
    <row r="5" spans="1:39" x14ac:dyDescent="0.25">
      <c r="S5" s="59" t="s">
        <v>148</v>
      </c>
      <c r="T5" s="48">
        <f>T4/T3</f>
        <v>2</v>
      </c>
      <c r="U5" s="48">
        <f t="shared" ref="U5:V5" si="1">U4/U3</f>
        <v>3.6666666666666665</v>
      </c>
      <c r="V5" s="48">
        <f t="shared" si="1"/>
        <v>2.3333333333333335</v>
      </c>
    </row>
    <row r="6" spans="1:39" x14ac:dyDescent="0.25">
      <c r="A6" t="s">
        <v>18</v>
      </c>
      <c r="V6" s="10" t="s">
        <v>74</v>
      </c>
      <c r="X6" t="s">
        <v>145</v>
      </c>
      <c r="Y6">
        <v>20</v>
      </c>
      <c r="AF6" s="10" t="s">
        <v>74</v>
      </c>
      <c r="AH6" t="s">
        <v>145</v>
      </c>
      <c r="AI6">
        <v>20</v>
      </c>
    </row>
    <row r="7" spans="1:39" x14ac:dyDescent="0.25">
      <c r="A7" t="s">
        <v>19</v>
      </c>
      <c r="G7" t="s">
        <v>56</v>
      </c>
      <c r="H7" t="s">
        <v>57</v>
      </c>
      <c r="N7" s="25" t="s">
        <v>66</v>
      </c>
      <c r="R7" s="60" t="s">
        <v>143</v>
      </c>
      <c r="T7" t="s">
        <v>167</v>
      </c>
      <c r="V7" s="25" t="s">
        <v>148</v>
      </c>
      <c r="W7" s="59">
        <v>1</v>
      </c>
      <c r="AC7" s="61" t="s">
        <v>146</v>
      </c>
      <c r="AE7" t="s">
        <v>167</v>
      </c>
      <c r="AG7" s="25" t="s">
        <v>148</v>
      </c>
      <c r="AH7" s="59">
        <v>1</v>
      </c>
    </row>
    <row r="8" spans="1:39" x14ac:dyDescent="0.25">
      <c r="A8" t="s">
        <v>1</v>
      </c>
      <c r="G8" s="47" t="s">
        <v>138</v>
      </c>
      <c r="N8" s="35"/>
      <c r="O8" s="3" t="s">
        <v>60</v>
      </c>
      <c r="P8" s="3" t="s">
        <v>61</v>
      </c>
      <c r="Q8" s="4" t="s">
        <v>62</v>
      </c>
      <c r="R8" s="4" t="s">
        <v>67</v>
      </c>
      <c r="S8" s="3" t="s">
        <v>139</v>
      </c>
      <c r="T8" s="3" t="s">
        <v>164</v>
      </c>
      <c r="U8" s="4" t="s">
        <v>171</v>
      </c>
      <c r="V8" s="66" t="s">
        <v>141</v>
      </c>
      <c r="W8" s="67"/>
      <c r="X8" s="3" t="s">
        <v>68</v>
      </c>
      <c r="Y8" s="3"/>
      <c r="Z8" s="4" t="s">
        <v>69</v>
      </c>
      <c r="AC8" s="35" t="s">
        <v>67</v>
      </c>
      <c r="AD8" s="3" t="s">
        <v>139</v>
      </c>
      <c r="AE8" s="3" t="s">
        <v>164</v>
      </c>
      <c r="AF8" s="4"/>
      <c r="AG8" s="66"/>
      <c r="AH8" s="67"/>
      <c r="AI8" s="3" t="s">
        <v>68</v>
      </c>
      <c r="AJ8" s="3"/>
      <c r="AK8" s="4" t="s">
        <v>69</v>
      </c>
    </row>
    <row r="9" spans="1:39" x14ac:dyDescent="0.25">
      <c r="A9" t="s">
        <v>3</v>
      </c>
      <c r="N9" s="27" t="s">
        <v>59</v>
      </c>
      <c r="O9" s="20" t="s">
        <v>15</v>
      </c>
      <c r="P9" s="20" t="s">
        <v>64</v>
      </c>
      <c r="Q9" s="8" t="s">
        <v>65</v>
      </c>
      <c r="R9" s="8" t="s">
        <v>70</v>
      </c>
      <c r="S9" s="20" t="s">
        <v>140</v>
      </c>
      <c r="T9" s="9" t="s">
        <v>165</v>
      </c>
      <c r="U9" s="24" t="s">
        <v>142</v>
      </c>
      <c r="V9" s="68"/>
      <c r="W9" s="69" t="s">
        <v>144</v>
      </c>
      <c r="X9" s="20" t="s">
        <v>71</v>
      </c>
      <c r="Y9" s="20" t="s">
        <v>72</v>
      </c>
      <c r="Z9" s="8" t="s">
        <v>73</v>
      </c>
      <c r="AC9" s="27" t="s">
        <v>70</v>
      </c>
      <c r="AD9" s="20" t="s">
        <v>140</v>
      </c>
      <c r="AE9" s="9" t="s">
        <v>165</v>
      </c>
      <c r="AF9" s="15" t="s">
        <v>142</v>
      </c>
      <c r="AG9" s="50"/>
      <c r="AH9" s="49" t="s">
        <v>144</v>
      </c>
      <c r="AI9" s="20" t="s">
        <v>71</v>
      </c>
      <c r="AJ9" s="20" t="s">
        <v>72</v>
      </c>
      <c r="AK9" s="8" t="s">
        <v>73</v>
      </c>
    </row>
    <row r="10" spans="1:39" x14ac:dyDescent="0.25">
      <c r="A10" s="1"/>
      <c r="B10" s="2"/>
      <c r="C10" s="3" t="s">
        <v>7</v>
      </c>
      <c r="D10" s="4"/>
      <c r="G10" s="25" t="s">
        <v>58</v>
      </c>
      <c r="H10" t="s">
        <v>60</v>
      </c>
      <c r="I10" t="s">
        <v>61</v>
      </c>
      <c r="J10" t="s">
        <v>62</v>
      </c>
      <c r="K10" t="s">
        <v>63</v>
      </c>
      <c r="M10" s="70">
        <v>44398</v>
      </c>
      <c r="N10" s="28" t="s">
        <v>32</v>
      </c>
      <c r="O10" s="18">
        <v>0</v>
      </c>
      <c r="P10" s="3">
        <v>0</v>
      </c>
      <c r="Q10" s="4">
        <f>P10*8</f>
        <v>0</v>
      </c>
      <c r="R10" s="4">
        <f>(O10-27741.417)/408744.763</f>
        <v>-6.7869779655134077E-2</v>
      </c>
      <c r="S10" s="3">
        <f>IF(R10&lt;0,0,R10)</f>
        <v>0</v>
      </c>
      <c r="T10" s="3">
        <v>7.9</v>
      </c>
      <c r="U10" s="8">
        <f>S10*T10</f>
        <v>0</v>
      </c>
      <c r="V10" s="20"/>
      <c r="W10" s="8">
        <f>S10*$T$4</f>
        <v>0</v>
      </c>
      <c r="X10" s="3">
        <f t="shared" ref="X10:X21" si="2">Q10-W10</f>
        <v>0</v>
      </c>
      <c r="Y10" s="3">
        <f>X10/$Y$6</f>
        <v>0</v>
      </c>
      <c r="Z10" s="4"/>
      <c r="AC10" s="35">
        <f>O10/415610.902</f>
        <v>0</v>
      </c>
      <c r="AD10" s="3">
        <f>IF(AC10&lt;0,0,AC10)</f>
        <v>0</v>
      </c>
      <c r="AE10" s="3">
        <v>7.9</v>
      </c>
      <c r="AF10" s="8">
        <f>AD10*AE10</f>
        <v>0</v>
      </c>
      <c r="AG10" s="3"/>
      <c r="AH10" s="8">
        <f>AD10*$T$4</f>
        <v>0</v>
      </c>
      <c r="AI10" s="3">
        <f t="shared" ref="AI10:AI21" si="3">Q10-AH10</f>
        <v>0</v>
      </c>
      <c r="AJ10" s="3">
        <f t="shared" ref="AJ10:AJ21" si="4">IF(AI10&lt;0,0,AI10/$AI$6)</f>
        <v>0</v>
      </c>
      <c r="AK10" s="4"/>
    </row>
    <row r="11" spans="1:39" x14ac:dyDescent="0.25">
      <c r="A11" s="5" t="s">
        <v>9</v>
      </c>
      <c r="B11" s="6" t="s">
        <v>10</v>
      </c>
      <c r="C11" s="7" t="s">
        <v>14</v>
      </c>
      <c r="D11" s="6" t="s">
        <v>15</v>
      </c>
      <c r="G11" t="s">
        <v>137</v>
      </c>
      <c r="H11" s="6" t="s">
        <v>15</v>
      </c>
      <c r="I11" t="s">
        <v>64</v>
      </c>
      <c r="J11" t="s">
        <v>65</v>
      </c>
      <c r="K11" t="s">
        <v>64</v>
      </c>
      <c r="N11" s="29" t="s">
        <v>33</v>
      </c>
      <c r="O11" s="9">
        <v>23045</v>
      </c>
      <c r="P11" s="20">
        <v>0</v>
      </c>
      <c r="Q11" s="8">
        <f>P11*8</f>
        <v>0</v>
      </c>
      <c r="R11" s="8">
        <f>(O11-27741.417)/408744.763</f>
        <v>-1.1489852409436256E-2</v>
      </c>
      <c r="S11" s="20">
        <f t="shared" ref="S11:S21" si="5">IF(R11&lt;0,0,R11)</f>
        <v>0</v>
      </c>
      <c r="T11" s="20">
        <v>7.9</v>
      </c>
      <c r="U11" s="8">
        <f t="shared" ref="U11:U37" si="6">S11*T11</f>
        <v>0</v>
      </c>
      <c r="V11" s="20"/>
      <c r="W11" s="8">
        <f t="shared" ref="W11:W17" si="7">S11*$T$4</f>
        <v>0</v>
      </c>
      <c r="X11" s="20">
        <f t="shared" si="2"/>
        <v>0</v>
      </c>
      <c r="Y11" s="20">
        <f t="shared" ref="Y11:Y37" si="8">X11/$Y$6</f>
        <v>0</v>
      </c>
      <c r="Z11" s="8"/>
      <c r="AC11" s="27">
        <f t="shared" ref="AC11:AC21" si="9">O11/415610.902</f>
        <v>5.5448497354383647E-2</v>
      </c>
      <c r="AD11" s="20">
        <f t="shared" ref="AD11:AD21" si="10">IF(AC11&lt;0,0,AC11)</f>
        <v>5.5448497354383647E-2</v>
      </c>
      <c r="AE11" s="20">
        <v>7.9</v>
      </c>
      <c r="AF11" s="8">
        <f t="shared" ref="AF11:AF37" si="11">AD11*AE11</f>
        <v>0.43804312909963083</v>
      </c>
      <c r="AG11" s="20"/>
      <c r="AH11" s="8">
        <f t="shared" ref="AH11:AH17" si="12">AD11*$T$4</f>
        <v>0.88717595767013835</v>
      </c>
      <c r="AI11" s="20">
        <f t="shared" si="3"/>
        <v>-0.88717595767013835</v>
      </c>
      <c r="AJ11" s="20">
        <f t="shared" si="4"/>
        <v>0</v>
      </c>
      <c r="AK11" s="8"/>
    </row>
    <row r="12" spans="1:39" x14ac:dyDescent="0.25">
      <c r="A12">
        <v>1</v>
      </c>
      <c r="B12" s="4" t="s">
        <v>22</v>
      </c>
      <c r="C12" s="9">
        <v>0</v>
      </c>
      <c r="D12" s="22">
        <v>0</v>
      </c>
      <c r="F12" s="26">
        <v>44398</v>
      </c>
      <c r="G12" s="4" t="s">
        <v>22</v>
      </c>
      <c r="H12" s="22">
        <v>0</v>
      </c>
      <c r="I12">
        <v>0</v>
      </c>
      <c r="J12">
        <f>I12*5</f>
        <v>0</v>
      </c>
      <c r="K12">
        <f t="shared" ref="K12:K21" si="13">I12*5</f>
        <v>0</v>
      </c>
      <c r="N12" s="29" t="s">
        <v>34</v>
      </c>
      <c r="O12" s="9">
        <v>1361265</v>
      </c>
      <c r="P12" s="20">
        <v>12.5</v>
      </c>
      <c r="Q12" s="8">
        <f t="shared" ref="Q12:Q17" si="14">P12*8</f>
        <v>100</v>
      </c>
      <c r="R12" s="8">
        <f t="shared" ref="R12:R21" si="15">(O12-27741.417)/408744.763</f>
        <v>3.2624848162274809</v>
      </c>
      <c r="S12" s="20">
        <f>IF(R12&lt;0,0,R12)</f>
        <v>3.2624848162274809</v>
      </c>
      <c r="T12" s="20">
        <v>7.8</v>
      </c>
      <c r="U12" s="8">
        <f t="shared" si="6"/>
        <v>25.44738156657435</v>
      </c>
      <c r="V12" s="20"/>
      <c r="W12" s="8">
        <f>S12*$T$4</f>
        <v>52.199757059639694</v>
      </c>
      <c r="X12" s="20">
        <f t="shared" si="2"/>
        <v>47.800242940360306</v>
      </c>
      <c r="Y12" s="20">
        <f t="shared" si="8"/>
        <v>2.3900121470180151</v>
      </c>
      <c r="Z12" s="37">
        <f>Y12/S12</f>
        <v>0.73257418245448425</v>
      </c>
      <c r="AC12" s="27">
        <f t="shared" si="9"/>
        <v>3.275335159518987</v>
      </c>
      <c r="AD12" s="20">
        <f>IF(AC12&lt;0,0,AC12)</f>
        <v>3.275335159518987</v>
      </c>
      <c r="AE12" s="20">
        <v>7.8</v>
      </c>
      <c r="AF12" s="8">
        <f t="shared" si="11"/>
        <v>25.547614244248098</v>
      </c>
      <c r="AG12" s="20"/>
      <c r="AH12" s="8">
        <f t="shared" si="12"/>
        <v>52.405362552303792</v>
      </c>
      <c r="AI12" s="20">
        <f t="shared" si="3"/>
        <v>47.594637447696208</v>
      </c>
      <c r="AJ12" s="20">
        <f t="shared" si="4"/>
        <v>2.3797318723848102</v>
      </c>
      <c r="AK12" s="8">
        <f>AJ12/AD12</f>
        <v>0.72656133082096419</v>
      </c>
    </row>
    <row r="13" spans="1:39" x14ac:dyDescent="0.25">
      <c r="A13">
        <v>2</v>
      </c>
      <c r="B13" s="8" t="s">
        <v>23</v>
      </c>
      <c r="C13" s="9">
        <v>0</v>
      </c>
      <c r="D13" s="15">
        <v>0</v>
      </c>
      <c r="G13" s="8" t="s">
        <v>23</v>
      </c>
      <c r="H13" s="15">
        <v>0</v>
      </c>
      <c r="I13">
        <v>0</v>
      </c>
      <c r="J13">
        <f>I13*5</f>
        <v>0</v>
      </c>
      <c r="K13">
        <f t="shared" si="13"/>
        <v>0</v>
      </c>
      <c r="N13" s="29" t="s">
        <v>35</v>
      </c>
      <c r="O13" s="9">
        <v>974234</v>
      </c>
      <c r="P13" s="20">
        <v>12.5</v>
      </c>
      <c r="Q13" s="8">
        <f t="shared" si="14"/>
        <v>100</v>
      </c>
      <c r="R13" s="8">
        <f t="shared" si="15"/>
        <v>2.3156078528154747</v>
      </c>
      <c r="S13" s="20">
        <f t="shared" si="5"/>
        <v>2.3156078528154747</v>
      </c>
      <c r="T13" s="9">
        <v>7.8</v>
      </c>
      <c r="U13" s="8">
        <f t="shared" si="6"/>
        <v>18.061741251960701</v>
      </c>
      <c r="V13" s="20"/>
      <c r="W13" s="8">
        <f t="shared" si="7"/>
        <v>37.049725645047594</v>
      </c>
      <c r="X13" s="20">
        <f t="shared" si="2"/>
        <v>62.950274354952406</v>
      </c>
      <c r="Y13" s="20">
        <f>X13/$Y$6</f>
        <v>3.1475137177476205</v>
      </c>
      <c r="Z13" s="37">
        <f t="shared" ref="Z13:Z37" si="16">Y13/S13</f>
        <v>1.3592602538122582</v>
      </c>
      <c r="AC13" s="27">
        <f t="shared" si="9"/>
        <v>2.3441011660468907</v>
      </c>
      <c r="AD13" s="20">
        <f>IF(AC13&lt;0,0,AC13)</f>
        <v>2.3441011660468907</v>
      </c>
      <c r="AE13" s="9">
        <v>7.8</v>
      </c>
      <c r="AF13" s="8">
        <f t="shared" si="11"/>
        <v>18.283989095165747</v>
      </c>
      <c r="AG13" s="20"/>
      <c r="AH13" s="8">
        <f t="shared" si="12"/>
        <v>37.505618656750251</v>
      </c>
      <c r="AI13" s="20">
        <f t="shared" si="3"/>
        <v>62.494381343249749</v>
      </c>
      <c r="AJ13" s="20">
        <f t="shared" si="4"/>
        <v>3.1247190671624874</v>
      </c>
      <c r="AK13" s="8">
        <f t="shared" ref="AK13:AK37" si="17">AJ13/AD13</f>
        <v>1.3330137420783919</v>
      </c>
    </row>
    <row r="14" spans="1:39" x14ac:dyDescent="0.25">
      <c r="A14">
        <v>3</v>
      </c>
      <c r="B14" s="8" t="s">
        <v>26</v>
      </c>
      <c r="C14" s="9">
        <v>147234</v>
      </c>
      <c r="D14" s="15">
        <v>147234</v>
      </c>
      <c r="G14" s="8" t="s">
        <v>26</v>
      </c>
      <c r="H14" s="15">
        <v>147234</v>
      </c>
      <c r="I14">
        <v>0.05</v>
      </c>
      <c r="J14">
        <f t="shared" ref="J14:J19" si="18">I14*5</f>
        <v>0.25</v>
      </c>
      <c r="K14">
        <f t="shared" si="13"/>
        <v>0.25</v>
      </c>
      <c r="N14" s="29" t="s">
        <v>36</v>
      </c>
      <c r="O14" s="9">
        <v>1251788</v>
      </c>
      <c r="P14" s="20">
        <v>12.5</v>
      </c>
      <c r="Q14" s="8">
        <f t="shared" si="14"/>
        <v>100</v>
      </c>
      <c r="R14" s="8">
        <f t="shared" si="15"/>
        <v>2.9946477454929501</v>
      </c>
      <c r="S14" s="20">
        <f t="shared" si="5"/>
        <v>2.9946477454929501</v>
      </c>
      <c r="T14" s="9">
        <v>7.9</v>
      </c>
      <c r="U14" s="8">
        <f>S14*T14</f>
        <v>23.657717189394308</v>
      </c>
      <c r="V14" s="20"/>
      <c r="W14" s="8">
        <f>S14*$T$4</f>
        <v>47.914363927887202</v>
      </c>
      <c r="X14" s="20">
        <f t="shared" si="2"/>
        <v>52.085636072112798</v>
      </c>
      <c r="Y14" s="20">
        <f t="shared" si="8"/>
        <v>2.6042818036056401</v>
      </c>
      <c r="Z14" s="37">
        <f t="shared" si="16"/>
        <v>0.86964545580533659</v>
      </c>
      <c r="AC14" s="27">
        <f t="shared" si="9"/>
        <v>3.0119229163050205</v>
      </c>
      <c r="AD14" s="20">
        <f t="shared" si="10"/>
        <v>3.0119229163050205</v>
      </c>
      <c r="AE14" s="9">
        <v>7.9</v>
      </c>
      <c r="AF14" s="8">
        <f>AD14*AE14</f>
        <v>23.794191038809664</v>
      </c>
      <c r="AG14" s="20"/>
      <c r="AH14" s="8">
        <f t="shared" si="12"/>
        <v>48.190766660880328</v>
      </c>
      <c r="AI14" s="20">
        <f t="shared" si="3"/>
        <v>51.809233339119672</v>
      </c>
      <c r="AJ14" s="20">
        <f t="shared" si="4"/>
        <v>2.5904616669559837</v>
      </c>
      <c r="AK14" s="8">
        <f t="shared" si="17"/>
        <v>0.8600690452376919</v>
      </c>
    </row>
    <row r="15" spans="1:39" ht="15.75" thickBot="1" x14ac:dyDescent="0.3">
      <c r="A15">
        <v>4</v>
      </c>
      <c r="B15" s="8" t="s">
        <v>27</v>
      </c>
      <c r="C15" s="9">
        <v>165600</v>
      </c>
      <c r="D15" s="15">
        <v>166507</v>
      </c>
      <c r="G15" s="8" t="s">
        <v>27</v>
      </c>
      <c r="H15" s="15">
        <v>166507</v>
      </c>
      <c r="I15">
        <v>0.05</v>
      </c>
      <c r="J15">
        <f t="shared" si="18"/>
        <v>0.25</v>
      </c>
      <c r="K15">
        <f t="shared" si="13"/>
        <v>0.25</v>
      </c>
      <c r="N15" s="29" t="s">
        <v>37</v>
      </c>
      <c r="O15" s="9">
        <v>1536717</v>
      </c>
      <c r="P15" s="20">
        <v>12.5</v>
      </c>
      <c r="Q15" s="8">
        <f t="shared" si="14"/>
        <v>100</v>
      </c>
      <c r="R15" s="8">
        <f t="shared" si="15"/>
        <v>3.6917306827977638</v>
      </c>
      <c r="S15" s="20">
        <f t="shared" si="5"/>
        <v>3.6917306827977638</v>
      </c>
      <c r="T15" s="9">
        <v>7.9</v>
      </c>
      <c r="U15" s="8">
        <f t="shared" si="6"/>
        <v>29.164672394102336</v>
      </c>
      <c r="V15" s="20"/>
      <c r="W15" s="8">
        <f t="shared" si="7"/>
        <v>59.067690924764221</v>
      </c>
      <c r="X15" s="20">
        <f t="shared" si="2"/>
        <v>40.932309075235779</v>
      </c>
      <c r="Y15" s="20">
        <f t="shared" si="8"/>
        <v>2.0466154537617891</v>
      </c>
      <c r="Z15" s="37">
        <f t="shared" si="16"/>
        <v>0.55437831998372356</v>
      </c>
      <c r="AC15" s="27">
        <f t="shared" si="9"/>
        <v>3.6974896293745441</v>
      </c>
      <c r="AD15" s="20">
        <f t="shared" si="10"/>
        <v>3.6974896293745441</v>
      </c>
      <c r="AE15" s="9">
        <v>7.9</v>
      </c>
      <c r="AF15" s="8">
        <f t="shared" si="11"/>
        <v>29.210168072058899</v>
      </c>
      <c r="AG15" s="20"/>
      <c r="AH15" s="8">
        <f t="shared" si="12"/>
        <v>59.159834069992705</v>
      </c>
      <c r="AI15" s="20">
        <f t="shared" si="3"/>
        <v>40.840165930007295</v>
      </c>
      <c r="AJ15" s="20">
        <f t="shared" si="4"/>
        <v>2.0420082965003648</v>
      </c>
      <c r="AK15" s="8">
        <f t="shared" si="17"/>
        <v>0.55226883674742977</v>
      </c>
    </row>
    <row r="16" spans="1:39" x14ac:dyDescent="0.25">
      <c r="A16">
        <v>5</v>
      </c>
      <c r="B16" s="8" t="s">
        <v>28</v>
      </c>
      <c r="C16" s="9">
        <v>1032350</v>
      </c>
      <c r="D16" s="15">
        <v>1029277</v>
      </c>
      <c r="G16" s="8" t="s">
        <v>28</v>
      </c>
      <c r="H16" s="15">
        <v>1029277</v>
      </c>
      <c r="I16">
        <v>0.5</v>
      </c>
      <c r="J16">
        <f>I16*5</f>
        <v>2.5</v>
      </c>
      <c r="K16">
        <f t="shared" si="13"/>
        <v>2.5</v>
      </c>
      <c r="N16" s="29" t="s">
        <v>38</v>
      </c>
      <c r="O16" s="9">
        <v>1551785</v>
      </c>
      <c r="P16" s="20">
        <v>12.5</v>
      </c>
      <c r="Q16" s="8">
        <f t="shared" si="14"/>
        <v>100</v>
      </c>
      <c r="R16" s="8">
        <f t="shared" si="15"/>
        <v>3.728594763671627</v>
      </c>
      <c r="S16" s="20">
        <f t="shared" si="5"/>
        <v>3.728594763671627</v>
      </c>
      <c r="T16" s="9">
        <v>7.9</v>
      </c>
      <c r="U16" s="8">
        <f t="shared" si="6"/>
        <v>29.455898633005855</v>
      </c>
      <c r="V16" s="20"/>
      <c r="W16" s="8">
        <f t="shared" si="7"/>
        <v>59.657516218746032</v>
      </c>
      <c r="X16" s="20">
        <f t="shared" si="2"/>
        <v>40.342483781253968</v>
      </c>
      <c r="Y16" s="20">
        <f t="shared" si="8"/>
        <v>2.0171241890626983</v>
      </c>
      <c r="Z16" s="37">
        <f t="shared" si="16"/>
        <v>0.54098777606939319</v>
      </c>
      <c r="AA16" s="52" t="s">
        <v>107</v>
      </c>
      <c r="AB16" s="52" t="s">
        <v>147</v>
      </c>
      <c r="AC16" s="8">
        <f t="shared" si="9"/>
        <v>3.7337446937327932</v>
      </c>
      <c r="AD16" s="20">
        <f t="shared" si="10"/>
        <v>3.7337446937327932</v>
      </c>
      <c r="AE16" s="9">
        <v>7.9</v>
      </c>
      <c r="AF16" s="8">
        <f t="shared" si="11"/>
        <v>29.496583080489067</v>
      </c>
      <c r="AG16" s="20"/>
      <c r="AH16" s="8">
        <f t="shared" si="12"/>
        <v>59.739915099724691</v>
      </c>
      <c r="AI16" s="20">
        <f t="shared" si="3"/>
        <v>40.260084900275309</v>
      </c>
      <c r="AJ16" s="20">
        <f t="shared" si="4"/>
        <v>2.0130042450137653</v>
      </c>
      <c r="AK16" s="8">
        <f t="shared" si="17"/>
        <v>0.53913816024771477</v>
      </c>
      <c r="AL16" s="52" t="s">
        <v>107</v>
      </c>
      <c r="AM16" s="52" t="s">
        <v>147</v>
      </c>
    </row>
    <row r="17" spans="1:39" ht="15.75" thickBot="1" x14ac:dyDescent="0.3">
      <c r="A17">
        <v>6</v>
      </c>
      <c r="B17" s="8" t="s">
        <v>29</v>
      </c>
      <c r="C17" s="9">
        <v>1133164</v>
      </c>
      <c r="D17" s="15">
        <v>1130208</v>
      </c>
      <c r="G17" s="8" t="s">
        <v>29</v>
      </c>
      <c r="H17" s="15">
        <v>1130208</v>
      </c>
      <c r="I17">
        <v>0.5</v>
      </c>
      <c r="J17">
        <f t="shared" si="18"/>
        <v>2.5</v>
      </c>
      <c r="K17">
        <f t="shared" si="13"/>
        <v>2.5</v>
      </c>
      <c r="N17" s="30" t="s">
        <v>39</v>
      </c>
      <c r="O17" s="51">
        <v>1113566</v>
      </c>
      <c r="P17" s="7">
        <v>12.5</v>
      </c>
      <c r="Q17" s="6">
        <f t="shared" si="14"/>
        <v>100</v>
      </c>
      <c r="R17" s="6">
        <f t="shared" si="15"/>
        <v>2.6564856147159985</v>
      </c>
      <c r="S17" s="7">
        <f t="shared" si="5"/>
        <v>2.6564856147159985</v>
      </c>
      <c r="T17" s="7">
        <v>7.9</v>
      </c>
      <c r="U17" s="6">
        <f t="shared" si="6"/>
        <v>20.986236356256388</v>
      </c>
      <c r="V17" s="7"/>
      <c r="W17" s="6">
        <f t="shared" si="7"/>
        <v>42.503769835455977</v>
      </c>
      <c r="X17" s="7">
        <f t="shared" si="2"/>
        <v>57.496230164544023</v>
      </c>
      <c r="Y17" s="7">
        <f t="shared" si="8"/>
        <v>2.874811508227201</v>
      </c>
      <c r="Z17" s="54">
        <f t="shared" si="16"/>
        <v>1.0821859874948141</v>
      </c>
      <c r="AA17" s="53">
        <f>AVERAGE(Z12:Z17)</f>
        <v>0.85650532927000167</v>
      </c>
      <c r="AB17" s="56">
        <f>STDEV(Z12:Z17)</f>
        <v>0.31939252397093421</v>
      </c>
      <c r="AC17" s="6">
        <f t="shared" si="9"/>
        <v>2.6793474248180331</v>
      </c>
      <c r="AD17" s="7">
        <f t="shared" si="10"/>
        <v>2.6793474248180331</v>
      </c>
      <c r="AE17" s="7">
        <v>7.9</v>
      </c>
      <c r="AF17" s="6">
        <f t="shared" si="11"/>
        <v>21.166844656062462</v>
      </c>
      <c r="AG17" s="7"/>
      <c r="AH17" s="6">
        <f t="shared" si="12"/>
        <v>42.86955879708853</v>
      </c>
      <c r="AI17" s="7">
        <f t="shared" si="3"/>
        <v>57.13044120291147</v>
      </c>
      <c r="AJ17" s="7">
        <f t="shared" si="4"/>
        <v>2.8565220601455734</v>
      </c>
      <c r="AK17" s="6">
        <f t="shared" si="17"/>
        <v>1.0661260401269437</v>
      </c>
      <c r="AL17" s="53">
        <f>AVERAGE(AK12:AK17)</f>
        <v>0.84619619254318934</v>
      </c>
      <c r="AM17" s="56">
        <f>STDEV(AK12:AK17)</f>
        <v>0.31001398234825095</v>
      </c>
    </row>
    <row r="18" spans="1:39" x14ac:dyDescent="0.25">
      <c r="A18">
        <v>7</v>
      </c>
      <c r="B18" s="8" t="s">
        <v>30</v>
      </c>
      <c r="C18" s="9">
        <v>1925128</v>
      </c>
      <c r="D18" s="15">
        <v>1922078</v>
      </c>
      <c r="G18" s="8" t="s">
        <v>30</v>
      </c>
      <c r="H18" s="15">
        <v>1922078</v>
      </c>
      <c r="I18">
        <v>1</v>
      </c>
      <c r="J18">
        <f t="shared" si="18"/>
        <v>5</v>
      </c>
      <c r="K18">
        <f t="shared" si="13"/>
        <v>5</v>
      </c>
      <c r="N18" s="29" t="s">
        <v>40</v>
      </c>
      <c r="O18" s="9">
        <v>12974</v>
      </c>
      <c r="P18" s="20">
        <v>0</v>
      </c>
      <c r="Q18" s="15">
        <f>P18*6</f>
        <v>0</v>
      </c>
      <c r="R18" s="8">
        <f t="shared" si="15"/>
        <v>-3.6128700198172332E-2</v>
      </c>
      <c r="S18" s="20">
        <f t="shared" si="5"/>
        <v>0</v>
      </c>
      <c r="T18" s="9">
        <v>7.1</v>
      </c>
      <c r="U18" s="8">
        <f t="shared" si="6"/>
        <v>0</v>
      </c>
      <c r="V18" s="20"/>
      <c r="W18" s="15">
        <f>S18*$U$4</f>
        <v>0</v>
      </c>
      <c r="X18" s="20">
        <f t="shared" si="2"/>
        <v>0</v>
      </c>
      <c r="Y18" s="20">
        <f t="shared" si="8"/>
        <v>0</v>
      </c>
      <c r="Z18" s="37"/>
      <c r="AC18" s="27">
        <f t="shared" si="9"/>
        <v>3.1216697968139442E-2</v>
      </c>
      <c r="AD18" s="20">
        <f t="shared" si="10"/>
        <v>3.1216697968139442E-2</v>
      </c>
      <c r="AE18" s="9">
        <v>7.1</v>
      </c>
      <c r="AF18" s="8">
        <f t="shared" si="11"/>
        <v>0.22163855557379003</v>
      </c>
      <c r="AG18" s="20"/>
      <c r="AH18" s="15">
        <f>AD18*$U$4</f>
        <v>0.68676735529906774</v>
      </c>
      <c r="AI18" s="20">
        <f t="shared" si="3"/>
        <v>-0.68676735529906774</v>
      </c>
      <c r="AJ18" s="20">
        <f t="shared" si="4"/>
        <v>0</v>
      </c>
      <c r="AK18" s="8">
        <f t="shared" si="17"/>
        <v>0</v>
      </c>
    </row>
    <row r="19" spans="1:39" x14ac:dyDescent="0.25">
      <c r="A19">
        <v>8</v>
      </c>
      <c r="B19" s="8" t="s">
        <v>31</v>
      </c>
      <c r="C19" s="9">
        <v>2193130</v>
      </c>
      <c r="D19" s="15">
        <v>2188019</v>
      </c>
      <c r="G19" s="8" t="s">
        <v>31</v>
      </c>
      <c r="H19" s="15">
        <v>2188019</v>
      </c>
      <c r="I19">
        <v>1</v>
      </c>
      <c r="J19">
        <f t="shared" si="18"/>
        <v>5</v>
      </c>
      <c r="K19">
        <f t="shared" si="13"/>
        <v>5</v>
      </c>
      <c r="N19" s="29" t="s">
        <v>41</v>
      </c>
      <c r="O19" s="9">
        <v>0</v>
      </c>
      <c r="P19" s="20">
        <v>0</v>
      </c>
      <c r="Q19" s="15">
        <f>P19*6</f>
        <v>0</v>
      </c>
      <c r="R19" s="8">
        <f t="shared" si="15"/>
        <v>-6.7869779655134077E-2</v>
      </c>
      <c r="S19" s="20">
        <f t="shared" si="5"/>
        <v>0</v>
      </c>
      <c r="T19" s="9">
        <v>7.1</v>
      </c>
      <c r="U19" s="8">
        <f t="shared" si="6"/>
        <v>0</v>
      </c>
      <c r="V19" s="20"/>
      <c r="W19" s="15">
        <f t="shared" ref="W19:W21" si="19">S19*$U$4</f>
        <v>0</v>
      </c>
      <c r="X19" s="20">
        <f t="shared" si="2"/>
        <v>0</v>
      </c>
      <c r="Y19" s="20">
        <f t="shared" si="8"/>
        <v>0</v>
      </c>
      <c r="Z19" s="37"/>
      <c r="AC19" s="27">
        <f t="shared" si="9"/>
        <v>0</v>
      </c>
      <c r="AD19" s="20">
        <f t="shared" si="10"/>
        <v>0</v>
      </c>
      <c r="AE19" s="9">
        <v>7.1</v>
      </c>
      <c r="AF19" s="8">
        <f t="shared" si="11"/>
        <v>0</v>
      </c>
      <c r="AG19" s="20"/>
      <c r="AH19" s="15">
        <f t="shared" ref="AH19:AH21" si="20">AD19*$U$4</f>
        <v>0</v>
      </c>
      <c r="AI19" s="20">
        <f t="shared" si="3"/>
        <v>0</v>
      </c>
      <c r="AJ19" s="20">
        <f t="shared" si="4"/>
        <v>0</v>
      </c>
      <c r="AK19" s="8"/>
    </row>
    <row r="20" spans="1:39" x14ac:dyDescent="0.25">
      <c r="A20">
        <v>9</v>
      </c>
      <c r="B20" s="8" t="s">
        <v>24</v>
      </c>
      <c r="C20" s="9">
        <v>0</v>
      </c>
      <c r="D20" s="15">
        <v>29635</v>
      </c>
      <c r="G20" s="46" t="s">
        <v>24</v>
      </c>
      <c r="H20" s="46">
        <v>29635</v>
      </c>
      <c r="I20" s="47">
        <v>0</v>
      </c>
      <c r="J20" s="47">
        <f>I20*5</f>
        <v>0</v>
      </c>
      <c r="K20" s="47">
        <f t="shared" si="13"/>
        <v>0</v>
      </c>
      <c r="N20" s="29" t="s">
        <v>52</v>
      </c>
      <c r="O20" s="9">
        <v>742462</v>
      </c>
      <c r="P20" s="20">
        <v>12.5</v>
      </c>
      <c r="Q20" s="15">
        <f>P20*6</f>
        <v>75</v>
      </c>
      <c r="R20" s="8">
        <f t="shared" si="15"/>
        <v>1.7485742881554669</v>
      </c>
      <c r="S20" s="20">
        <f t="shared" si="5"/>
        <v>1.7485742881554669</v>
      </c>
      <c r="T20" s="9">
        <v>8.6999999999999993</v>
      </c>
      <c r="U20" s="8">
        <f t="shared" si="6"/>
        <v>15.212596306952561</v>
      </c>
      <c r="V20" s="20"/>
      <c r="W20" s="15">
        <f t="shared" si="19"/>
        <v>38.468634339420269</v>
      </c>
      <c r="X20" s="20">
        <f t="shared" si="2"/>
        <v>36.531365660579731</v>
      </c>
      <c r="Y20" s="20">
        <f>X20/$Y$6</f>
        <v>1.8265682830289864</v>
      </c>
      <c r="Z20" s="37">
        <f t="shared" si="16"/>
        <v>1.0446043358877213</v>
      </c>
      <c r="AC20" s="27">
        <f t="shared" si="9"/>
        <v>1.7864353327285913</v>
      </c>
      <c r="AD20" s="20">
        <f t="shared" si="10"/>
        <v>1.7864353327285913</v>
      </c>
      <c r="AE20" s="9">
        <v>8.6999999999999993</v>
      </c>
      <c r="AF20" s="8">
        <f t="shared" si="11"/>
        <v>15.541987394738744</v>
      </c>
      <c r="AG20" s="20"/>
      <c r="AH20" s="15">
        <f t="shared" si="20"/>
        <v>39.301577320029011</v>
      </c>
      <c r="AI20" s="20">
        <f t="shared" si="3"/>
        <v>35.698422679970989</v>
      </c>
      <c r="AJ20" s="20">
        <f t="shared" si="4"/>
        <v>1.7849211339985493</v>
      </c>
      <c r="AK20" s="8">
        <f t="shared" si="17"/>
        <v>0.99915239096411668</v>
      </c>
    </row>
    <row r="21" spans="1:39" x14ac:dyDescent="0.25">
      <c r="A21" s="9">
        <v>10</v>
      </c>
      <c r="B21" s="15" t="s">
        <v>32</v>
      </c>
      <c r="C21" s="9">
        <v>0</v>
      </c>
      <c r="D21" s="15">
        <v>0</v>
      </c>
      <c r="G21" s="15" t="s">
        <v>25</v>
      </c>
      <c r="H21" s="15">
        <v>0</v>
      </c>
      <c r="I21">
        <v>0</v>
      </c>
      <c r="J21">
        <f>I21*5</f>
        <v>0</v>
      </c>
      <c r="K21">
        <f t="shared" si="13"/>
        <v>0</v>
      </c>
      <c r="N21" s="30" t="s">
        <v>54</v>
      </c>
      <c r="O21" s="51">
        <v>364151</v>
      </c>
      <c r="P21" s="7">
        <v>12.5</v>
      </c>
      <c r="Q21" s="24">
        <f>P21*6</f>
        <v>75</v>
      </c>
      <c r="R21" s="6">
        <f t="shared" si="15"/>
        <v>0.82303093140792116</v>
      </c>
      <c r="S21" s="7">
        <f t="shared" si="5"/>
        <v>0.82303093140792116</v>
      </c>
      <c r="T21" s="7">
        <v>8.6999999999999993</v>
      </c>
      <c r="U21" s="6">
        <f t="shared" si="6"/>
        <v>7.1603691032489136</v>
      </c>
      <c r="V21" s="7"/>
      <c r="W21" s="24">
        <f t="shared" si="19"/>
        <v>18.106680490974266</v>
      </c>
      <c r="X21" s="7">
        <f t="shared" si="2"/>
        <v>56.89331950902573</v>
      </c>
      <c r="Y21" s="7">
        <f t="shared" si="8"/>
        <v>2.8446659754512864</v>
      </c>
      <c r="Z21" s="39">
        <f t="shared" si="16"/>
        <v>3.4563293636911641</v>
      </c>
      <c r="AC21" s="45">
        <f t="shared" si="9"/>
        <v>0.8761825020653573</v>
      </c>
      <c r="AD21" s="7">
        <f t="shared" si="10"/>
        <v>0.8761825020653573</v>
      </c>
      <c r="AE21" s="7">
        <v>8.6999999999999993</v>
      </c>
      <c r="AF21" s="6">
        <f t="shared" si="11"/>
        <v>7.6227877679686076</v>
      </c>
      <c r="AG21" s="7"/>
      <c r="AH21" s="24">
        <f t="shared" si="20"/>
        <v>19.276015045437859</v>
      </c>
      <c r="AI21" s="7">
        <f t="shared" si="3"/>
        <v>55.723984954562141</v>
      </c>
      <c r="AJ21" s="7">
        <f t="shared" si="4"/>
        <v>2.7861992477281072</v>
      </c>
      <c r="AK21" s="6">
        <f t="shared" si="17"/>
        <v>3.1799302555807896</v>
      </c>
    </row>
    <row r="22" spans="1:39" x14ac:dyDescent="0.25">
      <c r="A22" s="9">
        <v>11</v>
      </c>
      <c r="B22" s="15" t="s">
        <v>33</v>
      </c>
      <c r="C22" s="9">
        <v>0</v>
      </c>
      <c r="D22" s="15">
        <v>23045</v>
      </c>
      <c r="N22" s="20"/>
      <c r="O22" s="20"/>
      <c r="P22" s="20"/>
      <c r="Q22" s="20"/>
      <c r="R22" s="8"/>
      <c r="S22" s="20"/>
      <c r="T22" s="20"/>
      <c r="U22" s="8"/>
      <c r="W22" s="8"/>
      <c r="X22" s="20"/>
      <c r="Y22" s="20"/>
      <c r="Z22" s="37"/>
      <c r="AA22" s="20"/>
      <c r="AB22" s="20"/>
      <c r="AC22" s="8"/>
      <c r="AD22" s="20"/>
      <c r="AE22" s="20"/>
      <c r="AF22" s="8"/>
      <c r="AG22" s="20"/>
      <c r="AH22" s="8"/>
      <c r="AI22" s="20"/>
      <c r="AJ22" s="20"/>
      <c r="AK22" s="8"/>
      <c r="AL22" s="20"/>
    </row>
    <row r="23" spans="1:39" x14ac:dyDescent="0.25">
      <c r="A23" s="9">
        <v>12</v>
      </c>
      <c r="B23" s="15" t="s">
        <v>34</v>
      </c>
      <c r="C23" s="9">
        <v>1361993</v>
      </c>
      <c r="D23" s="15">
        <v>1361265</v>
      </c>
      <c r="N23" s="20"/>
      <c r="O23" s="20"/>
      <c r="P23" s="20"/>
      <c r="Q23" s="20"/>
      <c r="R23" s="8"/>
      <c r="S23" s="20"/>
      <c r="T23" s="20"/>
      <c r="U23" s="6"/>
      <c r="W23" s="8"/>
      <c r="X23" s="20"/>
      <c r="Y23" s="20"/>
      <c r="Z23" s="37"/>
      <c r="AA23" s="20"/>
      <c r="AB23" s="20"/>
      <c r="AC23" s="8"/>
      <c r="AD23" s="20"/>
      <c r="AE23" s="20"/>
      <c r="AF23" s="6"/>
      <c r="AG23" s="20"/>
      <c r="AH23" s="8"/>
      <c r="AI23" s="20"/>
      <c r="AJ23" s="20"/>
      <c r="AK23" s="6"/>
      <c r="AL23" s="20"/>
    </row>
    <row r="24" spans="1:39" x14ac:dyDescent="0.25">
      <c r="A24" s="9">
        <v>13</v>
      </c>
      <c r="B24" s="15" t="s">
        <v>35</v>
      </c>
      <c r="C24" s="9">
        <v>977365</v>
      </c>
      <c r="D24" s="15">
        <v>974234</v>
      </c>
      <c r="F24" s="26">
        <v>44400</v>
      </c>
      <c r="G24" s="22" t="s">
        <v>101</v>
      </c>
      <c r="H24" s="22">
        <v>49515</v>
      </c>
      <c r="I24">
        <v>0</v>
      </c>
      <c r="J24">
        <f t="shared" ref="J24:J33" si="21">I24*5</f>
        <v>0</v>
      </c>
      <c r="K24">
        <f t="shared" ref="K24:K33" si="22">I24*5</f>
        <v>0</v>
      </c>
      <c r="M24" s="70">
        <v>44400</v>
      </c>
      <c r="N24" s="28" t="s">
        <v>87</v>
      </c>
      <c r="O24" s="3">
        <v>411605</v>
      </c>
      <c r="P24" s="3">
        <v>12.5</v>
      </c>
      <c r="Q24" s="4">
        <f>P24*6</f>
        <v>75</v>
      </c>
      <c r="R24" s="36">
        <f>(O24-165300.623)/921129.211</f>
        <v>0.26739394870846195</v>
      </c>
      <c r="S24" s="3">
        <f>IF(R24&lt;0,0,R24)</f>
        <v>0.26739394870846195</v>
      </c>
      <c r="T24" s="3">
        <v>8.6999999999999993</v>
      </c>
      <c r="U24" s="8">
        <f t="shared" si="6"/>
        <v>2.3263273537636189</v>
      </c>
      <c r="V24" s="3"/>
      <c r="W24" s="22">
        <f>S24*$U$4</f>
        <v>5.8826668715861627</v>
      </c>
      <c r="X24" s="3">
        <f t="shared" ref="X24:X37" si="23">Q24-W24</f>
        <v>69.117333128413833</v>
      </c>
      <c r="Y24" s="3">
        <f t="shared" si="8"/>
        <v>3.4558666564206915</v>
      </c>
      <c r="Z24" s="37">
        <f t="shared" si="16"/>
        <v>12.924251551364023</v>
      </c>
      <c r="AC24" s="35">
        <f>O24/962041.94</f>
        <v>0.42784517273747963</v>
      </c>
      <c r="AD24" s="3">
        <f>IF(AC24&lt;0,0,AC24)</f>
        <v>0.42784517273747963</v>
      </c>
      <c r="AE24" s="3">
        <v>8.6999999999999993</v>
      </c>
      <c r="AF24" s="8">
        <f t="shared" si="11"/>
        <v>3.7222530028160725</v>
      </c>
      <c r="AG24" s="3"/>
      <c r="AH24" s="22">
        <f>AD24*$U$4</f>
        <v>9.4125938002245526</v>
      </c>
      <c r="AI24" s="3">
        <f t="shared" ref="AI24:AI37" si="24">Q24-AH24</f>
        <v>65.587406199775444</v>
      </c>
      <c r="AJ24" s="3">
        <f t="shared" ref="AJ24:AJ37" si="25">IF(AI24&lt;0,0,AI24/$AI$6)</f>
        <v>3.2793703099887721</v>
      </c>
      <c r="AK24" s="8">
        <f t="shared" si="17"/>
        <v>7.6648528929434763</v>
      </c>
    </row>
    <row r="25" spans="1:39" x14ac:dyDescent="0.25">
      <c r="A25" s="9">
        <v>14</v>
      </c>
      <c r="B25" s="15" t="s">
        <v>36</v>
      </c>
      <c r="C25" s="9">
        <v>1252674</v>
      </c>
      <c r="D25" s="15">
        <v>1251788</v>
      </c>
      <c r="G25" s="15" t="s">
        <v>102</v>
      </c>
      <c r="H25" s="15">
        <v>39546</v>
      </c>
      <c r="I25">
        <v>0</v>
      </c>
      <c r="J25">
        <f t="shared" si="21"/>
        <v>0</v>
      </c>
      <c r="K25">
        <f t="shared" si="22"/>
        <v>0</v>
      </c>
      <c r="N25" s="29" t="s">
        <v>88</v>
      </c>
      <c r="O25" s="20">
        <v>764937</v>
      </c>
      <c r="P25" s="20">
        <v>12.5</v>
      </c>
      <c r="Q25" s="8">
        <f t="shared" ref="Q25:Q37" si="26">P25*6</f>
        <v>75</v>
      </c>
      <c r="R25" s="37">
        <f t="shared" ref="R25:R37" si="27">(O25-165300.623)/921129.211</f>
        <v>0.65097965609951758</v>
      </c>
      <c r="S25" s="20">
        <f t="shared" ref="S25:S37" si="28">IF(R25&lt;0,0,R25)</f>
        <v>0.65097965609951758</v>
      </c>
      <c r="T25" s="9">
        <v>8.6999999999999993</v>
      </c>
      <c r="U25" s="8">
        <f t="shared" si="6"/>
        <v>5.6635230080658028</v>
      </c>
      <c r="V25" s="20"/>
      <c r="W25" s="15">
        <f t="shared" ref="W25:W29" si="29">S25*$U$4</f>
        <v>14.321552434189387</v>
      </c>
      <c r="X25" s="20">
        <f t="shared" si="23"/>
        <v>60.678447565810615</v>
      </c>
      <c r="Y25" s="20">
        <f>X25/$Y$6</f>
        <v>3.0339223782905309</v>
      </c>
      <c r="Z25" s="37">
        <f t="shared" si="16"/>
        <v>4.6605486820723696</v>
      </c>
      <c r="AC25" s="27">
        <f t="shared" ref="AC25:AC37" si="30">O25/962041.94</f>
        <v>0.79511814214669274</v>
      </c>
      <c r="AD25" s="20">
        <f t="shared" ref="AD25:AD37" si="31">IF(AC25&lt;0,0,AC25)</f>
        <v>0.79511814214669274</v>
      </c>
      <c r="AE25" s="9">
        <v>8.6999999999999993</v>
      </c>
      <c r="AF25" s="8">
        <f t="shared" si="11"/>
        <v>6.9175278366762267</v>
      </c>
      <c r="AG25" s="20"/>
      <c r="AH25" s="15">
        <f t="shared" ref="AH25:AH29" si="32">AD25*$U$4</f>
        <v>17.492599127227241</v>
      </c>
      <c r="AI25" s="20">
        <f t="shared" si="24"/>
        <v>57.507400872772763</v>
      </c>
      <c r="AJ25" s="20">
        <f t="shared" si="25"/>
        <v>2.8753700436386382</v>
      </c>
      <c r="AK25" s="8">
        <f t="shared" si="17"/>
        <v>3.6162802622961108</v>
      </c>
    </row>
    <row r="26" spans="1:39" x14ac:dyDescent="0.25">
      <c r="A26" s="9">
        <v>15</v>
      </c>
      <c r="B26" s="15" t="s">
        <v>37</v>
      </c>
      <c r="C26" s="9">
        <v>1540315</v>
      </c>
      <c r="D26" s="15">
        <v>1536717</v>
      </c>
      <c r="G26" s="15" t="s">
        <v>81</v>
      </c>
      <c r="H26" s="15">
        <v>347976</v>
      </c>
      <c r="I26">
        <v>0.05</v>
      </c>
      <c r="J26">
        <f t="shared" si="21"/>
        <v>0.25</v>
      </c>
      <c r="K26">
        <f t="shared" si="22"/>
        <v>0.25</v>
      </c>
      <c r="N26" s="29" t="s">
        <v>89</v>
      </c>
      <c r="O26" s="20">
        <v>380956</v>
      </c>
      <c r="P26" s="20">
        <v>12.5</v>
      </c>
      <c r="Q26" s="8">
        <f t="shared" si="26"/>
        <v>75</v>
      </c>
      <c r="R26" s="37">
        <f t="shared" si="27"/>
        <v>0.23412065801917123</v>
      </c>
      <c r="S26" s="20">
        <f t="shared" si="28"/>
        <v>0.23412065801917123</v>
      </c>
      <c r="T26" s="9">
        <v>7.3</v>
      </c>
      <c r="U26" s="8">
        <f t="shared" si="6"/>
        <v>1.7090808035399498</v>
      </c>
      <c r="V26" s="20"/>
      <c r="W26" s="15">
        <f t="shared" si="29"/>
        <v>5.1506544764217672</v>
      </c>
      <c r="X26" s="20">
        <f t="shared" si="23"/>
        <v>69.849345523578236</v>
      </c>
      <c r="Y26" s="20">
        <f t="shared" si="8"/>
        <v>3.4924672761789117</v>
      </c>
      <c r="Z26" s="37">
        <f t="shared" si="16"/>
        <v>14.917381941976805</v>
      </c>
      <c r="AC26" s="27">
        <f t="shared" si="30"/>
        <v>0.395986894292779</v>
      </c>
      <c r="AD26" s="20">
        <f t="shared" si="31"/>
        <v>0.395986894292779</v>
      </c>
      <c r="AE26" s="9">
        <v>7.3</v>
      </c>
      <c r="AF26" s="8">
        <f t="shared" si="11"/>
        <v>2.8907043283372866</v>
      </c>
      <c r="AG26" s="20"/>
      <c r="AH26" s="15">
        <f t="shared" si="32"/>
        <v>8.7117116744411387</v>
      </c>
      <c r="AI26" s="20">
        <f t="shared" si="24"/>
        <v>66.288288325558867</v>
      </c>
      <c r="AJ26" s="20">
        <f t="shared" si="25"/>
        <v>3.3144144162779434</v>
      </c>
      <c r="AK26" s="8">
        <f t="shared" si="17"/>
        <v>8.3700103817763729</v>
      </c>
    </row>
    <row r="27" spans="1:39" ht="15.75" thickBot="1" x14ac:dyDescent="0.3">
      <c r="A27" s="9">
        <v>16</v>
      </c>
      <c r="B27" s="15" t="s">
        <v>38</v>
      </c>
      <c r="C27" s="9">
        <v>1558261</v>
      </c>
      <c r="D27" s="15">
        <v>1551785</v>
      </c>
      <c r="G27" s="15" t="s">
        <v>82</v>
      </c>
      <c r="H27" s="15">
        <v>403080</v>
      </c>
      <c r="I27">
        <v>0.05</v>
      </c>
      <c r="J27">
        <f t="shared" si="21"/>
        <v>0.25</v>
      </c>
      <c r="K27">
        <f t="shared" si="22"/>
        <v>0.25</v>
      </c>
      <c r="N27" s="29" t="s">
        <v>90</v>
      </c>
      <c r="O27" s="20">
        <v>322616</v>
      </c>
      <c r="P27" s="20">
        <v>12.5</v>
      </c>
      <c r="Q27" s="8">
        <f t="shared" si="26"/>
        <v>75</v>
      </c>
      <c r="R27" s="37">
        <f t="shared" si="27"/>
        <v>0.17078535250143098</v>
      </c>
      <c r="S27" s="20">
        <f t="shared" si="28"/>
        <v>0.17078535250143098</v>
      </c>
      <c r="T27" s="9">
        <v>7.3</v>
      </c>
      <c r="U27" s="8">
        <f t="shared" si="6"/>
        <v>1.2467330732604462</v>
      </c>
      <c r="V27" s="20"/>
      <c r="W27" s="15">
        <f t="shared" si="29"/>
        <v>3.7572777550314815</v>
      </c>
      <c r="X27" s="20">
        <f t="shared" si="23"/>
        <v>71.242722244968519</v>
      </c>
      <c r="Y27" s="20">
        <f t="shared" si="8"/>
        <v>3.5621361122484259</v>
      </c>
      <c r="Z27" s="37">
        <f t="shared" si="16"/>
        <v>20.857386538570861</v>
      </c>
      <c r="AC27" s="27">
        <f t="shared" si="30"/>
        <v>0.33534504743109228</v>
      </c>
      <c r="AD27" s="20">
        <f t="shared" si="31"/>
        <v>0.33534504743109228</v>
      </c>
      <c r="AE27" s="9">
        <v>7.3</v>
      </c>
      <c r="AF27" s="8">
        <f t="shared" si="11"/>
        <v>2.4480188462469736</v>
      </c>
      <c r="AG27" s="20"/>
      <c r="AH27" s="15">
        <f t="shared" si="32"/>
        <v>7.3775910434840304</v>
      </c>
      <c r="AI27" s="20">
        <f t="shared" si="24"/>
        <v>67.622408956515969</v>
      </c>
      <c r="AJ27" s="20">
        <f t="shared" si="25"/>
        <v>3.3811204478257983</v>
      </c>
      <c r="AK27" s="8">
        <f t="shared" si="17"/>
        <v>10.082511949190367</v>
      </c>
    </row>
    <row r="28" spans="1:39" x14ac:dyDescent="0.25">
      <c r="A28" s="9">
        <v>17</v>
      </c>
      <c r="B28" s="15" t="s">
        <v>39</v>
      </c>
      <c r="C28" s="9">
        <v>1113566</v>
      </c>
      <c r="D28" s="15">
        <v>1113566</v>
      </c>
      <c r="G28" s="15" t="s">
        <v>83</v>
      </c>
      <c r="H28" s="15">
        <v>2875301</v>
      </c>
      <c r="I28">
        <v>0.5</v>
      </c>
      <c r="J28">
        <f t="shared" si="21"/>
        <v>2.5</v>
      </c>
      <c r="K28">
        <f t="shared" si="22"/>
        <v>2.5</v>
      </c>
      <c r="N28" s="29" t="s">
        <v>91</v>
      </c>
      <c r="O28" s="20">
        <v>435019</v>
      </c>
      <c r="P28" s="20">
        <v>12.5</v>
      </c>
      <c r="Q28" s="8">
        <f t="shared" si="26"/>
        <v>75</v>
      </c>
      <c r="R28" s="37">
        <f t="shared" si="27"/>
        <v>0.29281274958937326</v>
      </c>
      <c r="S28" s="20">
        <f t="shared" si="28"/>
        <v>0.29281274958937326</v>
      </c>
      <c r="T28" s="9">
        <v>7.4</v>
      </c>
      <c r="U28" s="8">
        <f t="shared" si="6"/>
        <v>2.1668143469613623</v>
      </c>
      <c r="V28" s="20"/>
      <c r="W28" s="15">
        <f>S28*$U$4</f>
        <v>6.441880490966212</v>
      </c>
      <c r="X28" s="20">
        <f t="shared" si="23"/>
        <v>68.558119509033787</v>
      </c>
      <c r="Y28" s="20">
        <f t="shared" si="8"/>
        <v>3.4279059754516892</v>
      </c>
      <c r="Z28" s="37">
        <f t="shared" si="16"/>
        <v>11.706819393140574</v>
      </c>
      <c r="AA28" s="52" t="s">
        <v>107</v>
      </c>
      <c r="AB28" s="52" t="s">
        <v>147</v>
      </c>
      <c r="AC28" s="8">
        <f t="shared" si="30"/>
        <v>0.45218298902852411</v>
      </c>
      <c r="AD28" s="20">
        <f t="shared" si="31"/>
        <v>0.45218298902852411</v>
      </c>
      <c r="AE28" s="9">
        <v>7.4</v>
      </c>
      <c r="AF28" s="8">
        <f t="shared" si="11"/>
        <v>3.3461541188110786</v>
      </c>
      <c r="AG28" s="20"/>
      <c r="AH28" s="15">
        <f t="shared" si="32"/>
        <v>9.94802575862753</v>
      </c>
      <c r="AI28" s="20">
        <f t="shared" si="24"/>
        <v>65.051974241372477</v>
      </c>
      <c r="AJ28" s="20">
        <f t="shared" si="25"/>
        <v>3.2525987120686239</v>
      </c>
      <c r="AK28" s="8">
        <f t="shared" si="17"/>
        <v>7.1931027725225798</v>
      </c>
      <c r="AL28" s="52" t="s">
        <v>107</v>
      </c>
      <c r="AM28" s="52" t="s">
        <v>147</v>
      </c>
    </row>
    <row r="29" spans="1:39" ht="15.75" thickBot="1" x14ac:dyDescent="0.3">
      <c r="A29" s="9">
        <v>18</v>
      </c>
      <c r="B29" s="15" t="s">
        <v>40</v>
      </c>
      <c r="C29" s="9">
        <v>0</v>
      </c>
      <c r="D29" s="15">
        <v>12974</v>
      </c>
      <c r="G29" s="15" t="s">
        <v>84</v>
      </c>
      <c r="H29" s="15">
        <v>2022114</v>
      </c>
      <c r="I29">
        <v>0.5</v>
      </c>
      <c r="J29">
        <f t="shared" si="21"/>
        <v>2.5</v>
      </c>
      <c r="K29">
        <f t="shared" si="22"/>
        <v>2.5</v>
      </c>
      <c r="N29" s="30" t="s">
        <v>92</v>
      </c>
      <c r="O29" s="7">
        <v>581254</v>
      </c>
      <c r="P29" s="7">
        <v>12.5</v>
      </c>
      <c r="Q29" s="6">
        <f t="shared" si="26"/>
        <v>75</v>
      </c>
      <c r="R29" s="39">
        <f t="shared" si="27"/>
        <v>0.45156897863268392</v>
      </c>
      <c r="S29" s="7">
        <f t="shared" si="28"/>
        <v>0.45156897863268392</v>
      </c>
      <c r="T29" s="7">
        <v>7.4</v>
      </c>
      <c r="U29" s="6">
        <f t="shared" si="6"/>
        <v>3.3416104418818611</v>
      </c>
      <c r="V29" s="7"/>
      <c r="W29" s="24">
        <f t="shared" si="29"/>
        <v>9.9345175299190469</v>
      </c>
      <c r="X29" s="7">
        <f t="shared" si="23"/>
        <v>65.065482470080951</v>
      </c>
      <c r="Y29" s="7">
        <f t="shared" si="8"/>
        <v>3.2532741235040477</v>
      </c>
      <c r="Z29" s="39">
        <f t="shared" si="16"/>
        <v>7.2043791257643761</v>
      </c>
      <c r="AA29" s="53">
        <f>AVERAGE(Z24:Z29)</f>
        <v>12.04512787214817</v>
      </c>
      <c r="AB29" s="56">
        <f>STDEV(Z24:Z29)</f>
        <v>5.740346950420891</v>
      </c>
      <c r="AC29" s="6">
        <f t="shared" si="30"/>
        <v>0.60418779663597622</v>
      </c>
      <c r="AD29" s="7">
        <f t="shared" si="31"/>
        <v>0.60418779663597622</v>
      </c>
      <c r="AE29" s="7">
        <v>7.4</v>
      </c>
      <c r="AF29" s="6">
        <f t="shared" si="11"/>
        <v>4.4709896951062245</v>
      </c>
      <c r="AG29" s="7"/>
      <c r="AH29" s="24">
        <f t="shared" si="32"/>
        <v>13.292131525991477</v>
      </c>
      <c r="AI29" s="7">
        <f t="shared" si="24"/>
        <v>61.707868474008521</v>
      </c>
      <c r="AJ29" s="7">
        <f t="shared" si="25"/>
        <v>3.0853934237004261</v>
      </c>
      <c r="AK29" s="6">
        <f t="shared" si="17"/>
        <v>5.1066794809153997</v>
      </c>
      <c r="AL29" s="53">
        <f>AVERAGE(AK24:AK29)</f>
        <v>7.0055729566073852</v>
      </c>
      <c r="AM29" s="56">
        <f>STDEV(AK24:AK29)</f>
        <v>2.3191447525900202</v>
      </c>
    </row>
    <row r="30" spans="1:39" x14ac:dyDescent="0.25">
      <c r="A30" s="9">
        <v>19</v>
      </c>
      <c r="B30" s="15" t="s">
        <v>41</v>
      </c>
      <c r="C30" s="9">
        <v>0</v>
      </c>
      <c r="D30" s="15">
        <v>0</v>
      </c>
      <c r="G30" s="15" t="s">
        <v>85</v>
      </c>
      <c r="H30" s="15">
        <v>4934383</v>
      </c>
      <c r="I30">
        <v>1</v>
      </c>
      <c r="J30">
        <f t="shared" si="21"/>
        <v>5</v>
      </c>
      <c r="K30">
        <f t="shared" si="22"/>
        <v>5</v>
      </c>
      <c r="N30" s="29" t="s">
        <v>93</v>
      </c>
      <c r="O30" s="20">
        <v>19244</v>
      </c>
      <c r="P30" s="9">
        <v>0</v>
      </c>
      <c r="Q30" s="8">
        <f t="shared" si="26"/>
        <v>0</v>
      </c>
      <c r="R30" s="37">
        <f t="shared" si="27"/>
        <v>-0.15856257868691126</v>
      </c>
      <c r="S30" s="20">
        <f t="shared" si="28"/>
        <v>0</v>
      </c>
      <c r="T30" s="9">
        <v>8</v>
      </c>
      <c r="U30" s="8">
        <f t="shared" si="6"/>
        <v>0</v>
      </c>
      <c r="V30" s="20"/>
      <c r="W30" s="15">
        <f>S30*$V$4</f>
        <v>0</v>
      </c>
      <c r="X30" s="20">
        <f t="shared" si="23"/>
        <v>0</v>
      </c>
      <c r="Y30" s="20">
        <f t="shared" si="8"/>
        <v>0</v>
      </c>
      <c r="Z30" s="37"/>
      <c r="AC30" s="27">
        <f t="shared" si="30"/>
        <v>2.0003285927430565E-2</v>
      </c>
      <c r="AD30" s="20">
        <f t="shared" si="31"/>
        <v>2.0003285927430565E-2</v>
      </c>
      <c r="AE30" s="9">
        <v>8</v>
      </c>
      <c r="AF30" s="8">
        <f t="shared" si="11"/>
        <v>0.16002628741944452</v>
      </c>
      <c r="AG30" s="20"/>
      <c r="AH30" s="15">
        <f>AD30*$V$4</f>
        <v>0.28004600298402793</v>
      </c>
      <c r="AI30" s="20">
        <f t="shared" si="24"/>
        <v>-0.28004600298402793</v>
      </c>
      <c r="AJ30" s="20">
        <f t="shared" si="25"/>
        <v>0</v>
      </c>
      <c r="AK30" s="8">
        <f t="shared" si="17"/>
        <v>0</v>
      </c>
    </row>
    <row r="31" spans="1:39" x14ac:dyDescent="0.25">
      <c r="A31" s="9">
        <v>20</v>
      </c>
      <c r="B31" s="15" t="s">
        <v>25</v>
      </c>
      <c r="C31" s="9">
        <v>0</v>
      </c>
      <c r="D31" s="15">
        <v>0</v>
      </c>
      <c r="G31" s="15" t="s">
        <v>86</v>
      </c>
      <c r="H31" s="15">
        <v>4628932</v>
      </c>
      <c r="I31">
        <v>1</v>
      </c>
      <c r="J31">
        <f t="shared" si="21"/>
        <v>5</v>
      </c>
      <c r="K31">
        <f t="shared" si="22"/>
        <v>5</v>
      </c>
      <c r="N31" s="29" t="s">
        <v>94</v>
      </c>
      <c r="O31" s="20">
        <v>17486</v>
      </c>
      <c r="P31" s="9">
        <v>0</v>
      </c>
      <c r="Q31" s="8">
        <f t="shared" si="26"/>
        <v>0</v>
      </c>
      <c r="R31" s="37">
        <f t="shared" si="27"/>
        <v>-0.16047110571982501</v>
      </c>
      <c r="S31" s="20">
        <f t="shared" si="28"/>
        <v>0</v>
      </c>
      <c r="T31" s="9">
        <v>8</v>
      </c>
      <c r="U31" s="8">
        <f t="shared" si="6"/>
        <v>0</v>
      </c>
      <c r="V31" s="20"/>
      <c r="W31" s="15">
        <f t="shared" ref="W31:W37" si="33">S31*$V$4</f>
        <v>0</v>
      </c>
      <c r="X31" s="20">
        <f t="shared" si="23"/>
        <v>0</v>
      </c>
      <c r="Y31" s="20">
        <f t="shared" si="8"/>
        <v>0</v>
      </c>
      <c r="Z31" s="37"/>
      <c r="AC31" s="27">
        <f t="shared" si="30"/>
        <v>1.8175922766942989E-2</v>
      </c>
      <c r="AD31" s="20">
        <f t="shared" si="31"/>
        <v>1.8175922766942989E-2</v>
      </c>
      <c r="AE31" s="9">
        <v>8</v>
      </c>
      <c r="AF31" s="8">
        <f t="shared" si="11"/>
        <v>0.14540738213554391</v>
      </c>
      <c r="AG31" s="20"/>
      <c r="AH31" s="15">
        <f t="shared" ref="AH31:AH37" si="34">AD31*$V$4</f>
        <v>0.25446291873720184</v>
      </c>
      <c r="AI31" s="20">
        <f t="shared" si="24"/>
        <v>-0.25446291873720184</v>
      </c>
      <c r="AJ31" s="20">
        <f t="shared" si="25"/>
        <v>0</v>
      </c>
      <c r="AK31" s="8">
        <f t="shared" si="17"/>
        <v>0</v>
      </c>
    </row>
    <row r="32" spans="1:39" x14ac:dyDescent="0.25">
      <c r="A32" s="9">
        <v>21</v>
      </c>
      <c r="B32" s="15" t="s">
        <v>52</v>
      </c>
      <c r="C32" s="9">
        <v>740297</v>
      </c>
      <c r="D32" s="15">
        <v>742462</v>
      </c>
      <c r="G32" s="46" t="s">
        <v>103</v>
      </c>
      <c r="H32" s="46">
        <v>545084</v>
      </c>
      <c r="I32" s="47">
        <v>0</v>
      </c>
      <c r="J32" s="47">
        <f t="shared" si="21"/>
        <v>0</v>
      </c>
      <c r="K32" s="47">
        <f t="shared" si="22"/>
        <v>0</v>
      </c>
      <c r="N32" s="29" t="s">
        <v>95</v>
      </c>
      <c r="O32" s="20">
        <v>1560896</v>
      </c>
      <c r="P32" s="20">
        <v>12.5</v>
      </c>
      <c r="Q32" s="8">
        <f t="shared" si="26"/>
        <v>75</v>
      </c>
      <c r="R32" s="37">
        <f t="shared" si="27"/>
        <v>1.5150918680397816</v>
      </c>
      <c r="S32" s="20">
        <f t="shared" si="28"/>
        <v>1.5150918680397816</v>
      </c>
      <c r="T32" s="9">
        <v>7.1</v>
      </c>
      <c r="U32" s="8">
        <f t="shared" si="6"/>
        <v>10.757152263082448</v>
      </c>
      <c r="V32" s="20"/>
      <c r="W32" s="15">
        <f t="shared" si="33"/>
        <v>21.211286152556941</v>
      </c>
      <c r="X32" s="20">
        <f t="shared" si="23"/>
        <v>53.788713847443063</v>
      </c>
      <c r="Y32" s="20">
        <f t="shared" si="8"/>
        <v>2.689435692372153</v>
      </c>
      <c r="Z32" s="37">
        <f t="shared" si="16"/>
        <v>1.7750974373928439</v>
      </c>
      <c r="AC32" s="27">
        <f t="shared" si="30"/>
        <v>1.6224822797226492</v>
      </c>
      <c r="AD32" s="20">
        <f t="shared" si="31"/>
        <v>1.6224822797226492</v>
      </c>
      <c r="AE32" s="9">
        <v>7.1</v>
      </c>
      <c r="AF32" s="8">
        <f t="shared" si="11"/>
        <v>11.519624186030809</v>
      </c>
      <c r="AG32" s="20"/>
      <c r="AH32" s="15">
        <f t="shared" si="34"/>
        <v>22.714751916117088</v>
      </c>
      <c r="AI32" s="20">
        <f t="shared" si="24"/>
        <v>52.285248083882912</v>
      </c>
      <c r="AJ32" s="20">
        <f t="shared" si="25"/>
        <v>2.6142624041941458</v>
      </c>
      <c r="AK32" s="8">
        <f t="shared" si="17"/>
        <v>1.6112733167360285</v>
      </c>
    </row>
    <row r="33" spans="1:39" x14ac:dyDescent="0.25">
      <c r="A33" s="9">
        <v>22</v>
      </c>
      <c r="B33" s="15" t="s">
        <v>54</v>
      </c>
      <c r="C33" s="9">
        <v>362102</v>
      </c>
      <c r="D33" s="15">
        <v>364151</v>
      </c>
      <c r="G33" s="8" t="s">
        <v>104</v>
      </c>
      <c r="H33" s="8">
        <v>84578</v>
      </c>
      <c r="I33">
        <v>0</v>
      </c>
      <c r="J33">
        <f t="shared" si="21"/>
        <v>0</v>
      </c>
      <c r="K33">
        <f t="shared" si="22"/>
        <v>0</v>
      </c>
      <c r="N33" s="29" t="s">
        <v>96</v>
      </c>
      <c r="O33" s="20">
        <v>1911200</v>
      </c>
      <c r="P33" s="20">
        <v>12.5</v>
      </c>
      <c r="Q33" s="8">
        <f t="shared" si="26"/>
        <v>75</v>
      </c>
      <c r="R33" s="37">
        <f t="shared" si="27"/>
        <v>1.895390305888367</v>
      </c>
      <c r="S33" s="20">
        <f t="shared" si="28"/>
        <v>1.895390305888367</v>
      </c>
      <c r="T33" s="9">
        <v>7.1</v>
      </c>
      <c r="U33" s="8">
        <f t="shared" si="6"/>
        <v>13.457271171807404</v>
      </c>
      <c r="V33" s="20"/>
      <c r="W33" s="15">
        <f t="shared" si="33"/>
        <v>26.53546428243714</v>
      </c>
      <c r="X33" s="20">
        <f t="shared" si="23"/>
        <v>48.46453571756286</v>
      </c>
      <c r="Y33" s="20">
        <f t="shared" si="8"/>
        <v>2.4232267858781431</v>
      </c>
      <c r="Z33" s="37">
        <f t="shared" si="16"/>
        <v>1.2784843197466813</v>
      </c>
      <c r="AC33" s="27">
        <f t="shared" si="30"/>
        <v>1.9866077772035595</v>
      </c>
      <c r="AD33" s="20">
        <f t="shared" si="31"/>
        <v>1.9866077772035595</v>
      </c>
      <c r="AE33" s="9">
        <v>7.1</v>
      </c>
      <c r="AF33" s="8">
        <f t="shared" si="11"/>
        <v>14.104915218145273</v>
      </c>
      <c r="AG33" s="20"/>
      <c r="AH33" s="15">
        <f t="shared" si="34"/>
        <v>27.812508880849833</v>
      </c>
      <c r="AI33" s="20">
        <f t="shared" si="24"/>
        <v>47.187491119150167</v>
      </c>
      <c r="AJ33" s="20">
        <f t="shared" si="25"/>
        <v>2.3593745559575083</v>
      </c>
      <c r="AK33" s="8">
        <f t="shared" si="17"/>
        <v>1.1876398466931768</v>
      </c>
    </row>
    <row r="34" spans="1:39" x14ac:dyDescent="0.25">
      <c r="N34" s="29" t="s">
        <v>97</v>
      </c>
      <c r="O34" s="20">
        <v>1485173</v>
      </c>
      <c r="P34" s="20">
        <v>12.5</v>
      </c>
      <c r="Q34" s="8">
        <f t="shared" si="26"/>
        <v>75</v>
      </c>
      <c r="R34" s="37">
        <f t="shared" si="27"/>
        <v>1.4328851601254886</v>
      </c>
      <c r="S34" s="20">
        <f t="shared" si="28"/>
        <v>1.4328851601254886</v>
      </c>
      <c r="T34" s="9">
        <v>7.2</v>
      </c>
      <c r="U34" s="8">
        <f t="shared" si="6"/>
        <v>10.316773152903519</v>
      </c>
      <c r="V34" s="20"/>
      <c r="W34" s="15">
        <f t="shared" si="33"/>
        <v>20.060392241756841</v>
      </c>
      <c r="X34" s="20">
        <f t="shared" si="23"/>
        <v>54.939607758243156</v>
      </c>
      <c r="Y34" s="20">
        <f t="shared" si="8"/>
        <v>2.7469803879121577</v>
      </c>
      <c r="Z34" s="37">
        <f t="shared" si="16"/>
        <v>1.9170973811129315</v>
      </c>
      <c r="AC34" s="27">
        <f t="shared" si="30"/>
        <v>1.5437715740334566</v>
      </c>
      <c r="AD34" s="20">
        <f t="shared" si="31"/>
        <v>1.5437715740334566</v>
      </c>
      <c r="AE34" s="9">
        <v>7.2</v>
      </c>
      <c r="AF34" s="8">
        <f t="shared" si="11"/>
        <v>11.115155333040887</v>
      </c>
      <c r="AG34" s="20"/>
      <c r="AH34" s="15">
        <f t="shared" si="34"/>
        <v>21.612802036468391</v>
      </c>
      <c r="AI34" s="20">
        <f t="shared" si="24"/>
        <v>53.387197963531605</v>
      </c>
      <c r="AJ34" s="20">
        <f t="shared" si="25"/>
        <v>2.6693598981765803</v>
      </c>
      <c r="AK34" s="8">
        <f t="shared" si="17"/>
        <v>1.7291158504766782</v>
      </c>
    </row>
    <row r="35" spans="1:39" ht="15.75" thickBot="1" x14ac:dyDescent="0.3">
      <c r="N35" s="29" t="s">
        <v>98</v>
      </c>
      <c r="O35" s="20">
        <v>1728790</v>
      </c>
      <c r="P35" s="20">
        <v>12.5</v>
      </c>
      <c r="Q35" s="8">
        <f t="shared" si="26"/>
        <v>75</v>
      </c>
      <c r="R35" s="37">
        <f t="shared" si="27"/>
        <v>1.6973616278031596</v>
      </c>
      <c r="S35" s="20">
        <f t="shared" si="28"/>
        <v>1.6973616278031596</v>
      </c>
      <c r="T35" s="9">
        <v>7.2</v>
      </c>
      <c r="U35" s="8">
        <f t="shared" si="6"/>
        <v>12.221003720182749</v>
      </c>
      <c r="V35" s="20"/>
      <c r="W35" s="15">
        <f t="shared" si="33"/>
        <v>23.763062789244234</v>
      </c>
      <c r="X35" s="20">
        <f t="shared" si="23"/>
        <v>51.236937210755769</v>
      </c>
      <c r="Y35" s="20">
        <f t="shared" si="8"/>
        <v>2.5618468605377887</v>
      </c>
      <c r="Z35" s="37">
        <f t="shared" si="16"/>
        <v>1.5093111677406685</v>
      </c>
      <c r="AC35" s="27">
        <f t="shared" si="30"/>
        <v>1.7970006588278262</v>
      </c>
      <c r="AD35" s="20">
        <f t="shared" si="31"/>
        <v>1.7970006588278262</v>
      </c>
      <c r="AE35" s="9">
        <v>7.2</v>
      </c>
      <c r="AF35" s="8">
        <f t="shared" si="11"/>
        <v>12.93840474356035</v>
      </c>
      <c r="AG35" s="20"/>
      <c r="AH35" s="15">
        <f t="shared" si="34"/>
        <v>25.158009223589566</v>
      </c>
      <c r="AI35" s="20">
        <f t="shared" si="24"/>
        <v>49.841990776410434</v>
      </c>
      <c r="AJ35" s="20">
        <f t="shared" si="25"/>
        <v>2.4920995388205216</v>
      </c>
      <c r="AK35" s="8">
        <f t="shared" si="17"/>
        <v>1.3868105871736878</v>
      </c>
    </row>
    <row r="36" spans="1:39" x14ac:dyDescent="0.25">
      <c r="N36" s="29" t="s">
        <v>99</v>
      </c>
      <c r="O36" s="20">
        <v>1355616</v>
      </c>
      <c r="P36" s="20">
        <v>12.5</v>
      </c>
      <c r="Q36" s="8">
        <f t="shared" si="26"/>
        <v>75</v>
      </c>
      <c r="R36" s="37">
        <f t="shared" si="27"/>
        <v>1.2922349685423233</v>
      </c>
      <c r="S36" s="20">
        <f t="shared" si="28"/>
        <v>1.2922349685423233</v>
      </c>
      <c r="T36" s="9">
        <v>7</v>
      </c>
      <c r="U36" s="8">
        <f t="shared" si="6"/>
        <v>9.0456447797962625</v>
      </c>
      <c r="V36" s="20"/>
      <c r="W36" s="15">
        <f t="shared" si="33"/>
        <v>18.091289559592525</v>
      </c>
      <c r="X36" s="20">
        <f t="shared" si="23"/>
        <v>56.908710440407475</v>
      </c>
      <c r="Y36" s="20">
        <f t="shared" si="8"/>
        <v>2.8454355220203738</v>
      </c>
      <c r="Z36" s="37">
        <f t="shared" si="16"/>
        <v>2.2019490195580325</v>
      </c>
      <c r="AA36" s="52" t="s">
        <v>107</v>
      </c>
      <c r="AB36" s="52" t="s">
        <v>147</v>
      </c>
      <c r="AC36" s="8">
        <f t="shared" si="30"/>
        <v>1.4091028089690145</v>
      </c>
      <c r="AD36" s="20">
        <f t="shared" si="31"/>
        <v>1.4091028089690145</v>
      </c>
      <c r="AE36" s="9">
        <v>7</v>
      </c>
      <c r="AF36" s="8">
        <f t="shared" si="11"/>
        <v>9.863719662783101</v>
      </c>
      <c r="AG36" s="20"/>
      <c r="AH36" s="15">
        <f t="shared" si="34"/>
        <v>19.727439325566202</v>
      </c>
      <c r="AI36" s="20">
        <f t="shared" si="24"/>
        <v>55.272560674433798</v>
      </c>
      <c r="AJ36" s="20">
        <f t="shared" si="25"/>
        <v>2.7636280337216901</v>
      </c>
      <c r="AK36" s="8">
        <f t="shared" si="17"/>
        <v>1.9612678479746477</v>
      </c>
      <c r="AL36" s="52" t="s">
        <v>107</v>
      </c>
      <c r="AM36" s="52" t="s">
        <v>147</v>
      </c>
    </row>
    <row r="37" spans="1:39" ht="15.75" thickBot="1" x14ac:dyDescent="0.3">
      <c r="N37" s="30" t="s">
        <v>100</v>
      </c>
      <c r="O37" s="7">
        <v>1204691</v>
      </c>
      <c r="P37" s="7">
        <v>12.5</v>
      </c>
      <c r="Q37" s="6">
        <f t="shared" si="26"/>
        <v>75</v>
      </c>
      <c r="R37" s="39">
        <f t="shared" si="27"/>
        <v>1.1283871628298627</v>
      </c>
      <c r="S37" s="7">
        <f t="shared" si="28"/>
        <v>1.1283871628298627</v>
      </c>
      <c r="T37" s="7">
        <v>7</v>
      </c>
      <c r="U37" s="6">
        <f t="shared" si="6"/>
        <v>7.8987101398090394</v>
      </c>
      <c r="V37" s="7"/>
      <c r="W37" s="24">
        <f t="shared" si="33"/>
        <v>15.797420279618079</v>
      </c>
      <c r="X37" s="7">
        <f t="shared" si="23"/>
        <v>59.20257972038192</v>
      </c>
      <c r="Y37" s="7">
        <f t="shared" si="8"/>
        <v>2.9601289860190958</v>
      </c>
      <c r="Z37" s="39">
        <f t="shared" si="16"/>
        <v>2.6233274212331867</v>
      </c>
      <c r="AA37" s="53">
        <f>AVERAGE(Z32:Z37)</f>
        <v>1.8842111244640576</v>
      </c>
      <c r="AB37" s="56">
        <f>STDEV(Z32:Z37)</f>
        <v>0.4832582150808043</v>
      </c>
      <c r="AC37" s="6">
        <f t="shared" si="30"/>
        <v>1.2522229540221501</v>
      </c>
      <c r="AD37" s="7">
        <f t="shared" si="31"/>
        <v>1.2522229540221501</v>
      </c>
      <c r="AE37" s="7">
        <v>7</v>
      </c>
      <c r="AF37" s="6">
        <f t="shared" si="11"/>
        <v>8.765560678155051</v>
      </c>
      <c r="AG37" s="7"/>
      <c r="AH37" s="24">
        <f t="shared" si="34"/>
        <v>17.531121356310102</v>
      </c>
      <c r="AI37" s="7">
        <f t="shared" si="24"/>
        <v>57.468878643689898</v>
      </c>
      <c r="AJ37" s="7">
        <f t="shared" si="25"/>
        <v>2.8734439321844949</v>
      </c>
      <c r="AK37" s="8">
        <f t="shared" si="17"/>
        <v>2.2946743812313692</v>
      </c>
      <c r="AL37" s="53">
        <f>AVERAGE(AK32:AK37)</f>
        <v>1.6951303050475979</v>
      </c>
      <c r="AM37" s="56">
        <f>STDEV(AK32:AK37)</f>
        <v>0.39776297378708497</v>
      </c>
    </row>
    <row r="39" spans="1:39" x14ac:dyDescent="0.25">
      <c r="A39" t="s">
        <v>105</v>
      </c>
      <c r="AC39" t="s">
        <v>156</v>
      </c>
      <c r="AE39" s="62" t="s">
        <v>153</v>
      </c>
      <c r="AF39" s="3"/>
      <c r="AG39" s="3"/>
      <c r="AH39" s="82"/>
      <c r="AI39" s="20"/>
      <c r="AJ39" s="20"/>
    </row>
    <row r="40" spans="1:39" x14ac:dyDescent="0.25">
      <c r="A40" t="s">
        <v>106</v>
      </c>
      <c r="M40" s="34" t="s">
        <v>75</v>
      </c>
      <c r="N40" s="34" t="s">
        <v>76</v>
      </c>
      <c r="AC40" t="s">
        <v>157</v>
      </c>
      <c r="AE40" s="1" t="s">
        <v>149</v>
      </c>
      <c r="AF40" s="58" t="s">
        <v>150</v>
      </c>
      <c r="AG40" s="57" t="s">
        <v>151</v>
      </c>
      <c r="AH40" s="20"/>
      <c r="AI40" s="20"/>
      <c r="AJ40" s="20"/>
    </row>
    <row r="41" spans="1:39" x14ac:dyDescent="0.25">
      <c r="A41" t="s">
        <v>1</v>
      </c>
      <c r="M41" s="34"/>
      <c r="N41" s="34" t="s">
        <v>135</v>
      </c>
      <c r="AC41" s="62" t="s">
        <v>152</v>
      </c>
      <c r="AD41" s="65" t="s">
        <v>154</v>
      </c>
      <c r="AE41">
        <v>0.85650532927000167</v>
      </c>
      <c r="AF41">
        <v>12.04512787214817</v>
      </c>
      <c r="AG41">
        <v>1.8842111244640576</v>
      </c>
      <c r="AH41" s="83"/>
      <c r="AI41" s="83"/>
      <c r="AJ41" s="83"/>
    </row>
    <row r="42" spans="1:39" x14ac:dyDescent="0.25">
      <c r="A42" t="s">
        <v>3</v>
      </c>
      <c r="M42" s="34"/>
      <c r="N42" s="34" t="s">
        <v>77</v>
      </c>
      <c r="AA42" t="s">
        <v>108</v>
      </c>
      <c r="AC42" s="63"/>
      <c r="AD42" s="64" t="s">
        <v>155</v>
      </c>
      <c r="AE42">
        <v>0.84619619254318934</v>
      </c>
      <c r="AF42">
        <v>7.0055729566073852</v>
      </c>
      <c r="AG42">
        <v>1.6951303050475979</v>
      </c>
      <c r="AH42" s="83"/>
      <c r="AI42" s="83"/>
      <c r="AJ42" s="83"/>
    </row>
    <row r="43" spans="1:39" x14ac:dyDescent="0.25">
      <c r="A43" s="1"/>
      <c r="B43" s="2"/>
      <c r="C43" s="3" t="s">
        <v>7</v>
      </c>
      <c r="D43" s="4"/>
      <c r="M43" s="34"/>
      <c r="N43" s="34" t="s">
        <v>136</v>
      </c>
      <c r="Y43" s="40" t="s">
        <v>109</v>
      </c>
      <c r="Z43" s="55"/>
      <c r="AA43">
        <v>0</v>
      </c>
    </row>
    <row r="44" spans="1:39" ht="15.75" thickBot="1" x14ac:dyDescent="0.3">
      <c r="A44" s="5" t="s">
        <v>9</v>
      </c>
      <c r="B44" s="6" t="s">
        <v>10</v>
      </c>
      <c r="C44" s="7" t="s">
        <v>14</v>
      </c>
      <c r="D44" s="6" t="s">
        <v>15</v>
      </c>
      <c r="N44" s="34" t="s">
        <v>78</v>
      </c>
      <c r="Y44" s="40" t="s">
        <v>110</v>
      </c>
      <c r="Z44" s="55"/>
      <c r="AA44" s="42">
        <f>AVERAGE(Z12:Z13)</f>
        <v>1.0459172181333711</v>
      </c>
      <c r="AC44" t="s">
        <v>158</v>
      </c>
      <c r="AE44" s="16" t="s">
        <v>149</v>
      </c>
      <c r="AF44" s="35" t="s">
        <v>150</v>
      </c>
      <c r="AG44" s="4" t="s">
        <v>151</v>
      </c>
    </row>
    <row r="45" spans="1:39" ht="15.75" thickBot="1" x14ac:dyDescent="0.3">
      <c r="A45" s="21">
        <v>1</v>
      </c>
      <c r="B45" s="22" t="s">
        <v>101</v>
      </c>
      <c r="C45" s="18">
        <v>0</v>
      </c>
      <c r="D45" s="22">
        <v>49515</v>
      </c>
      <c r="N45" s="34" t="s">
        <v>79</v>
      </c>
      <c r="Y45" s="40" t="s">
        <v>111</v>
      </c>
      <c r="Z45" s="55"/>
      <c r="AA45" s="42">
        <f>AVERAGE(Z14:Z15)</f>
        <v>0.71201188789453007</v>
      </c>
      <c r="AC45" t="s">
        <v>159</v>
      </c>
      <c r="AD45" s="74" t="s">
        <v>162</v>
      </c>
      <c r="AE45" s="71">
        <v>2.8500000000000001E-2</v>
      </c>
      <c r="AF45" s="71">
        <v>9.5299999999999996E-2</v>
      </c>
      <c r="AG45" s="72">
        <v>8.2000000000000007E-3</v>
      </c>
    </row>
    <row r="46" spans="1:39" x14ac:dyDescent="0.25">
      <c r="A46" s="23">
        <v>2</v>
      </c>
      <c r="B46" s="15" t="s">
        <v>102</v>
      </c>
      <c r="C46" s="9">
        <v>0</v>
      </c>
      <c r="D46" s="15">
        <v>39546</v>
      </c>
      <c r="N46" s="34" t="s">
        <v>80</v>
      </c>
      <c r="Y46" s="40" t="s">
        <v>112</v>
      </c>
      <c r="Z46" s="55"/>
      <c r="AA46" s="42">
        <f>AVERAGE(Z16:Z17)</f>
        <v>0.8115868817821037</v>
      </c>
      <c r="AC46" s="75" t="s">
        <v>160</v>
      </c>
      <c r="AD46" s="76">
        <v>426.57951880159294</v>
      </c>
      <c r="AE46" s="20">
        <f>$AD$46*AE45</f>
        <v>12.1575162858454</v>
      </c>
      <c r="AF46" s="20">
        <f t="shared" ref="AF46:AG46" si="35">$AD$46*AF45</f>
        <v>40.653028141791808</v>
      </c>
      <c r="AG46" s="73">
        <f t="shared" si="35"/>
        <v>3.4979520541730622</v>
      </c>
      <c r="AI46">
        <v>0.85650532927000167</v>
      </c>
      <c r="AJ46">
        <v>0.84619619254318934</v>
      </c>
    </row>
    <row r="47" spans="1:39" ht="15.75" thickBot="1" x14ac:dyDescent="0.3">
      <c r="A47" s="23">
        <v>3</v>
      </c>
      <c r="B47" s="15" t="s">
        <v>81</v>
      </c>
      <c r="C47" s="9">
        <v>347718</v>
      </c>
      <c r="D47" s="15">
        <v>347976</v>
      </c>
      <c r="Y47" s="41" t="s">
        <v>113</v>
      </c>
      <c r="Z47" s="41"/>
      <c r="AA47" s="42">
        <v>0</v>
      </c>
      <c r="AC47" s="77" t="s">
        <v>161</v>
      </c>
      <c r="AD47" s="78">
        <v>77.624711662869217</v>
      </c>
      <c r="AE47" s="3">
        <f>$AD$47*AE45</f>
        <v>2.2123042823917727</v>
      </c>
      <c r="AF47" s="3">
        <f t="shared" ref="AF47:AG47" si="36">$AD$47*AF45</f>
        <v>7.3976350214714364</v>
      </c>
      <c r="AG47" s="4">
        <f t="shared" si="36"/>
        <v>0.63652263563552758</v>
      </c>
      <c r="AI47">
        <v>12.04512787214817</v>
      </c>
      <c r="AJ47">
        <v>7.0055729566073852</v>
      </c>
    </row>
    <row r="48" spans="1:39" ht="15.75" thickBot="1" x14ac:dyDescent="0.3">
      <c r="A48" s="23">
        <v>4</v>
      </c>
      <c r="B48" s="15" t="s">
        <v>82</v>
      </c>
      <c r="C48" s="9">
        <v>402171</v>
      </c>
      <c r="D48" s="15">
        <v>403080</v>
      </c>
      <c r="Y48" s="41" t="s">
        <v>114</v>
      </c>
      <c r="Z48" s="41"/>
      <c r="AA48" s="42">
        <f>AVERAGE(Z24:Z25)</f>
        <v>8.7924001167181967</v>
      </c>
      <c r="AC48" s="79" t="s">
        <v>163</v>
      </c>
      <c r="AD48" s="81">
        <f>AVERAGE(AD46:AD47)</f>
        <v>252.10211523223109</v>
      </c>
      <c r="AE48" s="80">
        <f t="shared" ref="AE48:AG48" si="37">AVERAGE(AE46:AE47)</f>
        <v>7.1849102841185868</v>
      </c>
      <c r="AF48" s="80">
        <f t="shared" si="37"/>
        <v>24.025331581631622</v>
      </c>
      <c r="AG48" s="81">
        <f t="shared" si="37"/>
        <v>2.0672373449042949</v>
      </c>
      <c r="AI48">
        <v>1.8842111244640576</v>
      </c>
      <c r="AJ48">
        <v>1.6951303050475979</v>
      </c>
    </row>
    <row r="49" spans="1:27" x14ac:dyDescent="0.25">
      <c r="A49" s="23">
        <v>5</v>
      </c>
      <c r="B49" s="15" t="s">
        <v>83</v>
      </c>
      <c r="C49" s="9">
        <v>2884696</v>
      </c>
      <c r="D49" s="15">
        <v>2875301</v>
      </c>
      <c r="Y49" s="41" t="s">
        <v>115</v>
      </c>
      <c r="Z49" s="41"/>
      <c r="AA49" s="42">
        <f>AVERAGE(Z26:Z27)</f>
        <v>17.887384240273832</v>
      </c>
    </row>
    <row r="50" spans="1:27" x14ac:dyDescent="0.25">
      <c r="A50" s="23">
        <v>6</v>
      </c>
      <c r="B50" s="15" t="s">
        <v>84</v>
      </c>
      <c r="C50" s="9">
        <v>2026440</v>
      </c>
      <c r="D50" s="15">
        <v>2022114</v>
      </c>
      <c r="Y50" s="41" t="s">
        <v>116</v>
      </c>
      <c r="Z50" s="41"/>
      <c r="AA50" s="42">
        <f>AVERAGE(Z28:Z29)</f>
        <v>9.4555992594524749</v>
      </c>
    </row>
    <row r="51" spans="1:27" x14ac:dyDescent="0.25">
      <c r="A51" s="23">
        <v>7</v>
      </c>
      <c r="B51" s="15" t="s">
        <v>85</v>
      </c>
      <c r="C51" s="9">
        <v>4948429</v>
      </c>
      <c r="D51" s="15">
        <v>4934383</v>
      </c>
      <c r="Y51" s="41" t="s">
        <v>117</v>
      </c>
      <c r="Z51" s="41"/>
      <c r="AA51" s="42">
        <v>0</v>
      </c>
    </row>
    <row r="52" spans="1:27" x14ac:dyDescent="0.25">
      <c r="A52" s="23">
        <v>8</v>
      </c>
      <c r="B52" s="15" t="s">
        <v>86</v>
      </c>
      <c r="C52" s="9">
        <v>4638103</v>
      </c>
      <c r="D52" s="15">
        <v>4628932</v>
      </c>
      <c r="Y52" s="41" t="s">
        <v>118</v>
      </c>
      <c r="Z52" s="41"/>
      <c r="AA52" s="42">
        <f>AVERAGE(Z32:Z33)</f>
        <v>1.5267908785697626</v>
      </c>
    </row>
    <row r="53" spans="1:27" x14ac:dyDescent="0.25">
      <c r="A53" s="23">
        <v>9</v>
      </c>
      <c r="B53" s="15" t="s">
        <v>103</v>
      </c>
      <c r="C53" s="9">
        <v>542945</v>
      </c>
      <c r="D53" s="15">
        <v>545084</v>
      </c>
      <c r="Y53" s="41" t="s">
        <v>119</v>
      </c>
      <c r="Z53" s="41"/>
      <c r="AA53" s="42">
        <f>AVERAGE(Z34:Z35)</f>
        <v>1.7132042744268001</v>
      </c>
    </row>
    <row r="54" spans="1:27" x14ac:dyDescent="0.25">
      <c r="A54" s="16">
        <v>10</v>
      </c>
      <c r="B54" s="22" t="s">
        <v>87</v>
      </c>
      <c r="C54" s="3">
        <v>408598</v>
      </c>
      <c r="D54" s="4">
        <v>411605</v>
      </c>
      <c r="Y54" s="41" t="s">
        <v>120</v>
      </c>
      <c r="Z54" s="41"/>
      <c r="AA54" s="42">
        <f>AVERAGE(Z36:Z37)</f>
        <v>2.4126382203956096</v>
      </c>
    </row>
    <row r="55" spans="1:27" x14ac:dyDescent="0.25">
      <c r="A55" s="19">
        <v>11</v>
      </c>
      <c r="B55" s="15" t="s">
        <v>88</v>
      </c>
      <c r="C55" s="20">
        <v>764937</v>
      </c>
      <c r="D55" s="8">
        <v>764937</v>
      </c>
    </row>
    <row r="56" spans="1:27" x14ac:dyDescent="0.25">
      <c r="A56" s="19">
        <v>12</v>
      </c>
      <c r="B56" s="15" t="s">
        <v>89</v>
      </c>
      <c r="C56" s="20">
        <v>379764</v>
      </c>
      <c r="D56" s="8">
        <v>380956</v>
      </c>
    </row>
    <row r="57" spans="1:27" x14ac:dyDescent="0.25">
      <c r="A57" s="19">
        <v>13</v>
      </c>
      <c r="B57" s="15" t="s">
        <v>90</v>
      </c>
      <c r="C57" s="20">
        <v>320750</v>
      </c>
      <c r="D57" s="8">
        <v>322616</v>
      </c>
    </row>
    <row r="58" spans="1:27" x14ac:dyDescent="0.25">
      <c r="A58" s="19">
        <v>14</v>
      </c>
      <c r="B58" s="15" t="s">
        <v>91</v>
      </c>
      <c r="C58" s="20">
        <v>435019</v>
      </c>
      <c r="D58" s="8">
        <v>435019</v>
      </c>
    </row>
    <row r="59" spans="1:27" x14ac:dyDescent="0.25">
      <c r="A59" s="5">
        <v>15</v>
      </c>
      <c r="B59" s="24" t="s">
        <v>92</v>
      </c>
      <c r="C59" s="7">
        <v>580435</v>
      </c>
      <c r="D59" s="6">
        <v>581254</v>
      </c>
    </row>
    <row r="60" spans="1:27" x14ac:dyDescent="0.25">
      <c r="A60" s="16">
        <v>16</v>
      </c>
      <c r="B60" s="22" t="s">
        <v>93</v>
      </c>
      <c r="C60" s="3">
        <v>0</v>
      </c>
      <c r="D60" s="4">
        <v>19244</v>
      </c>
    </row>
    <row r="61" spans="1:27" x14ac:dyDescent="0.25">
      <c r="A61" s="19">
        <v>17</v>
      </c>
      <c r="B61" s="15" t="s">
        <v>94</v>
      </c>
      <c r="C61" s="9">
        <v>0</v>
      </c>
      <c r="D61" s="8">
        <v>17486</v>
      </c>
    </row>
    <row r="62" spans="1:27" x14ac:dyDescent="0.25">
      <c r="A62" s="19">
        <v>18</v>
      </c>
      <c r="B62" s="15" t="s">
        <v>95</v>
      </c>
      <c r="C62" s="20">
        <v>1565204</v>
      </c>
      <c r="D62" s="8">
        <v>1560896</v>
      </c>
    </row>
    <row r="63" spans="1:27" x14ac:dyDescent="0.25">
      <c r="A63" s="19">
        <v>19</v>
      </c>
      <c r="B63" s="15" t="s">
        <v>96</v>
      </c>
      <c r="C63" s="20">
        <v>1915049</v>
      </c>
      <c r="D63" s="8">
        <v>1911200</v>
      </c>
    </row>
    <row r="64" spans="1:27" x14ac:dyDescent="0.25">
      <c r="A64" s="19">
        <v>20</v>
      </c>
      <c r="B64" s="8" t="s">
        <v>104</v>
      </c>
      <c r="C64" s="9">
        <v>0</v>
      </c>
      <c r="D64" s="8">
        <v>84578</v>
      </c>
    </row>
    <row r="65" spans="1:4" x14ac:dyDescent="0.25">
      <c r="A65" s="19">
        <v>21</v>
      </c>
      <c r="B65" s="15" t="s">
        <v>97</v>
      </c>
      <c r="C65" s="20">
        <v>1488547</v>
      </c>
      <c r="D65" s="8">
        <v>1485173</v>
      </c>
    </row>
    <row r="66" spans="1:4" x14ac:dyDescent="0.25">
      <c r="A66" s="19">
        <v>22</v>
      </c>
      <c r="B66" s="15" t="s">
        <v>98</v>
      </c>
      <c r="C66" s="20">
        <v>1731437</v>
      </c>
      <c r="D66" s="8">
        <v>1728790</v>
      </c>
    </row>
    <row r="67" spans="1:4" x14ac:dyDescent="0.25">
      <c r="A67" s="19">
        <v>23</v>
      </c>
      <c r="B67" s="15" t="s">
        <v>99</v>
      </c>
      <c r="C67" s="20">
        <v>1357431</v>
      </c>
      <c r="D67" s="8">
        <v>1355616</v>
      </c>
    </row>
    <row r="68" spans="1:4" x14ac:dyDescent="0.25">
      <c r="A68" s="5">
        <v>24</v>
      </c>
      <c r="B68" s="24" t="s">
        <v>100</v>
      </c>
      <c r="C68" s="7">
        <v>1209075</v>
      </c>
      <c r="D68" s="6">
        <v>1204691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raw_data</vt:lpstr>
      <vt:lpstr>Processing_final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2021-07-21T08:16:06Z</dcterms:created>
  <dcterms:modified xsi:type="dcterms:W3CDTF">2021-09-11T18:07:08Z</dcterms:modified>
</cp:coreProperties>
</file>