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RAPL\Documents\Hencken\Porous\moisture content from load\"/>
    </mc:Choice>
  </mc:AlternateContent>
  <bookViews>
    <workbookView xWindow="0" yWindow="0" windowWidth="15285" windowHeight="6990" firstSheet="1" activeTab="1"/>
  </bookViews>
  <sheets>
    <sheet name="Air-Voids" sheetId="2" r:id="rId1"/>
    <sheet name="Moisture Content Calcs" sheetId="4" r:id="rId2"/>
    <sheet name="Sheet2" sheetId="7" r:id="rId3"/>
    <sheet name="Final input to access" sheetId="6" r:id="rId4"/>
    <sheet name="Sheet1" sheetId="5" r:id="rId5"/>
    <sheet name="Density of Water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7" i="4" l="1"/>
  <c r="X71" i="4"/>
  <c r="X72" i="4"/>
  <c r="W72" i="4" s="1"/>
  <c r="X73" i="4"/>
  <c r="W73" i="4" s="1"/>
  <c r="X74" i="4"/>
  <c r="W74" i="4" s="1"/>
  <c r="X75" i="4"/>
  <c r="X76" i="4"/>
  <c r="W76" i="4" s="1"/>
  <c r="X77" i="4"/>
  <c r="W71" i="4"/>
  <c r="U68" i="4" s="1"/>
  <c r="W75" i="4"/>
  <c r="W70" i="4"/>
  <c r="X70" i="4"/>
  <c r="U72" i="4"/>
  <c r="U73" i="4"/>
  <c r="U74" i="4"/>
  <c r="U75" i="4"/>
  <c r="U76" i="4"/>
  <c r="U77" i="4"/>
  <c r="U71" i="4"/>
  <c r="U70" i="4"/>
  <c r="T43" i="4"/>
  <c r="T44" i="4" s="1"/>
  <c r="U57" i="4"/>
  <c r="AU67" i="4"/>
  <c r="AR12" i="4" s="1"/>
  <c r="AU68" i="4"/>
  <c r="AR14" i="4" s="1"/>
  <c r="AT66" i="4"/>
  <c r="AR10" i="4" s="1"/>
  <c r="AU65" i="4"/>
  <c r="AR8" i="4" s="1"/>
  <c r="AU64" i="4"/>
  <c r="AR6" i="4" s="1"/>
  <c r="U41" i="4"/>
  <c r="U40" i="4"/>
  <c r="U39" i="4"/>
  <c r="U38" i="4"/>
  <c r="AN32" i="4" s="1"/>
  <c r="U37" i="4"/>
  <c r="U36" i="4"/>
  <c r="U35" i="4"/>
  <c r="U34" i="4"/>
  <c r="F73" i="5"/>
  <c r="F66" i="5"/>
  <c r="F67" i="5"/>
  <c r="F68" i="5"/>
  <c r="F69" i="5"/>
  <c r="F70" i="5"/>
  <c r="F71" i="5"/>
  <c r="F72" i="5"/>
  <c r="F65" i="5"/>
  <c r="G85" i="5"/>
  <c r="G77" i="5"/>
  <c r="G78" i="5"/>
  <c r="G79" i="5"/>
  <c r="G80" i="5"/>
  <c r="G81" i="5"/>
  <c r="G82" i="5"/>
  <c r="G83" i="5"/>
  <c r="D77" i="5"/>
  <c r="D78" i="5"/>
  <c r="D79" i="5"/>
  <c r="D80" i="5"/>
  <c r="D81" i="5"/>
  <c r="D82" i="5"/>
  <c r="D83" i="5"/>
  <c r="D76" i="5"/>
  <c r="G76" i="5" s="1"/>
  <c r="F54" i="5"/>
  <c r="F55" i="5"/>
  <c r="F56" i="5"/>
  <c r="F57" i="5"/>
  <c r="F58" i="5"/>
  <c r="F59" i="5"/>
  <c r="F60" i="5"/>
  <c r="F53" i="5"/>
  <c r="B53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17" i="5"/>
  <c r="AU70" i="4"/>
  <c r="AR18" i="4" s="1"/>
  <c r="AU69" i="4"/>
  <c r="AR16" i="4" s="1"/>
  <c r="AU63" i="4"/>
  <c r="AR4" i="4" s="1"/>
  <c r="AT67" i="4"/>
  <c r="AQ12" i="4" s="1"/>
  <c r="AT70" i="4"/>
  <c r="AQ18" i="4" s="1"/>
  <c r="AT69" i="4"/>
  <c r="AQ16" i="4" s="1"/>
  <c r="AT68" i="4"/>
  <c r="AQ14" i="4" s="1"/>
  <c r="AQ26" i="4" s="1"/>
  <c r="AS66" i="4"/>
  <c r="AQ10" i="4" s="1"/>
  <c r="AT65" i="4"/>
  <c r="AQ8" i="4" s="1"/>
  <c r="AT64" i="4"/>
  <c r="AQ6" i="4" s="1"/>
  <c r="AT63" i="4"/>
  <c r="AQ4" i="4" s="1"/>
  <c r="T29" i="4"/>
  <c r="U29" i="4" s="1"/>
  <c r="T30" i="4"/>
  <c r="U30" i="4" s="1"/>
  <c r="T31" i="4"/>
  <c r="U31" i="4" s="1"/>
  <c r="T28" i="4"/>
  <c r="U28" i="4" s="1"/>
  <c r="AQ22" i="4" l="1"/>
  <c r="AQ27" i="4"/>
  <c r="AQ24" i="4"/>
  <c r="AQ23" i="4"/>
  <c r="AQ28" i="4"/>
  <c r="AQ25" i="4"/>
  <c r="AQ21" i="4"/>
  <c r="F62" i="5"/>
  <c r="Q17" i="5"/>
  <c r="K17" i="5" s="1"/>
  <c r="Q24" i="5"/>
  <c r="K24" i="5" s="1"/>
  <c r="Q23" i="5"/>
  <c r="K23" i="5" s="1"/>
  <c r="Q22" i="5"/>
  <c r="K22" i="5" s="1"/>
  <c r="Q21" i="5"/>
  <c r="K21" i="5" s="1"/>
  <c r="Q20" i="5"/>
  <c r="K20" i="5" s="1"/>
  <c r="Q19" i="5"/>
  <c r="K19" i="5" s="1"/>
  <c r="Q18" i="5"/>
  <c r="K18" i="5" s="1"/>
  <c r="AZ44" i="4"/>
  <c r="BA44" i="4"/>
  <c r="AU58" i="4"/>
  <c r="AU57" i="4"/>
  <c r="AU55" i="4"/>
  <c r="AU54" i="4"/>
  <c r="AU53" i="4"/>
  <c r="AT59" i="4"/>
  <c r="AT58" i="4"/>
  <c r="AT57" i="4"/>
  <c r="AT55" i="4"/>
  <c r="AT54" i="4"/>
  <c r="AT53" i="4"/>
  <c r="AT52" i="4"/>
  <c r="AU56" i="4"/>
  <c r="AU59" i="4"/>
  <c r="AU52" i="4"/>
  <c r="AT56" i="4"/>
  <c r="AW48" i="4"/>
  <c r="BJ25" i="4"/>
  <c r="BI26" i="4"/>
  <c r="BA45" i="4" s="1"/>
  <c r="BJ9" i="4"/>
  <c r="BG18" i="4"/>
  <c r="BD14" i="4"/>
  <c r="BD13" i="4"/>
  <c r="AH27" i="4"/>
  <c r="AY5" i="4"/>
  <c r="BC1" i="4" s="1"/>
  <c r="AM18" i="4"/>
  <c r="AM16" i="4"/>
  <c r="AM6" i="4"/>
  <c r="AM8" i="4"/>
  <c r="AM10" i="4"/>
  <c r="AM12" i="4"/>
  <c r="AM14" i="4"/>
  <c r="AM4" i="4"/>
  <c r="S13" i="6"/>
  <c r="S7" i="6"/>
  <c r="AB25" i="4"/>
  <c r="AB24" i="4"/>
  <c r="Q8" i="6"/>
  <c r="Q9" i="6"/>
  <c r="Q7" i="6"/>
  <c r="S5" i="6"/>
  <c r="Q6" i="6"/>
  <c r="Q5" i="6"/>
  <c r="Q4" i="6"/>
  <c r="Q3" i="6"/>
  <c r="Q2" i="6"/>
  <c r="S37" i="4" l="1"/>
  <c r="R37" i="4"/>
  <c r="AO18" i="4"/>
  <c r="S41" i="4"/>
  <c r="R41" i="4"/>
  <c r="BJ8" i="4"/>
  <c r="S34" i="4"/>
  <c r="R34" i="4"/>
  <c r="T34" i="4" s="1"/>
  <c r="S36" i="4"/>
  <c r="R36" i="4"/>
  <c r="S39" i="4"/>
  <c r="R39" i="4"/>
  <c r="T39" i="4" s="1"/>
  <c r="S35" i="4"/>
  <c r="R35" i="4"/>
  <c r="S38" i="4"/>
  <c r="R38" i="4"/>
  <c r="S40" i="4"/>
  <c r="R40" i="4"/>
  <c r="AQ33" i="4"/>
  <c r="K7" i="5"/>
  <c r="BI27" i="4"/>
  <c r="BA46" i="4" s="1"/>
  <c r="BJ26" i="4"/>
  <c r="AZ45" i="4"/>
  <c r="AO16" i="4"/>
  <c r="AO12" i="4"/>
  <c r="AO4" i="4"/>
  <c r="AO8" i="4"/>
  <c r="BJ3" i="4"/>
  <c r="AO10" i="4"/>
  <c r="BC10" i="4"/>
  <c r="BJ4" i="4"/>
  <c r="AO14" i="4"/>
  <c r="AO6" i="4"/>
  <c r="AW47" i="4"/>
  <c r="AY4" i="4"/>
  <c r="BB1" i="4" s="1"/>
  <c r="BF18" i="4"/>
  <c r="N6" i="6"/>
  <c r="N5" i="6"/>
  <c r="BJ27" i="4" l="1"/>
  <c r="BI28" i="4"/>
  <c r="BA47" i="4" s="1"/>
  <c r="T40" i="4"/>
  <c r="T35" i="4"/>
  <c r="T36" i="4"/>
  <c r="T37" i="4"/>
  <c r="AO32" i="4"/>
  <c r="T38" i="4"/>
  <c r="AN31" i="4"/>
  <c r="AO31" i="4"/>
  <c r="T41" i="4"/>
  <c r="AZ46" i="4"/>
  <c r="BJ28" i="4"/>
  <c r="J3" i="6"/>
  <c r="K3" i="6"/>
  <c r="J4" i="6"/>
  <c r="K4" i="6"/>
  <c r="J5" i="6"/>
  <c r="K5" i="6"/>
  <c r="J6" i="6"/>
  <c r="K6" i="6"/>
  <c r="J7" i="6"/>
  <c r="K7" i="6"/>
  <c r="J8" i="6"/>
  <c r="K8" i="6" s="1"/>
  <c r="J9" i="6"/>
  <c r="K9" i="6"/>
  <c r="K2" i="6"/>
  <c r="J2" i="6"/>
  <c r="D3" i="6"/>
  <c r="D4" i="6"/>
  <c r="D5" i="6"/>
  <c r="D6" i="6"/>
  <c r="D7" i="6"/>
  <c r="D8" i="6"/>
  <c r="D9" i="6"/>
  <c r="D2" i="6"/>
  <c r="BI29" i="4" l="1"/>
  <c r="BA48" i="4" s="1"/>
  <c r="AZ47" i="4"/>
  <c r="N27" i="4"/>
  <c r="K25" i="4"/>
  <c r="O24" i="4" s="1"/>
  <c r="BI30" i="4" l="1"/>
  <c r="BA49" i="4" s="1"/>
  <c r="BJ29" i="4"/>
  <c r="AZ48" i="4"/>
  <c r="O25" i="4"/>
  <c r="N4" i="4"/>
  <c r="M4" i="4"/>
  <c r="L4" i="4"/>
  <c r="H4" i="4"/>
  <c r="BJ30" i="4" l="1"/>
  <c r="BI31" i="4"/>
  <c r="BI32" i="4" s="1"/>
  <c r="AZ49" i="4"/>
  <c r="BA50" i="4"/>
  <c r="P4" i="4"/>
  <c r="U4" i="4" s="1"/>
  <c r="V4" i="4" s="1"/>
  <c r="K26" i="4"/>
  <c r="K27" i="4"/>
  <c r="M27" i="4" s="1"/>
  <c r="K28" i="4"/>
  <c r="K29" i="4"/>
  <c r="K30" i="4"/>
  <c r="K31" i="4"/>
  <c r="K32" i="4"/>
  <c r="K33" i="4"/>
  <c r="K34" i="4"/>
  <c r="K35" i="4"/>
  <c r="K36" i="4"/>
  <c r="K37" i="4"/>
  <c r="K38" i="4"/>
  <c r="K39" i="4"/>
  <c r="K2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V51" i="2"/>
  <c r="V43" i="2"/>
  <c r="V47" i="2"/>
  <c r="V45" i="2"/>
  <c r="U45" i="2"/>
  <c r="BJ31" i="4" l="1"/>
  <c r="AZ50" i="4"/>
  <c r="AZ51" i="4"/>
  <c r="BI33" i="4"/>
  <c r="BA51" i="4"/>
  <c r="BJ32" i="4"/>
  <c r="F11" i="5"/>
  <c r="G11" i="5"/>
  <c r="F12" i="5"/>
  <c r="G12" i="5"/>
  <c r="G10" i="5"/>
  <c r="F10" i="5"/>
  <c r="H3" i="5"/>
  <c r="BI34" i="4" l="1"/>
  <c r="BJ33" i="4"/>
  <c r="AZ52" i="4"/>
  <c r="BA52" i="4"/>
  <c r="Y5" i="4"/>
  <c r="AA5" i="4" s="1"/>
  <c r="Y6" i="4"/>
  <c r="AA6" i="4" s="1"/>
  <c r="W6" i="4"/>
  <c r="Z6" i="4" s="1"/>
  <c r="Y7" i="4"/>
  <c r="AA7" i="4" s="1"/>
  <c r="Y8" i="4"/>
  <c r="AA8" i="4" s="1"/>
  <c r="Y9" i="4"/>
  <c r="AA9" i="4" s="1"/>
  <c r="Y10" i="4"/>
  <c r="AA10" i="4" s="1"/>
  <c r="Y11" i="4"/>
  <c r="AA11" i="4" s="1"/>
  <c r="Y12" i="4"/>
  <c r="AA12" i="4" s="1"/>
  <c r="Y13" i="4"/>
  <c r="AA13" i="4" s="1"/>
  <c r="Y14" i="4"/>
  <c r="AA14" i="4" s="1"/>
  <c r="Y15" i="4"/>
  <c r="AA15" i="4" s="1"/>
  <c r="Y16" i="4"/>
  <c r="AA16" i="4" s="1"/>
  <c r="Y17" i="4"/>
  <c r="AA17" i="4" s="1"/>
  <c r="Y18" i="4"/>
  <c r="AA18" i="4" s="1"/>
  <c r="Y19" i="4"/>
  <c r="AA19" i="4" s="1"/>
  <c r="Y4" i="4"/>
  <c r="W4" i="4" s="1"/>
  <c r="Z4" i="4" s="1"/>
  <c r="L19" i="4"/>
  <c r="M19" i="4"/>
  <c r="N19" i="4"/>
  <c r="O19" i="4"/>
  <c r="Q19" i="4" s="1"/>
  <c r="L17" i="4"/>
  <c r="M17" i="4"/>
  <c r="N17" i="4"/>
  <c r="O17" i="4"/>
  <c r="Q17" i="4" s="1"/>
  <c r="L15" i="4"/>
  <c r="M15" i="4"/>
  <c r="N15" i="4"/>
  <c r="O15" i="4"/>
  <c r="S15" i="4" s="1"/>
  <c r="L13" i="4"/>
  <c r="M13" i="4"/>
  <c r="N13" i="4"/>
  <c r="O13" i="4"/>
  <c r="Q13" i="4" s="1"/>
  <c r="L11" i="4"/>
  <c r="M11" i="4"/>
  <c r="N11" i="4"/>
  <c r="O11" i="4"/>
  <c r="Q11" i="4" s="1"/>
  <c r="L9" i="4"/>
  <c r="M9" i="4"/>
  <c r="N9" i="4"/>
  <c r="O9" i="4"/>
  <c r="Q9" i="4" s="1"/>
  <c r="L7" i="4"/>
  <c r="M7" i="4"/>
  <c r="N7" i="4"/>
  <c r="O7" i="4"/>
  <c r="S7" i="4" s="1"/>
  <c r="L5" i="4"/>
  <c r="M5" i="4"/>
  <c r="N5" i="4"/>
  <c r="O5" i="4"/>
  <c r="Q5" i="4" s="1"/>
  <c r="L6" i="4"/>
  <c r="M6" i="4"/>
  <c r="N6" i="4"/>
  <c r="L8" i="4"/>
  <c r="M8" i="4"/>
  <c r="N8" i="4"/>
  <c r="L10" i="4"/>
  <c r="M10" i="4"/>
  <c r="N10" i="4"/>
  <c r="L12" i="4"/>
  <c r="M12" i="4"/>
  <c r="N12" i="4"/>
  <c r="L14" i="4"/>
  <c r="M14" i="4"/>
  <c r="N14" i="4"/>
  <c r="L16" i="4"/>
  <c r="M16" i="4"/>
  <c r="N16" i="4"/>
  <c r="L18" i="4"/>
  <c r="M18" i="4"/>
  <c r="N18" i="4"/>
  <c r="O4" i="4"/>
  <c r="S4" i="4" s="1"/>
  <c r="O6" i="4"/>
  <c r="Q6" i="4" s="1"/>
  <c r="O8" i="4"/>
  <c r="S8" i="4" s="1"/>
  <c r="O10" i="4"/>
  <c r="Q10" i="4" s="1"/>
  <c r="O12" i="4"/>
  <c r="S12" i="4" s="1"/>
  <c r="O14" i="4"/>
  <c r="Q14" i="4" s="1"/>
  <c r="O16" i="4"/>
  <c r="S16" i="4" s="1"/>
  <c r="O18" i="4"/>
  <c r="S18" i="4" s="1"/>
  <c r="K48" i="2"/>
  <c r="L48" i="2"/>
  <c r="R48" i="2"/>
  <c r="K49" i="2"/>
  <c r="L49" i="2"/>
  <c r="R49" i="2"/>
  <c r="K50" i="2"/>
  <c r="L50" i="2"/>
  <c r="R50" i="2"/>
  <c r="K51" i="2"/>
  <c r="L51" i="2"/>
  <c r="S51" i="2" s="1"/>
  <c r="R51" i="2"/>
  <c r="K52" i="2"/>
  <c r="L52" i="2"/>
  <c r="R52" i="2"/>
  <c r="K53" i="2"/>
  <c r="L53" i="2"/>
  <c r="R53" i="2"/>
  <c r="K54" i="2"/>
  <c r="L54" i="2"/>
  <c r="R54" i="2"/>
  <c r="K55" i="2"/>
  <c r="L55" i="2"/>
  <c r="S55" i="2" s="1"/>
  <c r="R55" i="2"/>
  <c r="K56" i="2"/>
  <c r="L56" i="2"/>
  <c r="R56" i="2"/>
  <c r="K57" i="2"/>
  <c r="L57" i="2"/>
  <c r="R57" i="2"/>
  <c r="P49" i="2"/>
  <c r="O49" i="2"/>
  <c r="Q49" i="2"/>
  <c r="P50" i="2"/>
  <c r="O50" i="2"/>
  <c r="Q50" i="2"/>
  <c r="P51" i="2"/>
  <c r="Q51" i="2" s="1"/>
  <c r="O51" i="2"/>
  <c r="P52" i="2"/>
  <c r="Q52" i="2" s="1"/>
  <c r="O52" i="2"/>
  <c r="P53" i="2"/>
  <c r="O53" i="2"/>
  <c r="Q53" i="2"/>
  <c r="P54" i="2"/>
  <c r="O54" i="2"/>
  <c r="Q54" i="2"/>
  <c r="P55" i="2"/>
  <c r="Q55" i="2" s="1"/>
  <c r="O55" i="2"/>
  <c r="P56" i="2"/>
  <c r="O56" i="2"/>
  <c r="P57" i="2"/>
  <c r="O57" i="2"/>
  <c r="Q57" i="2"/>
  <c r="O48" i="2"/>
  <c r="P48" i="2"/>
  <c r="Q48" i="2"/>
  <c r="N57" i="2"/>
  <c r="N56" i="2"/>
  <c r="N55" i="2"/>
  <c r="N54" i="2"/>
  <c r="N53" i="2"/>
  <c r="N52" i="2"/>
  <c r="N51" i="2"/>
  <c r="N50" i="2"/>
  <c r="N49" i="2"/>
  <c r="N48" i="2"/>
  <c r="K38" i="2"/>
  <c r="L38" i="2"/>
  <c r="R38" i="2"/>
  <c r="K39" i="2"/>
  <c r="L39" i="2"/>
  <c r="S39" i="2" s="1"/>
  <c r="R39" i="2"/>
  <c r="K40" i="2"/>
  <c r="L40" i="2"/>
  <c r="R40" i="2"/>
  <c r="K41" i="2"/>
  <c r="L41" i="2"/>
  <c r="R41" i="2"/>
  <c r="K42" i="2"/>
  <c r="L42" i="2"/>
  <c r="R42" i="2"/>
  <c r="K43" i="2"/>
  <c r="L43" i="2"/>
  <c r="S43" i="2" s="1"/>
  <c r="R43" i="2"/>
  <c r="K44" i="2"/>
  <c r="L44" i="2"/>
  <c r="R44" i="2"/>
  <c r="E45" i="2"/>
  <c r="K45" i="2"/>
  <c r="L45" i="2"/>
  <c r="S45" i="2" s="1"/>
  <c r="R45" i="2"/>
  <c r="K46" i="2"/>
  <c r="L46" i="2"/>
  <c r="S46" i="2" s="1"/>
  <c r="R46" i="2"/>
  <c r="K47" i="2"/>
  <c r="L47" i="2" s="1"/>
  <c r="R47" i="2"/>
  <c r="P38" i="2"/>
  <c r="O38" i="2"/>
  <c r="P39" i="2"/>
  <c r="O39" i="2"/>
  <c r="Q39" i="2"/>
  <c r="P40" i="2"/>
  <c r="O40" i="2"/>
  <c r="Q40" i="2"/>
  <c r="P41" i="2"/>
  <c r="Q41" i="2" s="1"/>
  <c r="O41" i="2"/>
  <c r="P42" i="2"/>
  <c r="O42" i="2"/>
  <c r="P43" i="2"/>
  <c r="O43" i="2"/>
  <c r="Q43" i="2" s="1"/>
  <c r="P44" i="2"/>
  <c r="O44" i="2"/>
  <c r="Q44" i="2"/>
  <c r="P45" i="2"/>
  <c r="Q45" i="2" s="1"/>
  <c r="O45" i="2"/>
  <c r="P46" i="2"/>
  <c r="O46" i="2"/>
  <c r="P47" i="2"/>
  <c r="O47" i="2"/>
  <c r="Q47" i="2"/>
  <c r="N39" i="2"/>
  <c r="N40" i="2"/>
  <c r="N41" i="2"/>
  <c r="N42" i="2"/>
  <c r="N43" i="2"/>
  <c r="N44" i="2"/>
  <c r="N45" i="2"/>
  <c r="N46" i="2"/>
  <c r="N47" i="2"/>
  <c r="N38" i="2"/>
  <c r="K36" i="2"/>
  <c r="L36" i="2"/>
  <c r="S36" i="2" s="1"/>
  <c r="R36" i="2"/>
  <c r="K37" i="2"/>
  <c r="L37" i="2"/>
  <c r="S37" i="2" s="1"/>
  <c r="R37" i="2"/>
  <c r="P36" i="2"/>
  <c r="Q36" i="2" s="1"/>
  <c r="P37" i="2"/>
  <c r="Q37" i="2"/>
  <c r="K31" i="2"/>
  <c r="L31" i="2" s="1"/>
  <c r="S31" i="2" s="1"/>
  <c r="R31" i="2"/>
  <c r="K32" i="2"/>
  <c r="L32" i="2"/>
  <c r="S32" i="2" s="1"/>
  <c r="R32" i="2"/>
  <c r="K33" i="2"/>
  <c r="L33" i="2"/>
  <c r="S33" i="2" s="1"/>
  <c r="R33" i="2"/>
  <c r="K34" i="2"/>
  <c r="L34" i="2"/>
  <c r="R34" i="2"/>
  <c r="S34" i="2"/>
  <c r="K35" i="2"/>
  <c r="L35" i="2"/>
  <c r="R35" i="2"/>
  <c r="S35" i="2"/>
  <c r="P31" i="2"/>
  <c r="Q31" i="2"/>
  <c r="P32" i="2"/>
  <c r="Q32" i="2"/>
  <c r="P33" i="2"/>
  <c r="Q33" i="2"/>
  <c r="P34" i="2"/>
  <c r="Q34" i="2"/>
  <c r="P35" i="2"/>
  <c r="Q35" i="2"/>
  <c r="P30" i="2"/>
  <c r="Q30" i="2"/>
  <c r="R30" i="2"/>
  <c r="K30" i="2"/>
  <c r="L30" i="2" s="1"/>
  <c r="S30" i="2"/>
  <c r="K27" i="2"/>
  <c r="L27" i="2" s="1"/>
  <c r="S27" i="2" s="1"/>
  <c r="R27" i="2"/>
  <c r="K28" i="2"/>
  <c r="L28" i="2" s="1"/>
  <c r="S28" i="2" s="1"/>
  <c r="R28" i="2"/>
  <c r="K29" i="2"/>
  <c r="L29" i="2" s="1"/>
  <c r="S29" i="2" s="1"/>
  <c r="R29" i="2"/>
  <c r="P26" i="2"/>
  <c r="Q26" i="2" s="1"/>
  <c r="P27" i="2"/>
  <c r="Q27" i="2"/>
  <c r="P28" i="2"/>
  <c r="Q28" i="2" s="1"/>
  <c r="P29" i="2"/>
  <c r="Q29" i="2"/>
  <c r="K26" i="2"/>
  <c r="L26" i="2" s="1"/>
  <c r="S26" i="2" s="1"/>
  <c r="R26" i="2"/>
  <c r="K21" i="2"/>
  <c r="L21" i="2" s="1"/>
  <c r="S21" i="2" s="1"/>
  <c r="R21" i="2"/>
  <c r="K22" i="2"/>
  <c r="L22" i="2" s="1"/>
  <c r="S22" i="2" s="1"/>
  <c r="R22" i="2"/>
  <c r="K23" i="2"/>
  <c r="L23" i="2" s="1"/>
  <c r="S23" i="2" s="1"/>
  <c r="R23" i="2"/>
  <c r="K24" i="2"/>
  <c r="L24" i="2" s="1"/>
  <c r="S24" i="2" s="1"/>
  <c r="R24" i="2"/>
  <c r="K25" i="2"/>
  <c r="L25" i="2" s="1"/>
  <c r="S25" i="2" s="1"/>
  <c r="R25" i="2"/>
  <c r="P21" i="2"/>
  <c r="Q21" i="2" s="1"/>
  <c r="P22" i="2"/>
  <c r="Q22" i="2"/>
  <c r="P23" i="2"/>
  <c r="Q23" i="2" s="1"/>
  <c r="P24" i="2"/>
  <c r="Q24" i="2"/>
  <c r="P25" i="2"/>
  <c r="Q25" i="2" s="1"/>
  <c r="P20" i="2"/>
  <c r="Q20" i="2"/>
  <c r="R20" i="2"/>
  <c r="S20" i="2" s="1"/>
  <c r="K20" i="2"/>
  <c r="L20" i="2" s="1"/>
  <c r="C4" i="3"/>
  <c r="R19" i="2"/>
  <c r="P19" i="2"/>
  <c r="Q19" i="2"/>
  <c r="K19" i="2"/>
  <c r="L19" i="2"/>
  <c r="S19" i="2" s="1"/>
  <c r="R18" i="2"/>
  <c r="P18" i="2"/>
  <c r="Q18" i="2"/>
  <c r="K18" i="2"/>
  <c r="L18" i="2"/>
  <c r="S18" i="2"/>
  <c r="R17" i="2"/>
  <c r="P17" i="2"/>
  <c r="Q17" i="2"/>
  <c r="K17" i="2"/>
  <c r="L17" i="2"/>
  <c r="S17" i="2" s="1"/>
  <c r="R16" i="2"/>
  <c r="P16" i="2"/>
  <c r="Q16" i="2"/>
  <c r="K16" i="2"/>
  <c r="L16" i="2"/>
  <c r="S16" i="2" s="1"/>
  <c r="R15" i="2"/>
  <c r="P15" i="2"/>
  <c r="Q15" i="2"/>
  <c r="K15" i="2"/>
  <c r="L15" i="2"/>
  <c r="S15" i="2" s="1"/>
  <c r="R14" i="2"/>
  <c r="P14" i="2"/>
  <c r="Q14" i="2" s="1"/>
  <c r="K14" i="2"/>
  <c r="L14" i="2"/>
  <c r="S14" i="2"/>
  <c r="R13" i="2"/>
  <c r="P13" i="2"/>
  <c r="Q13" i="2"/>
  <c r="K13" i="2"/>
  <c r="L13" i="2" s="1"/>
  <c r="S13" i="2" s="1"/>
  <c r="R12" i="2"/>
  <c r="P12" i="2"/>
  <c r="Q12" i="2"/>
  <c r="K12" i="2"/>
  <c r="L12" i="2"/>
  <c r="S12" i="2"/>
  <c r="R11" i="2"/>
  <c r="P11" i="2"/>
  <c r="Q11" i="2"/>
  <c r="K11" i="2"/>
  <c r="L11" i="2"/>
  <c r="S11" i="2" s="1"/>
  <c r="R10" i="2"/>
  <c r="P10" i="2"/>
  <c r="Q10" i="2"/>
  <c r="K10" i="2"/>
  <c r="L10" i="2"/>
  <c r="S10" i="2"/>
  <c r="R9" i="2"/>
  <c r="P9" i="2"/>
  <c r="Q9" i="2"/>
  <c r="K9" i="2"/>
  <c r="L9" i="2"/>
  <c r="S9" i="2" s="1"/>
  <c r="R8" i="2"/>
  <c r="P8" i="2"/>
  <c r="Q8" i="2"/>
  <c r="K8" i="2"/>
  <c r="L8" i="2"/>
  <c r="S8" i="2" s="1"/>
  <c r="R7" i="2"/>
  <c r="P7" i="2"/>
  <c r="Q7" i="2"/>
  <c r="K7" i="2"/>
  <c r="L7" i="2"/>
  <c r="S7" i="2" s="1"/>
  <c r="R6" i="2"/>
  <c r="P6" i="2"/>
  <c r="Q6" i="2" s="1"/>
  <c r="K6" i="2"/>
  <c r="L6" i="2"/>
  <c r="S6" i="2"/>
  <c r="R5" i="2"/>
  <c r="P5" i="2"/>
  <c r="Q5" i="2"/>
  <c r="K5" i="2"/>
  <c r="L5" i="2" s="1"/>
  <c r="S5" i="2" s="1"/>
  <c r="R4" i="2"/>
  <c r="P4" i="2"/>
  <c r="Q4" i="2"/>
  <c r="K4" i="2"/>
  <c r="L4" i="2"/>
  <c r="S4" i="2"/>
  <c r="R3" i="2"/>
  <c r="P3" i="2"/>
  <c r="Q3" i="2"/>
  <c r="K3" i="2"/>
  <c r="L3" i="2"/>
  <c r="S3" i="2" s="1"/>
  <c r="R2" i="2"/>
  <c r="P2" i="2"/>
  <c r="Q2" i="2"/>
  <c r="K2" i="2"/>
  <c r="L2" i="2"/>
  <c r="S2" i="2"/>
  <c r="W10" i="4" l="1"/>
  <c r="Z10" i="4" s="1"/>
  <c r="W18" i="4"/>
  <c r="Z18" i="4" s="1"/>
  <c r="W14" i="4"/>
  <c r="Z14" i="4" s="1"/>
  <c r="AB14" i="4" s="1"/>
  <c r="AC14" i="4" s="1"/>
  <c r="AD14" i="4" s="1"/>
  <c r="AA4" i="4"/>
  <c r="AE4" i="4" s="1"/>
  <c r="AF4" i="4" s="1"/>
  <c r="AG4" i="4" s="1"/>
  <c r="W12" i="4"/>
  <c r="Z12" i="4" s="1"/>
  <c r="W16" i="4"/>
  <c r="Z16" i="4" s="1"/>
  <c r="W8" i="4"/>
  <c r="Z8" i="4" s="1"/>
  <c r="W19" i="4"/>
  <c r="Z19" i="4" s="1"/>
  <c r="W17" i="4"/>
  <c r="Z17" i="4" s="1"/>
  <c r="W15" i="4"/>
  <c r="Z15" i="4" s="1"/>
  <c r="W13" i="4"/>
  <c r="Z13" i="4" s="1"/>
  <c r="W11" i="4"/>
  <c r="Z11" i="4" s="1"/>
  <c r="W9" i="4"/>
  <c r="Z9" i="4" s="1"/>
  <c r="W7" i="4"/>
  <c r="Z7" i="4" s="1"/>
  <c r="AB6" i="4" s="1"/>
  <c r="AC6" i="4" s="1"/>
  <c r="AD6" i="4" s="1"/>
  <c r="W5" i="4"/>
  <c r="Z5" i="4" s="1"/>
  <c r="AB4" i="4" s="1"/>
  <c r="AC4" i="4" s="1"/>
  <c r="AD4" i="4" s="1"/>
  <c r="S11" i="4"/>
  <c r="S10" i="4"/>
  <c r="Q18" i="4"/>
  <c r="S13" i="4"/>
  <c r="BI35" i="4"/>
  <c r="BJ34" i="4"/>
  <c r="AZ53" i="4"/>
  <c r="BA53" i="4"/>
  <c r="S9" i="4"/>
  <c r="P11" i="4"/>
  <c r="T11" i="4" s="1"/>
  <c r="S14" i="4"/>
  <c r="Q15" i="4"/>
  <c r="S6" i="4"/>
  <c r="S5" i="4"/>
  <c r="P5" i="4"/>
  <c r="U5" i="4" s="1"/>
  <c r="V5" i="4" s="1"/>
  <c r="P7" i="4"/>
  <c r="R7" i="4" s="1"/>
  <c r="Q12" i="4"/>
  <c r="P12" i="4"/>
  <c r="U12" i="4" s="1"/>
  <c r="V12" i="4" s="1"/>
  <c r="Q4" i="4"/>
  <c r="P14" i="4"/>
  <c r="U14" i="4" s="1"/>
  <c r="V14" i="4" s="1"/>
  <c r="P6" i="4"/>
  <c r="R6" i="4" s="1"/>
  <c r="S19" i="4"/>
  <c r="P19" i="4"/>
  <c r="T19" i="4" s="1"/>
  <c r="AE18" i="4"/>
  <c r="AF18" i="4" s="1"/>
  <c r="AG18" i="4" s="1"/>
  <c r="AE16" i="4"/>
  <c r="AF16" i="4" s="1"/>
  <c r="AG16" i="4" s="1"/>
  <c r="AE14" i="4"/>
  <c r="AF14" i="4" s="1"/>
  <c r="AG14" i="4" s="1"/>
  <c r="AE12" i="4"/>
  <c r="AF12" i="4" s="1"/>
  <c r="AG12" i="4" s="1"/>
  <c r="AE10" i="4"/>
  <c r="AF10" i="4" s="1"/>
  <c r="AG10" i="4" s="1"/>
  <c r="AE8" i="4"/>
  <c r="AF8" i="4" s="1"/>
  <c r="AG8" i="4" s="1"/>
  <c r="AE6" i="4"/>
  <c r="AF6" i="4" s="1"/>
  <c r="AG6" i="4" s="1"/>
  <c r="P13" i="4"/>
  <c r="U13" i="4" s="1"/>
  <c r="V13" i="4" s="1"/>
  <c r="Q8" i="4"/>
  <c r="Q16" i="4"/>
  <c r="S17" i="4"/>
  <c r="P17" i="4"/>
  <c r="U17" i="4" s="1"/>
  <c r="V17" i="4" s="1"/>
  <c r="S47" i="2"/>
  <c r="T47" i="2" s="1"/>
  <c r="U47" i="2"/>
  <c r="T30" i="2"/>
  <c r="Q46" i="2"/>
  <c r="Q38" i="2"/>
  <c r="S44" i="2"/>
  <c r="T45" i="2" s="1"/>
  <c r="S40" i="2"/>
  <c r="S56" i="2"/>
  <c r="S52" i="2"/>
  <c r="S48" i="2"/>
  <c r="P16" i="4"/>
  <c r="U16" i="4" s="1"/>
  <c r="V16" i="4" s="1"/>
  <c r="P8" i="4"/>
  <c r="U8" i="4" s="1"/>
  <c r="V8" i="4" s="1"/>
  <c r="P9" i="4"/>
  <c r="U9" i="4" s="1"/>
  <c r="V9" i="4" s="1"/>
  <c r="S41" i="2"/>
  <c r="Q56" i="2"/>
  <c r="S57" i="2"/>
  <c r="S53" i="2"/>
  <c r="S49" i="2"/>
  <c r="P18" i="4"/>
  <c r="U18" i="4" s="1"/>
  <c r="V18" i="4" s="1"/>
  <c r="P10" i="4"/>
  <c r="U10" i="4" s="1"/>
  <c r="V10" i="4" s="1"/>
  <c r="Q42" i="2"/>
  <c r="U43" i="2"/>
  <c r="S42" i="2"/>
  <c r="T43" i="2" s="1"/>
  <c r="S38" i="2"/>
  <c r="S54" i="2"/>
  <c r="S50" i="2"/>
  <c r="T51" i="2" s="1"/>
  <c r="U51" i="2"/>
  <c r="Q7" i="4"/>
  <c r="P15" i="4"/>
  <c r="U15" i="4" s="1"/>
  <c r="V15" i="4" s="1"/>
  <c r="AB10" i="4" l="1"/>
  <c r="AC10" i="4" s="1"/>
  <c r="AD10" i="4" s="1"/>
  <c r="AB18" i="4"/>
  <c r="AC18" i="4" s="1"/>
  <c r="AD18" i="4" s="1"/>
  <c r="AB8" i="4"/>
  <c r="AC8" i="4" s="1"/>
  <c r="AD8" i="4" s="1"/>
  <c r="T6" i="4"/>
  <c r="AH6" i="4" s="1"/>
  <c r="AP6" i="4" s="1"/>
  <c r="AB12" i="4"/>
  <c r="AC12" i="4" s="1"/>
  <c r="AD12" i="4" s="1"/>
  <c r="AB16" i="4"/>
  <c r="AC16" i="4" s="1"/>
  <c r="AD16" i="4" s="1"/>
  <c r="T14" i="4"/>
  <c r="AH14" i="4" s="1"/>
  <c r="AP14" i="4" s="1"/>
  <c r="R19" i="4"/>
  <c r="T5" i="4"/>
  <c r="U19" i="4"/>
  <c r="V19" i="4" s="1"/>
  <c r="BI36" i="4"/>
  <c r="BA54" i="4"/>
  <c r="BJ35" i="4"/>
  <c r="AZ54" i="4"/>
  <c r="R11" i="4"/>
  <c r="U11" i="4"/>
  <c r="V11" i="4" s="1"/>
  <c r="U7" i="4"/>
  <c r="V7" i="4" s="1"/>
  <c r="T7" i="4"/>
  <c r="R5" i="4"/>
  <c r="U6" i="4"/>
  <c r="V6" i="4" s="1"/>
  <c r="T12" i="4"/>
  <c r="AH12" i="4" s="1"/>
  <c r="R17" i="4"/>
  <c r="R14" i="4"/>
  <c r="T13" i="4"/>
  <c r="R12" i="4"/>
  <c r="R13" i="4"/>
  <c r="T17" i="4"/>
  <c r="R10" i="4"/>
  <c r="T10" i="4"/>
  <c r="AH10" i="4" s="1"/>
  <c r="AP10" i="4" s="1"/>
  <c r="R9" i="4"/>
  <c r="T9" i="4"/>
  <c r="T4" i="4"/>
  <c r="AH4" i="4" s="1"/>
  <c r="AP4" i="4" s="1"/>
  <c r="R4" i="4"/>
  <c r="R18" i="4"/>
  <c r="T18" i="4"/>
  <c r="AH18" i="4" s="1"/>
  <c r="AP18" i="4" s="1"/>
  <c r="R15" i="4"/>
  <c r="T15" i="4"/>
  <c r="T8" i="4"/>
  <c r="AH8" i="4" s="1"/>
  <c r="AP8" i="4" s="1"/>
  <c r="R8" i="4"/>
  <c r="T16" i="4"/>
  <c r="AH16" i="4" s="1"/>
  <c r="AP16" i="4" s="1"/>
  <c r="R16" i="4"/>
  <c r="AI6" i="4" l="1"/>
  <c r="AJ14" i="4"/>
  <c r="AD35" i="4" s="1"/>
  <c r="AE35" i="4" s="1"/>
  <c r="AF35" i="4" s="1"/>
  <c r="AI14" i="4"/>
  <c r="AK14" i="4" s="1"/>
  <c r="AI12" i="4"/>
  <c r="AK12" i="4" s="1"/>
  <c r="AP12" i="4"/>
  <c r="AS14" i="4"/>
  <c r="BI37" i="4"/>
  <c r="AZ55" i="4"/>
  <c r="BA55" i="4"/>
  <c r="BJ36" i="4"/>
  <c r="AJ12" i="4"/>
  <c r="AJ6" i="4"/>
  <c r="AK6" i="4"/>
  <c r="AJ10" i="4"/>
  <c r="AI10" i="4"/>
  <c r="AK10" i="4" s="1"/>
  <c r="AJ16" i="4"/>
  <c r="AI16" i="4"/>
  <c r="AK16" i="4" s="1"/>
  <c r="AJ4" i="4"/>
  <c r="AS4" i="4" s="1"/>
  <c r="AI4" i="4"/>
  <c r="AK4" i="4" s="1"/>
  <c r="AJ18" i="4"/>
  <c r="AI18" i="4"/>
  <c r="AK18" i="4" s="1"/>
  <c r="AJ8" i="4"/>
  <c r="AI8" i="4"/>
  <c r="AK8" i="4" s="1"/>
  <c r="AD36" i="4" l="1"/>
  <c r="AE36" i="4" s="1"/>
  <c r="AF36" i="4" s="1"/>
  <c r="AS18" i="4"/>
  <c r="AD40" i="4"/>
  <c r="AE40" i="4" s="1"/>
  <c r="AF40" i="4" s="1"/>
  <c r="AD39" i="4"/>
  <c r="AE39" i="4" s="1"/>
  <c r="AF39" i="4" s="1"/>
  <c r="AS16" i="4"/>
  <c r="AD38" i="4"/>
  <c r="AE38" i="4" s="1"/>
  <c r="AF38" i="4" s="1"/>
  <c r="AD37" i="4"/>
  <c r="AE37" i="4" s="1"/>
  <c r="AF37" i="4" s="1"/>
  <c r="AD28" i="4"/>
  <c r="AE28" i="4" s="1"/>
  <c r="AF28" i="4" s="1"/>
  <c r="AS6" i="4"/>
  <c r="BK9" i="4"/>
  <c r="AD27" i="4"/>
  <c r="AE27" i="4" s="1"/>
  <c r="AF27" i="4" s="1"/>
  <c r="AD34" i="4"/>
  <c r="AE34" i="4" s="1"/>
  <c r="AF34" i="4" s="1"/>
  <c r="AS12" i="4"/>
  <c r="AD33" i="4"/>
  <c r="AE33" i="4" s="1"/>
  <c r="AF33" i="4" s="1"/>
  <c r="AZ56" i="4"/>
  <c r="BA56" i="4"/>
  <c r="BI38" i="4"/>
  <c r="BJ37" i="4"/>
  <c r="AS8" i="4"/>
  <c r="AD30" i="4"/>
  <c r="AE30" i="4" s="1"/>
  <c r="AF30" i="4" s="1"/>
  <c r="AD29" i="4"/>
  <c r="AE29" i="4" s="1"/>
  <c r="AF29" i="4" s="1"/>
  <c r="AE25" i="4"/>
  <c r="AF25" i="4" s="1"/>
  <c r="BK3" i="4"/>
  <c r="BJ6" i="4"/>
  <c r="BI19" i="4" s="1"/>
  <c r="AD26" i="4"/>
  <c r="AE26" i="4" s="1"/>
  <c r="AF26" i="4" s="1"/>
  <c r="BF5" i="4"/>
  <c r="BF6" i="4" s="1"/>
  <c r="BJ5" i="4"/>
  <c r="AW4" i="4"/>
  <c r="BK8" i="4"/>
  <c r="BJ19" i="4"/>
  <c r="BG5" i="4"/>
  <c r="AS10" i="4"/>
  <c r="AD32" i="4"/>
  <c r="AE32" i="4" s="1"/>
  <c r="AF32" i="4" s="1"/>
  <c r="AD31" i="4"/>
  <c r="AE31" i="4" s="1"/>
  <c r="AF31" i="4" s="1"/>
  <c r="BI18" i="4" l="1"/>
  <c r="BJ18" i="4" s="1"/>
  <c r="BK18" i="4" s="1"/>
  <c r="BI39" i="4"/>
  <c r="BJ38" i="4"/>
  <c r="AZ57" i="4"/>
  <c r="BA57" i="4"/>
  <c r="AZ58" i="4" l="1"/>
  <c r="BI40" i="4"/>
  <c r="BA58" i="4"/>
  <c r="BJ39" i="4"/>
  <c r="BI41" i="4" l="1"/>
  <c r="AZ59" i="4"/>
  <c r="BA59" i="4"/>
  <c r="BJ40" i="4"/>
  <c r="BI42" i="4" l="1"/>
  <c r="BJ41" i="4"/>
  <c r="AZ60" i="4"/>
  <c r="BA60" i="4"/>
  <c r="BI43" i="4" l="1"/>
  <c r="BJ42" i="4"/>
  <c r="AZ61" i="4"/>
  <c r="BA61" i="4"/>
  <c r="BI44" i="4" l="1"/>
  <c r="BA62" i="4"/>
  <c r="BJ43" i="4"/>
  <c r="AZ62" i="4"/>
  <c r="BI45" i="4" l="1"/>
  <c r="AZ63" i="4"/>
  <c r="BA63" i="4"/>
  <c r="BJ44" i="4"/>
  <c r="BJ45" i="4" l="1"/>
  <c r="AZ64" i="4"/>
  <c r="BA64" i="4"/>
  <c r="BI46" i="4"/>
  <c r="BJ46" i="4" l="1"/>
  <c r="AZ65" i="4"/>
  <c r="BA65" i="4"/>
</calcChain>
</file>

<file path=xl/sharedStrings.xml><?xml version="1.0" encoding="utf-8"?>
<sst xmlns="http://schemas.openxmlformats.org/spreadsheetml/2006/main" count="615" uniqueCount="329">
  <si>
    <t>3B</t>
  </si>
  <si>
    <t>3A</t>
  </si>
  <si>
    <t>5A</t>
  </si>
  <si>
    <t>4A</t>
  </si>
  <si>
    <t>5B</t>
  </si>
  <si>
    <t>4B</t>
  </si>
  <si>
    <t>6A</t>
  </si>
  <si>
    <t>10A</t>
  </si>
  <si>
    <t>6B</t>
  </si>
  <si>
    <t>10B</t>
  </si>
  <si>
    <t>7A</t>
  </si>
  <si>
    <t>7B</t>
  </si>
  <si>
    <t>11A</t>
  </si>
  <si>
    <t>8A</t>
  </si>
  <si>
    <t>11B</t>
  </si>
  <si>
    <t>8B</t>
  </si>
  <si>
    <t>9A</t>
  </si>
  <si>
    <t>9B</t>
  </si>
  <si>
    <t>DATE</t>
  </si>
  <si>
    <t>Sample ID</t>
  </si>
  <si>
    <t>Wt. of Sample</t>
  </si>
  <si>
    <t>Wt. of Bag</t>
  </si>
  <si>
    <t xml:space="preserve">Wt. of Bag + Sample </t>
  </si>
  <si>
    <t>Wt. in Water</t>
  </si>
  <si>
    <t>Wt. of sample after water</t>
  </si>
  <si>
    <t>Apparent Specific gravity of Plastic Bag</t>
  </si>
  <si>
    <t>Water Temperature</t>
  </si>
  <si>
    <t>Correction Factor</t>
  </si>
  <si>
    <t>Bulk Specific Gravity</t>
  </si>
  <si>
    <t>Corr. Bulk Specific Gravity</t>
  </si>
  <si>
    <t>Saturated Mass</t>
  </si>
  <si>
    <t>T measured @ saturated mass</t>
  </si>
  <si>
    <t>K Corr @ saturated density T</t>
  </si>
  <si>
    <t>Apparent Specific Gravity</t>
  </si>
  <si>
    <t>Corr. Apparent Specific Gravity</t>
  </si>
  <si>
    <t>Calculated Gmm</t>
  </si>
  <si>
    <t>AV%</t>
  </si>
  <si>
    <t>3B Field #1</t>
  </si>
  <si>
    <t xml:space="preserve">Upper Boundary </t>
  </si>
  <si>
    <t xml:space="preserve">Lower Boundary </t>
  </si>
  <si>
    <t>Temp (Celcius)</t>
  </si>
  <si>
    <t>K Factor</t>
  </si>
  <si>
    <t>3B Field #2</t>
  </si>
  <si>
    <t>9B-B</t>
  </si>
  <si>
    <t>PRC 7A Field 1</t>
  </si>
  <si>
    <t>PRC 7A Field 2</t>
  </si>
  <si>
    <t>3A - F1</t>
  </si>
  <si>
    <t>3A - F2</t>
  </si>
  <si>
    <t>3B - F1</t>
  </si>
  <si>
    <t>3B -F2</t>
  </si>
  <si>
    <t>9B - F1</t>
  </si>
  <si>
    <t>9B- F2</t>
  </si>
  <si>
    <t>9A - F1</t>
  </si>
  <si>
    <t>9A - F2</t>
  </si>
  <si>
    <t>3A Field 1</t>
  </si>
  <si>
    <t>3A Field 2</t>
  </si>
  <si>
    <t>CB Field 1</t>
  </si>
  <si>
    <t>CB Field 2</t>
  </si>
  <si>
    <t>PRC 2 A</t>
  </si>
  <si>
    <t>PRC 2 B</t>
  </si>
  <si>
    <t xml:space="preserve">  </t>
  </si>
  <si>
    <t xml:space="preserve">   </t>
  </si>
  <si>
    <t>Mix</t>
  </si>
  <si>
    <t>Slab</t>
  </si>
  <si>
    <t>NMAS (mm)</t>
  </si>
  <si>
    <t>PRC-C (A)</t>
  </si>
  <si>
    <t>PRC-C (B)</t>
  </si>
  <si>
    <t>PRC-9 (B)</t>
  </si>
  <si>
    <t>PRC-9 (A)</t>
  </si>
  <si>
    <t>PRC-7 (B)</t>
  </si>
  <si>
    <t>PRC-7 (A)</t>
  </si>
  <si>
    <t>PRC-3 (B)</t>
  </si>
  <si>
    <t>PRC-3 (A)</t>
  </si>
  <si>
    <t>PRC 7 A</t>
  </si>
  <si>
    <t>PRC 7 B</t>
  </si>
  <si>
    <t>Slab Length (ft)</t>
  </si>
  <si>
    <t>Slab Width (ft)</t>
  </si>
  <si>
    <t>Slab Thickness (ft)</t>
  </si>
  <si>
    <t>slab volume (ft^3)</t>
  </si>
  <si>
    <t>slab volume (m^3)</t>
  </si>
  <si>
    <t>Gsb</t>
  </si>
  <si>
    <t>Agg Vol (ft^3)</t>
  </si>
  <si>
    <t>Agg Vol (m^3)</t>
  </si>
  <si>
    <t>Temperature</t>
  </si>
  <si>
    <r>
      <t>- </t>
    </r>
    <r>
      <rPr>
        <b/>
        <i/>
        <sz val="11"/>
        <color rgb="FF000000"/>
        <rFont val="Arial"/>
        <family val="2"/>
      </rPr>
      <t>t -</t>
    </r>
  </si>
  <si>
    <r>
      <t>(</t>
    </r>
    <r>
      <rPr>
        <b/>
        <i/>
        <vertAlign val="superscript"/>
        <sz val="11"/>
        <color rgb="FF000000"/>
        <rFont val="Arial"/>
        <family val="2"/>
      </rPr>
      <t>o</t>
    </r>
    <r>
      <rPr>
        <b/>
        <i/>
        <sz val="11"/>
        <color rgb="FF000000"/>
        <rFont val="Arial"/>
        <family val="2"/>
      </rPr>
      <t>C)</t>
    </r>
  </si>
  <si>
    <t>Density</t>
  </si>
  <si>
    <r>
      <t>- </t>
    </r>
    <r>
      <rPr>
        <b/>
        <i/>
        <sz val="11"/>
        <color rgb="FF000000"/>
        <rFont val="Arial"/>
        <family val="2"/>
      </rPr>
      <t>ρ -</t>
    </r>
  </si>
  <si>
    <r>
      <t>(kg/m</t>
    </r>
    <r>
      <rPr>
        <b/>
        <i/>
        <vertAlign val="superscript"/>
        <sz val="11"/>
        <color rgb="FF000000"/>
        <rFont val="Arial"/>
        <family val="2"/>
      </rPr>
      <t>3</t>
    </r>
    <r>
      <rPr>
        <b/>
        <i/>
        <sz val="11"/>
        <color rgb="FF000000"/>
        <rFont val="Arial"/>
        <family val="2"/>
      </rPr>
      <t>)</t>
    </r>
  </si>
  <si>
    <t>Specific Weight</t>
  </si>
  <si>
    <r>
      <t>- </t>
    </r>
    <r>
      <rPr>
        <b/>
        <i/>
        <sz val="11"/>
        <color rgb="FF000000"/>
        <rFont val="Arial"/>
        <family val="2"/>
      </rPr>
      <t>γ -</t>
    </r>
  </si>
  <si>
    <r>
      <t>(kN/m</t>
    </r>
    <r>
      <rPr>
        <b/>
        <i/>
        <vertAlign val="superscript"/>
        <sz val="11"/>
        <color rgb="FF000000"/>
        <rFont val="Arial"/>
        <family val="2"/>
      </rPr>
      <t>3</t>
    </r>
    <r>
      <rPr>
        <b/>
        <i/>
        <sz val="11"/>
        <color rgb="FF000000"/>
        <rFont val="Arial"/>
        <family val="2"/>
      </rPr>
      <t>)</t>
    </r>
  </si>
  <si>
    <t>Total max volume H20 (ft^3)</t>
  </si>
  <si>
    <r>
      <t>(</t>
    </r>
    <r>
      <rPr>
        <b/>
        <i/>
        <vertAlign val="superscript"/>
        <sz val="11"/>
        <color rgb="FF000000"/>
        <rFont val="Arial"/>
        <family val="2"/>
      </rPr>
      <t>o</t>
    </r>
    <r>
      <rPr>
        <b/>
        <i/>
        <sz val="11"/>
        <color rgb="FF000000"/>
        <rFont val="Arial"/>
        <family val="2"/>
      </rPr>
      <t>F)</t>
    </r>
  </si>
  <si>
    <t>(slugs/ft3)</t>
  </si>
  <si>
    <r>
      <t>(lb/ft</t>
    </r>
    <r>
      <rPr>
        <b/>
        <i/>
        <vertAlign val="superscript"/>
        <sz val="11"/>
        <color rgb="FF000000"/>
        <rFont val="Arial"/>
        <family val="2"/>
      </rPr>
      <t>3</t>
    </r>
    <r>
      <rPr>
        <b/>
        <i/>
        <sz val="11"/>
        <color rgb="FF000000"/>
        <rFont val="Arial"/>
        <family val="2"/>
      </rPr>
      <t>)</t>
    </r>
  </si>
  <si>
    <t>(lb/US gallon)</t>
  </si>
  <si>
    <t>Total max volume H20 (m^3)</t>
  </si>
  <si>
    <t>Load Cell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</si>
  <si>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</si>
  <si>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</si>
  <si>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</si>
  <si>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</si>
  <si>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</si>
  <si>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</si>
  <si>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</si>
  <si>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</si>
  <si>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</si>
  <si>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</si>
  <si>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</si>
  <si>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</si>
  <si>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</si>
  <si>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</si>
  <si>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</si>
  <si>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LC16</t>
  </si>
  <si>
    <t>Total max Mass Slab</t>
  </si>
  <si>
    <t>a (length of slab moment to far edge) in.</t>
  </si>
  <si>
    <t>a (length of slab moment to far edge) ft.</t>
  </si>
  <si>
    <t>l (Length from moment to support) m.</t>
  </si>
  <si>
    <t>a (length of slab moment to far edge) m.</t>
  </si>
  <si>
    <t>Step</t>
  </si>
  <si>
    <t>Quick Unit</t>
  </si>
  <si>
    <t>mm</t>
  </si>
  <si>
    <t>n/a</t>
  </si>
  <si>
    <t>ft</t>
  </si>
  <si>
    <t>m</t>
  </si>
  <si>
    <t>Slab Length (m)</t>
  </si>
  <si>
    <t>Slab Width (m)</t>
  </si>
  <si>
    <t>Slab Thickness (m)</t>
  </si>
  <si>
    <t>ft^3</t>
  </si>
  <si>
    <t>m^3</t>
  </si>
  <si>
    <t>kg</t>
  </si>
  <si>
    <t>l (Length from moment to support) ft.</t>
  </si>
  <si>
    <t>in</t>
  </si>
  <si>
    <t>Temp.</t>
  </si>
  <si>
    <r>
      <t xml:space="preserve">Dyn. Viscosity = </t>
    </r>
    <r>
      <rPr>
        <b/>
        <sz val="11"/>
        <color rgb="FF666666"/>
        <rFont val="Calibri"/>
        <family val="2"/>
      </rPr>
      <t>μ</t>
    </r>
  </si>
  <si>
    <r>
      <t xml:space="preserve">Dyn. Viscosity = </t>
    </r>
    <r>
      <rPr>
        <sz val="11"/>
        <color theme="1"/>
        <rFont val="Calibri"/>
        <family val="2"/>
        <scheme val="minor"/>
      </rPr>
      <t>μ</t>
    </r>
  </si>
  <si>
    <t>Kin. Viscosity</t>
  </si>
  <si>
    <t>[°C]</t>
  </si>
  <si>
    <t>[mPa.s]</t>
  </si>
  <si>
    <t>[Pa.s] or [kg/(m*s)]</t>
  </si>
  <si>
    <t>[mm²/s]</t>
  </si>
  <si>
    <t>m2/s</t>
  </si>
  <si>
    <t>[g/cm³]</t>
  </si>
  <si>
    <t>[kg/m^3]</t>
  </si>
  <si>
    <r>
      <t>y = 2E-05x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- 0.0063x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+ 0.0269x + 1000</t>
    </r>
  </si>
  <si>
    <t>R² = 1</t>
  </si>
  <si>
    <t>Date/Time</t>
  </si>
  <si>
    <t>P1T1_COR (Deg C)</t>
  </si>
  <si>
    <t>P1T2_COR (Deg C)</t>
  </si>
  <si>
    <t>P1T3_COR (Deg C)</t>
  </si>
  <si>
    <t>P1T4_COR (Deg C)</t>
  </si>
  <si>
    <t>Expr1</t>
  </si>
  <si>
    <t>07/07/2017 08:25:00</t>
  </si>
  <si>
    <t>07/07/2017 08:30:00</t>
  </si>
  <si>
    <t>07/07/2017 08:35:00</t>
  </si>
  <si>
    <t>*(0.45359237)</t>
  </si>
  <si>
    <t>Corr Apparent Sp. Grav</t>
  </si>
  <si>
    <t xml:space="preserve">Totalmax Mass Slab </t>
  </si>
  <si>
    <t>lbs</t>
  </si>
  <si>
    <t>l</t>
  </si>
  <si>
    <t>a</t>
  </si>
  <si>
    <t>VslabMax</t>
  </si>
  <si>
    <t>MslabMax Kg</t>
  </si>
  <si>
    <t>MslabMax Lbs</t>
  </si>
  <si>
    <t>Slab1Mass</t>
  </si>
  <si>
    <t>LC Min</t>
  </si>
  <si>
    <t>Slab 1 Correction1</t>
  </si>
  <si>
    <t>Inv</t>
  </si>
  <si>
    <t>Inv corr</t>
  </si>
  <si>
    <t>Total  Mass H20 possible kg</t>
  </si>
  <si>
    <t>Total  Mass H20 possible lbs</t>
  </si>
  <si>
    <t>Total Mass Slab Full Sat kg</t>
  </si>
  <si>
    <t>Total Mass Slab Full Sat lbs</t>
  </si>
  <si>
    <t>Min Signal</t>
  </si>
  <si>
    <t>Max Signal</t>
  </si>
  <si>
    <t>Difference (Signals)</t>
  </si>
  <si>
    <t>Difference Mass</t>
  </si>
  <si>
    <t>4.775971336382200x - 1230.852718653950000</t>
  </si>
  <si>
    <t>Slope</t>
  </si>
  <si>
    <t>Y-Intercept</t>
  </si>
  <si>
    <t>`</t>
  </si>
  <si>
    <t>3.471337562644100x - 939.578816572846000</t>
  </si>
  <si>
    <t>0.751267693707183x - 161.031566263491000</t>
  </si>
  <si>
    <t>7.819794194505480x - 1843.181322322490000</t>
  </si>
  <si>
    <t>2.633396105186290x - 606.799301198232000</t>
  </si>
  <si>
    <t>25.819388807645700x - 5830.592257988930000</t>
  </si>
  <si>
    <t>0.876386627868579x - 184.654408110202000</t>
  </si>
  <si>
    <t>1.932921256988070x - 404.599145327271000</t>
  </si>
  <si>
    <t>Max Holding Capacity</t>
  </si>
  <si>
    <t>9A Field 2</t>
  </si>
  <si>
    <t>7A Field 2</t>
  </si>
  <si>
    <t>Name</t>
  </si>
  <si>
    <t>Dry</t>
  </si>
  <si>
    <t>Wet</t>
  </si>
  <si>
    <t>Percentage</t>
  </si>
  <si>
    <t>Difference</t>
  </si>
  <si>
    <t>Round 1 (100%)</t>
  </si>
  <si>
    <t>Round2 (Calculated % Max)</t>
  </si>
  <si>
    <t>Actual Value</t>
  </si>
  <si>
    <t>SlabVWC1_F</t>
  </si>
  <si>
    <t>SlabVWC2_F</t>
  </si>
  <si>
    <t>SlabVWC3_F</t>
  </si>
  <si>
    <t>SlabVWC4_F</t>
  </si>
  <si>
    <t>SlabVWC5_F</t>
  </si>
  <si>
    <t>SlabVWC6_F</t>
  </si>
  <si>
    <t>SlabVWC7_F</t>
  </si>
  <si>
    <t>SlabVWC8_F</t>
  </si>
  <si>
    <t>MH20</t>
  </si>
  <si>
    <t>SlabVWC1</t>
  </si>
  <si>
    <t>P</t>
  </si>
  <si>
    <t>T</t>
  </si>
  <si>
    <t>geomean</t>
  </si>
  <si>
    <t>ST1_A</t>
  </si>
  <si>
    <t>ST2_A</t>
  </si>
  <si>
    <t>ST3_A</t>
  </si>
  <si>
    <t>ST4_A</t>
  </si>
  <si>
    <t>ST5_A</t>
  </si>
  <si>
    <t>ST6_A</t>
  </si>
  <si>
    <t>ST7_A</t>
  </si>
  <si>
    <t>ST8_A</t>
  </si>
  <si>
    <t>FINAL INPUT</t>
  </si>
  <si>
    <t>Thermo</t>
  </si>
  <si>
    <t>_COR</t>
  </si>
  <si>
    <t>SlabMass1_F</t>
  </si>
  <si>
    <t>SlabMass2_F</t>
  </si>
  <si>
    <t>SlabMass3_F</t>
  </si>
  <si>
    <t>SlabMass4_F</t>
  </si>
  <si>
    <t>SlabMass5_F</t>
  </si>
  <si>
    <t>SlabMass6_F</t>
  </si>
  <si>
    <t>SlabMass7_F</t>
  </si>
  <si>
    <t>SlabMass8_F</t>
  </si>
  <si>
    <t>y = 2E-05x3 - 0.0063x2 + 0.0269x + 1000</t>
  </si>
  <si>
    <t>;</t>
  </si>
  <si>
    <t>((0.00002*((ST1_A.^3)) - (0.0063*(ST1_A.^2)) + (0.0269*(ST1_A)) + 1000)</t>
  </si>
  <si>
    <t>((0.00002*(ST2_A.^3)) - (0.0063*(ST2_A.^2)) + (0.0269*(ST2_A)) + 1000)</t>
  </si>
  <si>
    <t>((0.00002*(ST3_A.^3)) - (0.0063*(ST3_A.^2)) + (0.0269*(ST3_A)) + 1000)</t>
  </si>
  <si>
    <t>((0.00002*(ST4_A.^3)) - (0.0063*(ST4_A.^2)) + (0.0269*(ST4_A)) + 1000)</t>
  </si>
  <si>
    <t>((0.00002*(ST5_A.^3)) - (0.0063*(ST5_A.^2)) + (0.0269*(ST5_A)) + 1000)</t>
  </si>
  <si>
    <t>((0.00002*(ST6_A.^3)) - (0.0063*(ST6_A.^2)) + (0.0269*(ST6_A)) + 1000)</t>
  </si>
  <si>
    <t>((0.00002*(ST7_A.^3)) - (0.0063*(ST7_A.^2)) + (0.0269*(ST7_A)) + 1000)</t>
  </si>
  <si>
    <t>((0.00002*(ST8_A.^3)) - (0.0063*(ST8_A.^2)) + (0.0269*(ST8_A)) + 1000)</t>
  </si>
  <si>
    <t>S1_H20_Corr</t>
  </si>
  <si>
    <t>S2_H20_Corr</t>
  </si>
  <si>
    <t>S3_H20_Corr</t>
  </si>
  <si>
    <t>S4_H20_Corr</t>
  </si>
  <si>
    <t>S5_H20_Corr</t>
  </si>
  <si>
    <t>S6_H20_Corr</t>
  </si>
  <si>
    <t>S7_H20_Corr</t>
  </si>
  <si>
    <t>S8_H20_Corr</t>
  </si>
  <si>
    <t>((0.00002*ST1_A.^3) - (0.0063*ST1_A.^2) + (0.0269*ST1_A) + 1000)</t>
  </si>
  <si>
    <t>.^3</t>
  </si>
  <si>
    <t>.^2</t>
  </si>
  <si>
    <t>Total Wet Mass Calculated</t>
  </si>
  <si>
    <t>Total Dry Mass</t>
  </si>
  <si>
    <t>Total Mass H2O</t>
  </si>
  <si>
    <t>LCM_CORR1</t>
  </si>
  <si>
    <t>LCM_CORR2</t>
  </si>
  <si>
    <t>LCM_CORR3</t>
  </si>
  <si>
    <t>LCM_CORR4</t>
  </si>
  <si>
    <t>LCM_CORR5</t>
  </si>
  <si>
    <t>LCM_CORR6</t>
  </si>
  <si>
    <t>LCM_CORR7</t>
  </si>
  <si>
    <t>LCM_CORR8</t>
  </si>
  <si>
    <t>0.131947098207342x + 223.712664681996000</t>
  </si>
  <si>
    <t>0.106363253914283x + 241.878567319069000</t>
  </si>
  <si>
    <t>0.158660046690167x + 176.109308544352000</t>
  </si>
  <si>
    <t>0.072410625061040x + 195.442812055721000</t>
  </si>
  <si>
    <t>2.441277855795490x - 325.472596204063000</t>
  </si>
  <si>
    <t>0.067424161973295x + 199.894324106874000</t>
  </si>
  <si>
    <t>0.221962408359595x + 179.279017685021000</t>
  </si>
  <si>
    <t>0.674221220324884x + 76.788384319397700</t>
  </si>
  <si>
    <t>MH2O_2a=LCM_CORR2-SM.DS2;MH2O_3a=LCM_CORR3-SM.DS3;MH2O_4a=LCM_CORR4-SM.DS4;MH2O_5a=LCM_CORR5-SM.DS5;MH2O_6a=LCM_CORR6-SM.DS6;MH2O_7a=LCM_CORR7-SM.DS7;MH2O_8a=LCM_CORR8-SM.DS8</t>
  </si>
  <si>
    <t>LC_CORR</t>
  </si>
  <si>
    <t>Finds Density of H20</t>
  </si>
  <si>
    <t>Tot Vols</t>
  </si>
  <si>
    <t>MH2O_1a</t>
  </si>
  <si>
    <t>MH2O_2a</t>
  </si>
  <si>
    <t>MH2O_3a</t>
  </si>
  <si>
    <t>MH2O_4a</t>
  </si>
  <si>
    <t>MH2O_5a</t>
  </si>
  <si>
    <t>MH2O_6a</t>
  </si>
  <si>
    <t>MH2O_7a</t>
  </si>
  <si>
    <t>MH2O_8a</t>
  </si>
  <si>
    <t>SV= Struct(</t>
  </si>
  <si>
    <t>struct('DS1',Slab1,'DS2',Slab2,'DS3',Slab3,'DS4',Slab4,'DS5',Slab5,'DS6',Slab6,'DS7',Slab7,'DS8',Slab8)</t>
  </si>
  <si>
    <t>'SV1'</t>
  </si>
  <si>
    <t>'SV2'</t>
  </si>
  <si>
    <t>'SV3'</t>
  </si>
  <si>
    <t>'SV4'</t>
  </si>
  <si>
    <t>'SV5'</t>
  </si>
  <si>
    <t>'SV6'</t>
  </si>
  <si>
    <t>'SV7'</t>
  </si>
  <si>
    <t>'SV8'</t>
  </si>
  <si>
    <t>SlabVWC=Struct(</t>
  </si>
  <si>
    <t>SV.SV1</t>
  </si>
  <si>
    <t>SV.SV2</t>
  </si>
  <si>
    <t>SV.SV3</t>
  </si>
  <si>
    <t>SV.SV4</t>
  </si>
  <si>
    <t>SV.SV5</t>
  </si>
  <si>
    <t>SV.SV6</t>
  </si>
  <si>
    <t>SV.SV7</t>
  </si>
  <si>
    <t>SV.SV8</t>
  </si>
  <si>
    <t>S1_H20_Corr'</t>
  </si>
  <si>
    <t>S2_H20_Corr'</t>
  </si>
  <si>
    <t>S3_H20_Corr'</t>
  </si>
  <si>
    <t>S4_H20_Corr'</t>
  </si>
  <si>
    <t>S5_H20_Corr'</t>
  </si>
  <si>
    <t>S6_H20_Corr'</t>
  </si>
  <si>
    <t>S7_H20_Corr'</t>
  </si>
  <si>
    <t>S8_H20_Corr'</t>
  </si>
  <si>
    <t>SVWC1</t>
  </si>
  <si>
    <t>SVWC2</t>
  </si>
  <si>
    <t>SVWC3</t>
  </si>
  <si>
    <t>SVWC4</t>
  </si>
  <si>
    <t>SVWC5</t>
  </si>
  <si>
    <t>SVWC6</t>
  </si>
  <si>
    <t>SVWC7</t>
  </si>
  <si>
    <t>SVWC8</t>
  </si>
  <si>
    <t>SVWC_F=struct(</t>
  </si>
  <si>
    <t>'S1',</t>
  </si>
  <si>
    <t>'S2',</t>
  </si>
  <si>
    <t>'S3',</t>
  </si>
  <si>
    <t>'S4',</t>
  </si>
  <si>
    <t>'S5',</t>
  </si>
  <si>
    <t>'S6',</t>
  </si>
  <si>
    <t>'S7',</t>
  </si>
  <si>
    <t>'S8',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</si>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</sst>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00"/>
    <numFmt numFmtId="166" formatCode="0.00000000"/>
    <numFmt numFmtId="167" formatCode="0.0000000"/>
    <numFmt numFmtId="168" formatCode="0.000000000000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666666"/>
      <name val="Inherit"/>
    </font>
    <font>
      <sz val="10"/>
      <color rgb="FF666666"/>
      <name val="Inherit"/>
    </font>
    <font>
      <b/>
      <sz val="11"/>
      <color rgb="FF666666"/>
      <name val="Calibri"/>
      <family val="2"/>
    </font>
    <font>
      <sz val="11"/>
      <name val="Calibri"/>
      <family val="2"/>
      <scheme val="minor"/>
    </font>
    <font>
      <sz val="10"/>
      <name val="Inherit"/>
    </font>
    <font>
      <vertAlign val="superscript"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8011"/>
      <name val="Verdan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thick">
        <color rgb="FFC0C0C0"/>
      </right>
      <top/>
      <bottom/>
      <diagonal/>
    </border>
    <border>
      <left style="thick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/>
      <bottom style="medium">
        <color rgb="FFC0C0C0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 style="medium">
        <color rgb="FFC0C0C0"/>
      </left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 style="thick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6" fillId="0" borderId="0"/>
  </cellStyleXfs>
  <cellXfs count="82">
    <xf numFmtId="0" fontId="0" fillId="0" borderId="0" xfId="0"/>
    <xf numFmtId="16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0" fontId="0" fillId="0" borderId="0" xfId="0" applyBorder="1"/>
    <xf numFmtId="164" fontId="0" fillId="0" borderId="0" xfId="0" applyNumberFormat="1" applyFill="1" applyBorder="1"/>
    <xf numFmtId="0" fontId="0" fillId="2" borderId="1" xfId="0" applyFill="1" applyBorder="1"/>
    <xf numFmtId="165" fontId="0" fillId="0" borderId="0" xfId="0" applyNumberFormat="1" applyFill="1" applyBorder="1"/>
    <xf numFmtId="165" fontId="3" fillId="0" borderId="0" xfId="0" applyNumberFormat="1" applyFont="1"/>
    <xf numFmtId="14" fontId="0" fillId="0" borderId="0" xfId="0" applyNumberFormat="1"/>
    <xf numFmtId="16" fontId="0" fillId="3" borderId="0" xfId="0" applyNumberFormat="1" applyFill="1"/>
    <xf numFmtId="0" fontId="0" fillId="3" borderId="0" xfId="0" applyFill="1" applyBorder="1"/>
    <xf numFmtId="164" fontId="0" fillId="3" borderId="0" xfId="0" applyNumberFormat="1" applyFill="1" applyBorder="1"/>
    <xf numFmtId="164" fontId="0" fillId="3" borderId="0" xfId="0" applyNumberFormat="1" applyFill="1"/>
    <xf numFmtId="0" fontId="0" fillId="3" borderId="0" xfId="0" applyFill="1"/>
    <xf numFmtId="165" fontId="0" fillId="3" borderId="0" xfId="0" applyNumberFormat="1" applyFill="1" applyBorder="1"/>
    <xf numFmtId="14" fontId="0" fillId="4" borderId="0" xfId="0" applyNumberFormat="1" applyFill="1"/>
    <xf numFmtId="0" fontId="0" fillId="4" borderId="0" xfId="0" applyFill="1" applyBorder="1"/>
    <xf numFmtId="164" fontId="0" fillId="4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" fontId="0" fillId="4" borderId="0" xfId="0" applyNumberFormat="1" applyFill="1"/>
    <xf numFmtId="165" fontId="0" fillId="4" borderId="0" xfId="0" applyNumberFormat="1" applyFill="1"/>
    <xf numFmtId="165" fontId="0" fillId="4" borderId="0" xfId="0" applyNumberFormat="1" applyFill="1" applyBorder="1"/>
    <xf numFmtId="16" fontId="0" fillId="0" borderId="0" xfId="0" applyNumberFormat="1" applyFill="1"/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95" applyBorder="1" applyAlignment="1">
      <alignment horizontal="center" vertical="center" wrapText="1"/>
    </xf>
    <xf numFmtId="0" fontId="1" fillId="0" borderId="8" xfId="95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" fillId="0" borderId="4" xfId="95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2" fontId="0" fillId="0" borderId="0" xfId="0" applyNumberFormat="1"/>
    <xf numFmtId="0" fontId="14" fillId="0" borderId="0" xfId="0" applyFont="1" applyAlignment="1">
      <alignment horizontal="center" vertical="center" readingOrder="1"/>
    </xf>
    <xf numFmtId="0" fontId="0" fillId="0" borderId="0" xfId="0"/>
    <xf numFmtId="0" fontId="8" fillId="5" borderId="0" xfId="0" applyFont="1" applyFill="1" applyAlignment="1">
      <alignment horizontal="left" vertical="center" wrapText="1" indent="1"/>
    </xf>
    <xf numFmtId="0" fontId="9" fillId="5" borderId="0" xfId="0" applyFont="1" applyFill="1" applyAlignment="1">
      <alignment horizontal="left" vertical="center" wrapText="1" indent="1"/>
    </xf>
    <xf numFmtId="166" fontId="0" fillId="5" borderId="0" xfId="0" applyNumberFormat="1" applyFill="1"/>
    <xf numFmtId="0" fontId="0" fillId="5" borderId="0" xfId="0" applyFill="1"/>
    <xf numFmtId="0" fontId="12" fillId="5" borderId="0" xfId="0" applyFont="1" applyFill="1" applyAlignment="1">
      <alignment horizontal="left" vertical="center" wrapText="1" indent="1"/>
    </xf>
    <xf numFmtId="166" fontId="11" fillId="5" borderId="0" xfId="0" applyNumberFormat="1" applyFont="1" applyFill="1"/>
    <xf numFmtId="0" fontId="15" fillId="6" borderId="23" xfId="96" applyFont="1" applyFill="1" applyBorder="1" applyAlignment="1">
      <alignment horizontal="center"/>
    </xf>
    <xf numFmtId="0" fontId="15" fillId="0" borderId="24" xfId="96" applyFont="1" applyFill="1" applyBorder="1" applyAlignment="1">
      <alignment wrapText="1"/>
    </xf>
    <xf numFmtId="0" fontId="15" fillId="0" borderId="24" xfId="96" applyFont="1" applyFill="1" applyBorder="1" applyAlignment="1">
      <alignment horizontal="right" wrapText="1"/>
    </xf>
    <xf numFmtId="0" fontId="0" fillId="7" borderId="0" xfId="0" applyFill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4" fontId="17" fillId="0" borderId="0" xfId="0" applyNumberFormat="1" applyFont="1" applyAlignment="1">
      <alignment horizontal="left" vertical="center" wrapText="1" indent="1"/>
    </xf>
    <xf numFmtId="0" fontId="0" fillId="8" borderId="0" xfId="0" applyFill="1"/>
    <xf numFmtId="0" fontId="0" fillId="0" borderId="0" xfId="0" applyNumberFormat="1"/>
    <xf numFmtId="0" fontId="1" fillId="0" borderId="19" xfId="95" applyBorder="1" applyAlignment="1">
      <alignment horizontal="center" vertical="center" wrapText="1"/>
    </xf>
    <xf numFmtId="0" fontId="1" fillId="0" borderId="20" xfId="95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left" vertical="top" readingOrder="1"/>
    </xf>
    <xf numFmtId="0" fontId="18" fillId="8" borderId="0" xfId="0" applyFont="1" applyFill="1"/>
    <xf numFmtId="0" fontId="19" fillId="0" borderId="0" xfId="0" applyFont="1"/>
    <xf numFmtId="0" fontId="19" fillId="0" borderId="0" xfId="0" applyFont="1" applyAlignment="1">
      <alignment horizontal="left" vertical="top" readingOrder="1"/>
    </xf>
    <xf numFmtId="166" fontId="0" fillId="0" borderId="0" xfId="0" applyNumberFormat="1"/>
    <xf numFmtId="0" fontId="0" fillId="0" borderId="0" xfId="0" quotePrefix="1"/>
    <xf numFmtId="0" fontId="18" fillId="0" borderId="0" xfId="0" quotePrefix="1" applyFont="1"/>
    <xf numFmtId="11" fontId="18" fillId="0" borderId="0" xfId="0" applyNumberFormat="1" applyFont="1"/>
    <xf numFmtId="0" fontId="20" fillId="0" borderId="0" xfId="0" applyFont="1"/>
    <xf numFmtId="0" fontId="21" fillId="0" borderId="0" xfId="0" applyFont="1"/>
    <xf numFmtId="165" fontId="18" fillId="0" borderId="0" xfId="0" applyNumberFormat="1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/>
    <cellStyle name="Normal" xfId="0" builtinId="0"/>
    <cellStyle name="Normal_Sheet1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'Moisture Content Calcs'!$AM$4:$AN$4</c:f>
              <c:numCache>
                <c:formatCode>General</c:formatCode>
                <c:ptCount val="2"/>
                <c:pt idx="0">
                  <c:v>257.71777759167298</c:v>
                </c:pt>
                <c:pt idx="1">
                  <c:v>279.82850000000002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308-B367-B8E085ACF6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166229221347332E-2"/>
                  <c:y val="3.39738261883931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('Moisture Content Calcs'!$AM$4,'Moisture Content Calcs'!$AK$4)</c:f>
              <c:numCache>
                <c:formatCode>General</c:formatCode>
                <c:ptCount val="2"/>
                <c:pt idx="0">
                  <c:v>257.71777759167298</c:v>
                </c:pt>
                <c:pt idx="1">
                  <c:v>614.33110482841369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0-4308-B367-B8E085AC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64080"/>
        <c:axId val="351066160"/>
      </c:scatterChart>
      <c:valAx>
        <c:axId val="3510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66160"/>
        <c:crosses val="autoZero"/>
        <c:crossBetween val="midCat"/>
      </c:valAx>
      <c:valAx>
        <c:axId val="3510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6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560411198600178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'Moisture Content Calcs'!$AP$27:$AP$28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D-420D-B1FF-9EFFED65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7056"/>
        <c:axId val="398737472"/>
      </c:scatterChart>
      <c:valAx>
        <c:axId val="3987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7472"/>
        <c:crosses val="autoZero"/>
        <c:crossBetween val="midCat"/>
      </c:valAx>
      <c:valAx>
        <c:axId val="3987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35017497812774"/>
                  <c:y val="1.5939778361038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'Moisture Content Calcs'!$BB$1:$BC$1</c:f>
              <c:numCache>
                <c:formatCode>General</c:formatCode>
                <c:ptCount val="2"/>
                <c:pt idx="0">
                  <c:v>5934.0077803294816</c:v>
                </c:pt>
                <c:pt idx="1">
                  <c:v>6422.8979635000005</c:v>
                </c:pt>
              </c:numCache>
            </c:numRef>
          </c:xVal>
          <c:yVal>
            <c:numRef>
              <c:f>'Moisture Content Calcs'!$BB$2:$BC$2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D-47CE-8999-08C20874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4976"/>
        <c:axId val="398737888"/>
      </c:scatterChart>
      <c:valAx>
        <c:axId val="3987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7888"/>
        <c:crosses val="autoZero"/>
        <c:crossBetween val="midCat"/>
      </c:valAx>
      <c:valAx>
        <c:axId val="3987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99278215223097"/>
                  <c:y val="2.05088947214931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'Moisture Content Calcs'!$AP$27:$AP$28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'Moisture Content Calcs'!$AV$27:$AV$28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9-4B27-B15E-096F78AC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88624"/>
        <c:axId val="345389456"/>
      </c:scatterChart>
      <c:valAx>
        <c:axId val="3453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9456"/>
        <c:crosses val="autoZero"/>
        <c:crossBetween val="midCat"/>
      </c:valAx>
      <c:valAx>
        <c:axId val="345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02296587926508"/>
                  <c:y val="5.7606445027704872E-2"/>
                </c:manualLayout>
              </c:layout>
              <c:numFmt formatCode="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'Moisture Content Calcs'!$AN$31:$AN$32</c:f>
              <c:numCache>
                <c:formatCode>General</c:formatCode>
                <c:ptCount val="2"/>
                <c:pt idx="0">
                  <c:v>225.82224162728801</c:v>
                </c:pt>
                <c:pt idx="1">
                  <c:v>229.6953</c:v>
                </c:pt>
              </c:numCache>
            </c:numRef>
          </c:xVal>
          <c:yVal>
            <c:numRef>
              <c:f>'Moisture Content Calcs'!$AO$31:$AO$32</c:f>
              <c:numCache>
                <c:formatCode>General</c:formatCode>
                <c:ptCount val="2"/>
                <c:pt idx="0">
                  <c:v>225.82224162728801</c:v>
                </c:pt>
                <c:pt idx="1">
                  <c:v>235.27745326681034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1-418C-9672-26F68497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34352"/>
        <c:axId val="395334768"/>
      </c:scatterChart>
      <c:valAx>
        <c:axId val="3953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34768"/>
        <c:crosses val="autoZero"/>
        <c:crossBetween val="midCat"/>
      </c:valAx>
      <c:valAx>
        <c:axId val="395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'Density of Water'!$M$1:$M$2</c:f>
              <c:strCache>
                <c:ptCount val="2"/>
                <c:pt idx="0">
                  <c:v>Density</c:v>
                </c:pt>
                <c:pt idx="1">
                  <c:v>[kg/m^3]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3302712160979874E-2"/>
                  <c:y val="-0.522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 of Water'!$G$3:$G$49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</c:numCache>
            </c:numRef>
          </c:xVal>
          <c:yVal>
            <c:numRef>
              <c:f>'Density of Water'!$M$3:$M$49</c:f>
              <c:numCache>
                <c:formatCode>0.00000000</c:formatCode>
                <c:ptCount val="47"/>
                <c:pt idx="0">
                  <c:v>999.9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999.9</c:v>
                </c:pt>
                <c:pt idx="5">
                  <c:v>999.9</c:v>
                </c:pt>
                <c:pt idx="6">
                  <c:v>999.9</c:v>
                </c:pt>
                <c:pt idx="7">
                  <c:v>999.80000000000007</c:v>
                </c:pt>
                <c:pt idx="8">
                  <c:v>999.7</c:v>
                </c:pt>
                <c:pt idx="9">
                  <c:v>999.6</c:v>
                </c:pt>
                <c:pt idx="10">
                  <c:v>999.5</c:v>
                </c:pt>
                <c:pt idx="11">
                  <c:v>999.4</c:v>
                </c:pt>
                <c:pt idx="12">
                  <c:v>999.19999999999993</c:v>
                </c:pt>
                <c:pt idx="13">
                  <c:v>999.1</c:v>
                </c:pt>
                <c:pt idx="14">
                  <c:v>998.9</c:v>
                </c:pt>
                <c:pt idx="15">
                  <c:v>998.80000000000007</c:v>
                </c:pt>
                <c:pt idx="16">
                  <c:v>998.6</c:v>
                </c:pt>
                <c:pt idx="17">
                  <c:v>998.4</c:v>
                </c:pt>
                <c:pt idx="18">
                  <c:v>998.19999999999993</c:v>
                </c:pt>
                <c:pt idx="19">
                  <c:v>998</c:v>
                </c:pt>
                <c:pt idx="20">
                  <c:v>997.80000000000007</c:v>
                </c:pt>
                <c:pt idx="21">
                  <c:v>997.5</c:v>
                </c:pt>
                <c:pt idx="22">
                  <c:v>997.3</c:v>
                </c:pt>
                <c:pt idx="23">
                  <c:v>997</c:v>
                </c:pt>
                <c:pt idx="24">
                  <c:v>996.80000000000007</c:v>
                </c:pt>
                <c:pt idx="25">
                  <c:v>996.5</c:v>
                </c:pt>
                <c:pt idx="26">
                  <c:v>996.19999999999993</c:v>
                </c:pt>
                <c:pt idx="27">
                  <c:v>995.9</c:v>
                </c:pt>
                <c:pt idx="28">
                  <c:v>995.6</c:v>
                </c:pt>
                <c:pt idx="29">
                  <c:v>995.3</c:v>
                </c:pt>
                <c:pt idx="30">
                  <c:v>995</c:v>
                </c:pt>
                <c:pt idx="31">
                  <c:v>994.7</c:v>
                </c:pt>
                <c:pt idx="32">
                  <c:v>994.4</c:v>
                </c:pt>
                <c:pt idx="33">
                  <c:v>994</c:v>
                </c:pt>
                <c:pt idx="34">
                  <c:v>993.7</c:v>
                </c:pt>
                <c:pt idx="35">
                  <c:v>993.3</c:v>
                </c:pt>
                <c:pt idx="36">
                  <c:v>993</c:v>
                </c:pt>
                <c:pt idx="37">
                  <c:v>992.6</c:v>
                </c:pt>
                <c:pt idx="38">
                  <c:v>992.19999999999993</c:v>
                </c:pt>
                <c:pt idx="39">
                  <c:v>990.19999999999993</c:v>
                </c:pt>
                <c:pt idx="40">
                  <c:v>988</c:v>
                </c:pt>
                <c:pt idx="41">
                  <c:v>985.7</c:v>
                </c:pt>
                <c:pt idx="42">
                  <c:v>983.19999999999993</c:v>
                </c:pt>
                <c:pt idx="43">
                  <c:v>980.6</c:v>
                </c:pt>
                <c:pt idx="44">
                  <c:v>977.8</c:v>
                </c:pt>
                <c:pt idx="45">
                  <c:v>974.8</c:v>
                </c:pt>
                <c:pt idx="46">
                  <c:v>971.8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E-4AD4-8CD0-8BBE3C737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93152"/>
        <c:axId val="1359794832"/>
      </c:scatterChart>
      <c:valAx>
        <c:axId val="13597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4832"/>
        <c:crosses val="autoZero"/>
        <c:crossBetween val="midCat"/>
      </c:valAx>
      <c:valAx>
        <c:axId val="13597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578302</xdr:colOff>
      <xdr:row>21</xdr:row>
      <xdr:rowOff>70758</xdr:rowOff>
    </xdr:from>
    <xdr:to>
      <xdr:col>38</xdr:col>
      <xdr:colOff>251730</xdr:colOff>
      <xdr:row>35</xdr:row>
      <xdr:rowOff>146958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523875</xdr:colOff>
      <xdr:row>20</xdr:row>
      <xdr:rowOff>2721</xdr:rowOff>
    </xdr:from>
    <xdr:to>
      <xdr:col>58</xdr:col>
      <xdr:colOff>197305</xdr:colOff>
      <xdr:row>34</xdr:row>
      <xdr:rowOff>78921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1415142</xdr:colOff>
      <xdr:row>37</xdr:row>
      <xdr:rowOff>50347</xdr:rowOff>
    </xdr:from>
    <xdr:to>
      <xdr:col>30</xdr:col>
      <xdr:colOff>312963</xdr:colOff>
      <xdr:row>51</xdr:row>
      <xdr:rowOff>126547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1537609</xdr:colOff>
      <xdr:row>5</xdr:row>
      <xdr:rowOff>63952</xdr:rowOff>
    </xdr:from>
    <xdr:to>
      <xdr:col>26</xdr:col>
      <xdr:colOff>598716</xdr:colOff>
      <xdr:row>19</xdr:row>
      <xdr:rowOff>140152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81643</xdr:colOff>
      <xdr:row>13</xdr:row>
      <xdr:rowOff>77559</xdr:rowOff>
    </xdr:from>
    <xdr:to>
      <xdr:col>55</xdr:col>
      <xdr:colOff>598715</xdr:colOff>
      <xdr:row>27</xdr:row>
      <xdr:rowOff>153759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0</xdr:row>
      <xdr:rowOff>171450</xdr:rowOff>
    </xdr:from>
    <xdr:to>
      <xdr:col>12</xdr:col>
      <xdr:colOff>619125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ngineeringtoolbox.com/density-specific-weight-gravity-d_290.html" TargetMode="External"/><Relationship Id="rId2" Type="http://schemas.openxmlformats.org/officeDocument/2006/relationships/hyperlink" Target="http://www.engineeringtoolbox.com/density-specific-weight-gravity-d_290.html" TargetMode="External"/><Relationship Id="rId1" Type="http://schemas.openxmlformats.org/officeDocument/2006/relationships/hyperlink" Target="http://www.engineeringtoolbox.com/density-specific-weight-gravity-d_290.html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www.engineeringtoolbox.com/density-specific-weight-gravity-d_290.html" TargetMode="External"/><Relationship Id="rId4" Type="http://schemas.openxmlformats.org/officeDocument/2006/relationships/hyperlink" Target="http://www.engineeringtoolbox.com/mass-weight-d_5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70" zoomScaleNormal="70" zoomScalePageLayoutView="125" workbookViewId="0">
      <pane ySplit="1" topLeftCell="A26" activePane="bottomLeft" state="frozen"/>
      <selection pane="bottomLeft" activeCell="L9" sqref="L9"/>
    </sheetView>
  </sheetViews>
  <sheetFormatPr defaultColWidth="8.85546875" defaultRowHeight="15" x14ac:dyDescent="0.25"/>
  <cols>
    <col min="1" max="1" width="10.85546875" bestFit="1" customWidth="1"/>
    <col min="2" max="2" width="12.28515625" customWidth="1"/>
    <col min="3" max="3" width="14.42578125" customWidth="1"/>
    <col min="11" max="11" width="15.7109375" customWidth="1"/>
    <col min="12" max="12" width="31.42578125" customWidth="1"/>
    <col min="16" max="16" width="37.7109375" customWidth="1"/>
  </cols>
  <sheetData>
    <row r="1" spans="1:1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1:19" s="15" customFormat="1" x14ac:dyDescent="0.25">
      <c r="A2" s="11">
        <v>42621</v>
      </c>
      <c r="B2" s="12" t="s">
        <v>1</v>
      </c>
      <c r="C2" s="13">
        <v>3533.8</v>
      </c>
      <c r="D2" s="13">
        <v>49.2</v>
      </c>
      <c r="E2" s="13">
        <v>3582.3</v>
      </c>
      <c r="F2" s="13">
        <v>1746.3</v>
      </c>
      <c r="G2" s="14">
        <v>3533.9</v>
      </c>
      <c r="H2" s="13">
        <v>0.7</v>
      </c>
      <c r="I2" s="13">
        <v>29.3</v>
      </c>
      <c r="J2" s="15">
        <v>0.99874099999999999</v>
      </c>
      <c r="K2" s="15">
        <f>(C2)/(E2-F2-((E2-C2)/H2))</f>
        <v>2.0002102369208377</v>
      </c>
      <c r="L2" s="15">
        <f t="shared" ref="L2:L57" si="0">K2*J2</f>
        <v>1.9976919722325543</v>
      </c>
      <c r="M2" s="15">
        <v>2297.1</v>
      </c>
      <c r="N2" s="15">
        <v>26.3</v>
      </c>
      <c r="O2" s="15">
        <v>0.99960899999999997</v>
      </c>
      <c r="P2" s="12">
        <f>(C2)/(E2-M2-((E2-C2)/H2))</f>
        <v>2.9062903870103618</v>
      </c>
      <c r="Q2" s="12">
        <f>P2*O2</f>
        <v>2.9051540274690408</v>
      </c>
      <c r="R2" s="15">
        <f>(C2)/(C2-M2)</f>
        <v>2.8574431956011961</v>
      </c>
      <c r="S2" s="13">
        <f>100*(1-(L2/R2))</f>
        <v>30.088129999999992</v>
      </c>
    </row>
    <row r="3" spans="1:19" s="15" customFormat="1" x14ac:dyDescent="0.25">
      <c r="A3" s="11">
        <v>42621</v>
      </c>
      <c r="B3" s="12" t="s">
        <v>0</v>
      </c>
      <c r="C3" s="13">
        <v>3324</v>
      </c>
      <c r="D3" s="13">
        <v>49.5</v>
      </c>
      <c r="E3" s="13">
        <v>3372.9</v>
      </c>
      <c r="F3" s="13">
        <v>1529.6</v>
      </c>
      <c r="G3" s="13">
        <v>3323.6</v>
      </c>
      <c r="H3" s="13">
        <v>0.7</v>
      </c>
      <c r="I3" s="13">
        <v>29.2</v>
      </c>
      <c r="J3" s="15">
        <v>0.99889799999999995</v>
      </c>
      <c r="K3" s="15">
        <f t="shared" ref="K3:K57" si="1">(C3)/(E3-F3-((E3-C3)/H3))</f>
        <v>1.8743203293029698</v>
      </c>
      <c r="L3" s="15">
        <f t="shared" si="0"/>
        <v>1.8722548283000777</v>
      </c>
      <c r="M3" s="15">
        <v>2154.5</v>
      </c>
      <c r="N3" s="15">
        <v>26.4</v>
      </c>
      <c r="O3" s="15">
        <v>0.99960899999999997</v>
      </c>
      <c r="P3" s="12">
        <f t="shared" ref="P3:P57" si="2">(C3)/(E3-M3-((E3-C3)/H3))</f>
        <v>2.8941018433294361</v>
      </c>
      <c r="Q3" s="12">
        <f t="shared" ref="Q3:Q57" si="3">P3*O3</f>
        <v>2.8929702495086942</v>
      </c>
      <c r="R3" s="15">
        <f t="shared" ref="R3:R57" si="4">(C3)/(C3-M3)</f>
        <v>2.8422402736212056</v>
      </c>
      <c r="S3" s="13">
        <f t="shared" ref="S3:S57" si="5">100*(1-(L3/R3))</f>
        <v>34.127496338840523</v>
      </c>
    </row>
    <row r="4" spans="1:19" x14ac:dyDescent="0.25">
      <c r="A4" s="1">
        <v>42621</v>
      </c>
      <c r="B4" s="2" t="s">
        <v>3</v>
      </c>
      <c r="C4" s="3">
        <v>3527</v>
      </c>
      <c r="D4" s="3">
        <v>49</v>
      </c>
      <c r="E4" s="3">
        <v>3576</v>
      </c>
      <c r="F4" s="3">
        <v>1689</v>
      </c>
      <c r="G4" s="3">
        <v>3526.8</v>
      </c>
      <c r="H4" s="3">
        <v>0.7</v>
      </c>
      <c r="I4" s="3">
        <v>29.5</v>
      </c>
      <c r="J4">
        <v>0.99874099999999999</v>
      </c>
      <c r="K4">
        <f t="shared" si="1"/>
        <v>1.9411117226197028</v>
      </c>
      <c r="L4">
        <f>K4*J4</f>
        <v>1.9386678629609246</v>
      </c>
      <c r="M4">
        <v>2210.1999999999998</v>
      </c>
      <c r="N4">
        <v>26.5</v>
      </c>
      <c r="O4">
        <v>0.99960899999999997</v>
      </c>
      <c r="P4" s="5">
        <f t="shared" si="2"/>
        <v>2.7218706590523225</v>
      </c>
      <c r="Q4" s="5">
        <f t="shared" si="3"/>
        <v>2.7208064076246328</v>
      </c>
      <c r="R4">
        <f t="shared" si="4"/>
        <v>2.6784629404617251</v>
      </c>
      <c r="S4" s="3">
        <f t="shared" si="5"/>
        <v>27.620134903687386</v>
      </c>
    </row>
    <row r="5" spans="1:19" x14ac:dyDescent="0.25">
      <c r="A5" s="1">
        <v>42621</v>
      </c>
      <c r="B5" s="2" t="s">
        <v>5</v>
      </c>
      <c r="C5" s="5">
        <v>3255.2</v>
      </c>
      <c r="D5" s="3">
        <v>48.8</v>
      </c>
      <c r="E5" s="3">
        <v>3303.8</v>
      </c>
      <c r="F5" s="3">
        <v>1460.1</v>
      </c>
      <c r="G5" s="3">
        <v>3254.7</v>
      </c>
      <c r="H5" s="3">
        <v>0.7</v>
      </c>
      <c r="I5" s="3">
        <v>29.5</v>
      </c>
      <c r="J5">
        <v>0.99874099999999999</v>
      </c>
      <c r="K5">
        <f t="shared" si="1"/>
        <v>1.8346685561075373</v>
      </c>
      <c r="L5">
        <f>K5*J5</f>
        <v>1.8323587083953978</v>
      </c>
      <c r="M5">
        <v>2039.2</v>
      </c>
      <c r="N5">
        <v>26.5</v>
      </c>
      <c r="O5">
        <v>0.99960899999999997</v>
      </c>
      <c r="P5" s="5">
        <f t="shared" si="2"/>
        <v>2.7236260189811392</v>
      </c>
      <c r="Q5" s="5">
        <f t="shared" si="3"/>
        <v>2.7225610812077177</v>
      </c>
      <c r="R5">
        <f t="shared" si="4"/>
        <v>2.6769736842105267</v>
      </c>
      <c r="S5" s="3">
        <f t="shared" si="5"/>
        <v>31.55111239220928</v>
      </c>
    </row>
    <row r="6" spans="1:19" s="15" customFormat="1" x14ac:dyDescent="0.25">
      <c r="A6" s="11">
        <v>42622</v>
      </c>
      <c r="B6" s="12" t="s">
        <v>2</v>
      </c>
      <c r="C6" s="13">
        <v>3314.6</v>
      </c>
      <c r="D6" s="13">
        <v>49</v>
      </c>
      <c r="E6" s="13">
        <v>3363.4</v>
      </c>
      <c r="F6" s="13">
        <v>1507.2</v>
      </c>
      <c r="G6" s="13">
        <v>3314.2</v>
      </c>
      <c r="H6" s="13">
        <v>0.7</v>
      </c>
      <c r="I6" s="13">
        <v>29.6</v>
      </c>
      <c r="J6" s="15">
        <v>0.99874099999999999</v>
      </c>
      <c r="K6" s="15">
        <f t="shared" si="1"/>
        <v>1.8553744782254069</v>
      </c>
      <c r="L6" s="15">
        <f>K6*J6</f>
        <v>1.8530385617573211</v>
      </c>
      <c r="M6" s="15">
        <v>2164.8000000000002</v>
      </c>
      <c r="N6" s="15">
        <v>26.6</v>
      </c>
      <c r="O6" s="15">
        <v>0.99960899999999997</v>
      </c>
      <c r="P6" s="12">
        <f t="shared" si="2"/>
        <v>2.9361696742679264</v>
      </c>
      <c r="Q6" s="12">
        <f t="shared" si="3"/>
        <v>2.9350216319252875</v>
      </c>
      <c r="R6" s="15">
        <f t="shared" si="4"/>
        <v>2.8827622195164384</v>
      </c>
      <c r="S6" s="13">
        <f t="shared" si="5"/>
        <v>35.720034444320056</v>
      </c>
    </row>
    <row r="7" spans="1:19" s="15" customFormat="1" x14ac:dyDescent="0.25">
      <c r="A7" s="11">
        <v>42621</v>
      </c>
      <c r="B7" s="12" t="s">
        <v>4</v>
      </c>
      <c r="C7" s="13">
        <v>3051</v>
      </c>
      <c r="D7" s="13">
        <v>49</v>
      </c>
      <c r="E7" s="13">
        <v>3099.7</v>
      </c>
      <c r="F7" s="13">
        <v>1179.9000000000001</v>
      </c>
      <c r="G7" s="14">
        <v>3052.4</v>
      </c>
      <c r="H7" s="13">
        <v>0.7</v>
      </c>
      <c r="I7" s="13">
        <v>29.2</v>
      </c>
      <c r="J7" s="15">
        <v>0.99889799999999995</v>
      </c>
      <c r="K7" s="15">
        <f t="shared" si="1"/>
        <v>1.6489854535346984</v>
      </c>
      <c r="L7" s="15">
        <f t="shared" si="0"/>
        <v>1.647168271564903</v>
      </c>
      <c r="M7" s="15">
        <v>1964.1</v>
      </c>
      <c r="N7" s="15">
        <v>26.7</v>
      </c>
      <c r="O7" s="15">
        <v>0.99960899999999997</v>
      </c>
      <c r="P7" s="12">
        <f t="shared" si="2"/>
        <v>2.8620246040041804</v>
      </c>
      <c r="Q7" s="12">
        <f t="shared" si="3"/>
        <v>2.8609055523840148</v>
      </c>
      <c r="R7" s="15">
        <f t="shared" si="4"/>
        <v>2.8070659674303062</v>
      </c>
      <c r="S7" s="13">
        <f>100*(1-(L7/R7))</f>
        <v>41.320642597053649</v>
      </c>
    </row>
    <row r="8" spans="1:19" x14ac:dyDescent="0.25">
      <c r="A8" s="1">
        <v>42621</v>
      </c>
      <c r="B8" s="2" t="s">
        <v>6</v>
      </c>
      <c r="C8" s="3">
        <v>3349.4</v>
      </c>
      <c r="D8" s="3">
        <v>48.7</v>
      </c>
      <c r="E8" s="3">
        <v>3397.9</v>
      </c>
      <c r="F8" s="3">
        <v>1527.4</v>
      </c>
      <c r="G8" s="4">
        <v>3349</v>
      </c>
      <c r="H8" s="3">
        <v>0.7</v>
      </c>
      <c r="I8" s="3">
        <v>29.2</v>
      </c>
      <c r="J8">
        <v>0.99889799999999995</v>
      </c>
      <c r="K8">
        <f t="shared" si="1"/>
        <v>1.859523337431098</v>
      </c>
      <c r="L8">
        <f t="shared" si="0"/>
        <v>1.8574741427132488</v>
      </c>
      <c r="M8">
        <v>2142.6999999999998</v>
      </c>
      <c r="N8">
        <v>26.7</v>
      </c>
      <c r="O8">
        <v>0.99960899999999997</v>
      </c>
      <c r="P8" s="5">
        <f t="shared" si="2"/>
        <v>2.8243187896017532</v>
      </c>
      <c r="Q8" s="5">
        <f t="shared" si="3"/>
        <v>2.823214480955019</v>
      </c>
      <c r="R8">
        <f t="shared" si="4"/>
        <v>2.7756691804093805</v>
      </c>
      <c r="S8" s="3">
        <f t="shared" si="5"/>
        <v>33.080132321846364</v>
      </c>
    </row>
    <row r="9" spans="1:19" x14ac:dyDescent="0.25">
      <c r="A9" s="1">
        <v>42621</v>
      </c>
      <c r="B9" s="2" t="s">
        <v>8</v>
      </c>
      <c r="C9" s="3">
        <v>3043</v>
      </c>
      <c r="D9" s="3">
        <v>49.1</v>
      </c>
      <c r="E9" s="3">
        <v>3091.9</v>
      </c>
      <c r="F9" s="3">
        <v>1252.0999999999999</v>
      </c>
      <c r="G9" s="3">
        <v>3043.4</v>
      </c>
      <c r="H9" s="3">
        <v>0.7</v>
      </c>
      <c r="I9" s="3">
        <v>29.3</v>
      </c>
      <c r="J9">
        <v>0.99874099999999999</v>
      </c>
      <c r="K9">
        <f t="shared" si="1"/>
        <v>1.719264544456641</v>
      </c>
      <c r="L9">
        <f t="shared" si="0"/>
        <v>1.71709999039517</v>
      </c>
      <c r="M9">
        <v>1944</v>
      </c>
      <c r="N9">
        <v>26.9</v>
      </c>
      <c r="O9">
        <v>0.99946699999999999</v>
      </c>
      <c r="P9" s="5">
        <f t="shared" si="2"/>
        <v>2.8227078170759179</v>
      </c>
      <c r="Q9" s="5">
        <f t="shared" si="3"/>
        <v>2.8212033138094164</v>
      </c>
      <c r="R9">
        <f t="shared" si="4"/>
        <v>2.7688808007279344</v>
      </c>
      <c r="S9" s="3">
        <f t="shared" si="5"/>
        <v>37.985774254213212</v>
      </c>
    </row>
    <row r="10" spans="1:19" s="15" customFormat="1" x14ac:dyDescent="0.25">
      <c r="A10" s="11">
        <v>42621</v>
      </c>
      <c r="B10" s="12" t="s">
        <v>10</v>
      </c>
      <c r="C10" s="13">
        <v>3180.6</v>
      </c>
      <c r="D10" s="13">
        <v>49</v>
      </c>
      <c r="E10" s="13">
        <v>3229.4</v>
      </c>
      <c r="F10" s="13">
        <v>1371.4</v>
      </c>
      <c r="G10" s="13">
        <v>3180.1</v>
      </c>
      <c r="H10" s="13">
        <v>0.7</v>
      </c>
      <c r="I10" s="13">
        <v>29.3</v>
      </c>
      <c r="J10" s="15">
        <v>0.99874099999999999</v>
      </c>
      <c r="K10" s="15">
        <f t="shared" si="1"/>
        <v>1.7785748522128138</v>
      </c>
      <c r="L10" s="15">
        <f t="shared" si="0"/>
        <v>1.7763356264738779</v>
      </c>
      <c r="M10" s="15">
        <v>2041.8</v>
      </c>
      <c r="N10" s="15">
        <v>26.9</v>
      </c>
      <c r="O10" s="15">
        <v>0.99946699999999999</v>
      </c>
      <c r="P10" s="12">
        <f t="shared" si="2"/>
        <v>2.8451924551449168</v>
      </c>
      <c r="Q10" s="12">
        <f t="shared" si="3"/>
        <v>2.8436759675663246</v>
      </c>
      <c r="R10" s="15">
        <f t="shared" si="4"/>
        <v>2.7929399367755532</v>
      </c>
      <c r="S10" s="13">
        <f t="shared" si="5"/>
        <v>36.399075286787017</v>
      </c>
    </row>
    <row r="11" spans="1:19" s="15" customFormat="1" x14ac:dyDescent="0.25">
      <c r="A11" s="11">
        <v>42623</v>
      </c>
      <c r="B11" s="12" t="s">
        <v>11</v>
      </c>
      <c r="C11" s="13">
        <v>3294.1</v>
      </c>
      <c r="D11" s="13">
        <v>48.8</v>
      </c>
      <c r="E11" s="13">
        <v>3342.7</v>
      </c>
      <c r="F11" s="13">
        <v>1479.5</v>
      </c>
      <c r="G11" s="13">
        <v>3293.6</v>
      </c>
      <c r="H11" s="13">
        <v>0.7</v>
      </c>
      <c r="I11" s="13">
        <v>26.1</v>
      </c>
      <c r="J11" s="15">
        <v>0.99973800000000002</v>
      </c>
      <c r="K11" s="15">
        <f t="shared" si="1"/>
        <v>1.8364101175496161</v>
      </c>
      <c r="L11" s="15">
        <f>K11*J11</f>
        <v>1.8359289780988182</v>
      </c>
      <c r="M11" s="15">
        <v>2129.5</v>
      </c>
      <c r="N11" s="15">
        <v>27</v>
      </c>
      <c r="O11" s="15">
        <v>0.99946699999999999</v>
      </c>
      <c r="P11" s="12">
        <f t="shared" si="2"/>
        <v>2.880033473221423</v>
      </c>
      <c r="Q11" s="12">
        <f t="shared" si="3"/>
        <v>2.878498415380196</v>
      </c>
      <c r="R11" s="15">
        <f t="shared" si="4"/>
        <v>2.8285248153872575</v>
      </c>
      <c r="S11" s="13">
        <f t="shared" si="5"/>
        <v>35.092350326526713</v>
      </c>
    </row>
    <row r="12" spans="1:19" x14ac:dyDescent="0.25">
      <c r="A12" s="1">
        <v>42622</v>
      </c>
      <c r="B12" s="2" t="s">
        <v>13</v>
      </c>
      <c r="C12" s="6">
        <v>3199.8</v>
      </c>
      <c r="D12" s="6">
        <v>48.6</v>
      </c>
      <c r="E12" s="6">
        <v>3248.6</v>
      </c>
      <c r="F12" s="6">
        <v>1408.8</v>
      </c>
      <c r="G12" s="6">
        <v>3202.1</v>
      </c>
      <c r="H12" s="3">
        <v>0.7</v>
      </c>
      <c r="I12" s="6">
        <v>29.6</v>
      </c>
      <c r="J12">
        <v>0.99874099999999999</v>
      </c>
      <c r="K12">
        <f t="shared" si="1"/>
        <v>1.807709069778703</v>
      </c>
      <c r="L12">
        <f>K12*J12</f>
        <v>1.8054331640598515</v>
      </c>
      <c r="M12">
        <v>2068</v>
      </c>
      <c r="N12">
        <v>27</v>
      </c>
      <c r="O12">
        <v>0.99946699999999999</v>
      </c>
      <c r="P12" s="5">
        <f t="shared" si="2"/>
        <v>2.8804043105887187</v>
      </c>
      <c r="Q12" s="5">
        <f t="shared" si="3"/>
        <v>2.8788690550911751</v>
      </c>
      <c r="R12">
        <f t="shared" si="4"/>
        <v>2.8271779466336806</v>
      </c>
      <c r="S12" s="3">
        <f t="shared" si="5"/>
        <v>36.140094534566522</v>
      </c>
    </row>
    <row r="13" spans="1:19" x14ac:dyDescent="0.25">
      <c r="A13" s="1">
        <v>42622</v>
      </c>
      <c r="B13" s="2" t="s">
        <v>15</v>
      </c>
      <c r="C13" s="6">
        <v>3416.6</v>
      </c>
      <c r="D13" s="6">
        <v>48.8</v>
      </c>
      <c r="E13" s="6">
        <v>3465.2</v>
      </c>
      <c r="F13" s="6">
        <v>1599.7</v>
      </c>
      <c r="G13" s="6">
        <v>3416.8</v>
      </c>
      <c r="H13" s="3">
        <v>0.7</v>
      </c>
      <c r="I13" s="6">
        <v>29.6</v>
      </c>
      <c r="J13">
        <v>0.99874099999999999</v>
      </c>
      <c r="K13">
        <f t="shared" si="1"/>
        <v>1.9022628753231259</v>
      </c>
      <c r="L13">
        <f>K13*J13</f>
        <v>1.899867926363094</v>
      </c>
      <c r="M13">
        <v>2208.9</v>
      </c>
      <c r="N13">
        <v>27.1</v>
      </c>
      <c r="O13">
        <v>0.99946699999999999</v>
      </c>
      <c r="P13" s="5">
        <f t="shared" si="2"/>
        <v>2.8786605842491064</v>
      </c>
      <c r="Q13" s="5">
        <f t="shared" si="3"/>
        <v>2.8771262581577015</v>
      </c>
      <c r="R13">
        <f t="shared" si="4"/>
        <v>2.829013827937402</v>
      </c>
      <c r="S13" s="3">
        <f t="shared" si="5"/>
        <v>32.843455638099037</v>
      </c>
    </row>
    <row r="14" spans="1:19" s="15" customFormat="1" x14ac:dyDescent="0.25">
      <c r="A14" s="11">
        <v>42621</v>
      </c>
      <c r="B14" s="12" t="s">
        <v>16</v>
      </c>
      <c r="C14" s="13">
        <v>3214.4</v>
      </c>
      <c r="D14" s="13">
        <v>49.2</v>
      </c>
      <c r="E14" s="13">
        <v>3263.5</v>
      </c>
      <c r="F14" s="13">
        <v>1427.2</v>
      </c>
      <c r="G14" s="13">
        <v>3214</v>
      </c>
      <c r="H14" s="13">
        <v>0.7</v>
      </c>
      <c r="I14" s="13">
        <v>29.4</v>
      </c>
      <c r="J14" s="15">
        <v>0.99874099999999999</v>
      </c>
      <c r="K14" s="15">
        <f t="shared" si="1"/>
        <v>1.8199966027937977</v>
      </c>
      <c r="L14" s="15">
        <f t="shared" si="0"/>
        <v>1.8177052270708802</v>
      </c>
      <c r="M14" s="15">
        <v>2032.8</v>
      </c>
      <c r="N14" s="15">
        <v>27.1</v>
      </c>
      <c r="O14" s="15">
        <v>0.99946699999999999</v>
      </c>
      <c r="P14" s="12">
        <f t="shared" si="2"/>
        <v>2.7697042061079036</v>
      </c>
      <c r="Q14" s="12">
        <f t="shared" si="3"/>
        <v>2.7682279537660479</v>
      </c>
      <c r="R14" s="15">
        <f t="shared" si="4"/>
        <v>2.7203791469194312</v>
      </c>
      <c r="S14" s="13">
        <f t="shared" si="5"/>
        <v>33.181915868997258</v>
      </c>
    </row>
    <row r="15" spans="1:19" s="15" customFormat="1" x14ac:dyDescent="0.25">
      <c r="A15" s="11">
        <v>42621</v>
      </c>
      <c r="B15" s="12" t="s">
        <v>17</v>
      </c>
      <c r="C15" s="13">
        <v>3288.3</v>
      </c>
      <c r="D15" s="13">
        <v>49.1</v>
      </c>
      <c r="E15" s="13">
        <v>3337.5</v>
      </c>
      <c r="F15" s="13">
        <v>1466.1</v>
      </c>
      <c r="G15" s="13">
        <v>3287.7</v>
      </c>
      <c r="H15" s="13">
        <v>0.7</v>
      </c>
      <c r="I15" s="13">
        <v>29.5</v>
      </c>
      <c r="J15" s="15">
        <v>0.99874099999999999</v>
      </c>
      <c r="K15" s="15">
        <f t="shared" si="1"/>
        <v>1.8257031361538092</v>
      </c>
      <c r="L15" s="15">
        <f t="shared" si="0"/>
        <v>1.8234045759053916</v>
      </c>
      <c r="M15" s="15">
        <v>2083.6999999999998</v>
      </c>
      <c r="N15" s="15">
        <v>27.1</v>
      </c>
      <c r="O15" s="15">
        <v>0.99946699999999999</v>
      </c>
      <c r="P15" s="12">
        <f t="shared" si="2"/>
        <v>2.7784202013374202</v>
      </c>
      <c r="Q15" s="12">
        <f t="shared" si="3"/>
        <v>2.7769393033701073</v>
      </c>
      <c r="R15" s="15">
        <f t="shared" si="4"/>
        <v>2.729785821019425</v>
      </c>
      <c r="S15" s="13">
        <f t="shared" si="5"/>
        <v>33.203383142181821</v>
      </c>
    </row>
    <row r="16" spans="1:19" x14ac:dyDescent="0.25">
      <c r="A16" s="1">
        <v>42621</v>
      </c>
      <c r="B16" s="2" t="s">
        <v>7</v>
      </c>
      <c r="C16" s="3">
        <v>3431.8</v>
      </c>
      <c r="D16" s="3">
        <v>49.1</v>
      </c>
      <c r="E16" s="3">
        <v>3480.9</v>
      </c>
      <c r="F16" s="3">
        <v>1655.2</v>
      </c>
      <c r="G16" s="3">
        <v>3431.6</v>
      </c>
      <c r="H16" s="3">
        <v>0.7</v>
      </c>
      <c r="I16" s="3">
        <v>29.6</v>
      </c>
      <c r="J16">
        <v>0.99874099999999999</v>
      </c>
      <c r="K16">
        <f t="shared" si="1"/>
        <v>1.9548210173408522</v>
      </c>
      <c r="L16">
        <f t="shared" si="0"/>
        <v>1.9523598976800201</v>
      </c>
      <c r="M16">
        <v>2123.8000000000002</v>
      </c>
      <c r="N16">
        <v>27.1</v>
      </c>
      <c r="O16">
        <v>0.99946699999999999</v>
      </c>
      <c r="P16" s="5">
        <f t="shared" si="2"/>
        <v>2.6666000643822088</v>
      </c>
      <c r="Q16" s="5">
        <f t="shared" si="3"/>
        <v>2.6651787665478932</v>
      </c>
      <c r="R16">
        <f t="shared" si="4"/>
        <v>2.6237003058103978</v>
      </c>
      <c r="S16" s="3">
        <f t="shared" si="5"/>
        <v>25.587541635134158</v>
      </c>
    </row>
    <row r="17" spans="1:20" x14ac:dyDescent="0.25">
      <c r="A17" s="1">
        <v>42622</v>
      </c>
      <c r="B17" s="2" t="s">
        <v>9</v>
      </c>
      <c r="C17" s="6">
        <v>3522.6</v>
      </c>
      <c r="D17" s="6">
        <v>48.9</v>
      </c>
      <c r="E17" s="6">
        <v>3571.2</v>
      </c>
      <c r="F17" s="6">
        <v>1718.5</v>
      </c>
      <c r="G17" s="6">
        <v>3522.2</v>
      </c>
      <c r="H17" s="3">
        <v>0.7</v>
      </c>
      <c r="I17" s="6">
        <v>29.5</v>
      </c>
      <c r="J17">
        <v>0.99874099999999999</v>
      </c>
      <c r="K17">
        <f t="shared" si="1"/>
        <v>1.9753582901409128</v>
      </c>
      <c r="L17">
        <f t="shared" si="0"/>
        <v>1.9728713140536254</v>
      </c>
      <c r="M17">
        <v>2182</v>
      </c>
      <c r="N17">
        <v>27.1</v>
      </c>
      <c r="O17">
        <v>0.99946699999999999</v>
      </c>
      <c r="P17" s="5">
        <f t="shared" si="2"/>
        <v>2.6690985452026328</v>
      </c>
      <c r="Q17" s="5">
        <f t="shared" si="3"/>
        <v>2.6676759156780396</v>
      </c>
      <c r="R17">
        <f t="shared" si="4"/>
        <v>2.6276294196628376</v>
      </c>
      <c r="S17" s="3">
        <f t="shared" si="5"/>
        <v>24.918205767890477</v>
      </c>
    </row>
    <row r="18" spans="1:20" s="15" customFormat="1" ht="14.25" customHeight="1" x14ac:dyDescent="0.25">
      <c r="A18" s="11">
        <v>42621</v>
      </c>
      <c r="B18" s="12" t="s">
        <v>12</v>
      </c>
      <c r="C18" s="13">
        <v>3630.8</v>
      </c>
      <c r="D18" s="13">
        <v>48.8</v>
      </c>
      <c r="E18" s="13">
        <v>3679.6</v>
      </c>
      <c r="F18" s="13">
        <v>1775.7</v>
      </c>
      <c r="G18" s="13">
        <v>3630.8</v>
      </c>
      <c r="H18" s="13">
        <v>0.7</v>
      </c>
      <c r="I18" s="13">
        <v>29.7</v>
      </c>
      <c r="J18" s="15">
        <v>0.99874099999999999</v>
      </c>
      <c r="K18" s="15">
        <f t="shared" si="1"/>
        <v>1.9795160172283535</v>
      </c>
      <c r="L18" s="15">
        <f t="shared" si="0"/>
        <v>1.9770238065626629</v>
      </c>
      <c r="M18" s="15">
        <v>2210.9</v>
      </c>
      <c r="N18" s="15">
        <v>27.2</v>
      </c>
      <c r="O18" s="15">
        <v>0.99946699999999999</v>
      </c>
      <c r="P18" s="12">
        <f t="shared" si="2"/>
        <v>2.5953088462049032</v>
      </c>
      <c r="Q18" s="12">
        <f t="shared" si="3"/>
        <v>2.5939255465898761</v>
      </c>
      <c r="R18" s="15">
        <f t="shared" si="4"/>
        <v>2.5570814846115923</v>
      </c>
      <c r="S18" s="13">
        <f t="shared" si="5"/>
        <v>22.684364246493192</v>
      </c>
    </row>
    <row r="19" spans="1:20" s="15" customFormat="1" x14ac:dyDescent="0.25">
      <c r="A19" s="11">
        <v>42622</v>
      </c>
      <c r="B19" s="12" t="s">
        <v>14</v>
      </c>
      <c r="C19" s="13">
        <v>3409.6</v>
      </c>
      <c r="D19" s="13">
        <v>48.8</v>
      </c>
      <c r="E19" s="13">
        <v>3458.3</v>
      </c>
      <c r="F19" s="13">
        <v>1581.3</v>
      </c>
      <c r="G19" s="13">
        <v>3409.4</v>
      </c>
      <c r="H19" s="13">
        <v>0.7</v>
      </c>
      <c r="I19" s="13">
        <v>29.7</v>
      </c>
      <c r="J19" s="15">
        <v>0.99874099999999999</v>
      </c>
      <c r="K19" s="15">
        <f t="shared" si="1"/>
        <v>1.8864369269680683</v>
      </c>
      <c r="L19" s="15">
        <f t="shared" si="0"/>
        <v>1.8840619028770156</v>
      </c>
      <c r="M19" s="15">
        <v>2080.6</v>
      </c>
      <c r="N19" s="15">
        <v>27.4</v>
      </c>
      <c r="O19" s="15">
        <v>0.99933099999999997</v>
      </c>
      <c r="P19" s="12">
        <f t="shared" si="2"/>
        <v>2.6064716224923283</v>
      </c>
      <c r="Q19" s="12">
        <f t="shared" si="3"/>
        <v>2.6047278929768809</v>
      </c>
      <c r="R19" s="15">
        <f t="shared" si="4"/>
        <v>2.5655379984951092</v>
      </c>
      <c r="S19" s="13">
        <f t="shared" si="5"/>
        <v>26.562697415428392</v>
      </c>
    </row>
    <row r="20" spans="1:20" x14ac:dyDescent="0.25">
      <c r="A20" s="1">
        <v>42710</v>
      </c>
      <c r="B20" s="2" t="s">
        <v>37</v>
      </c>
      <c r="C20" s="6">
        <v>1194.8</v>
      </c>
      <c r="D20" s="6">
        <v>48.7</v>
      </c>
      <c r="E20" s="6">
        <v>1243.2</v>
      </c>
      <c r="F20" s="6">
        <v>580.4</v>
      </c>
      <c r="G20" s="6">
        <v>1194.5999999999999</v>
      </c>
      <c r="H20" s="6">
        <v>0.7</v>
      </c>
      <c r="I20" s="6">
        <v>24.2</v>
      </c>
      <c r="J20">
        <v>1.0002058</v>
      </c>
      <c r="K20">
        <f t="shared" si="1"/>
        <v>2.0126094908075851</v>
      </c>
      <c r="L20">
        <f t="shared" si="0"/>
        <v>2.0130236858407935</v>
      </c>
      <c r="M20">
        <v>768.4</v>
      </c>
      <c r="N20" s="6">
        <v>24.2</v>
      </c>
      <c r="O20">
        <v>1.0002058</v>
      </c>
      <c r="P20" s="2">
        <f t="shared" si="2"/>
        <v>2.9453444147062973</v>
      </c>
      <c r="Q20" s="2">
        <f t="shared" si="3"/>
        <v>2.945950566586844</v>
      </c>
      <c r="R20">
        <f t="shared" si="4"/>
        <v>2.8020637898686678</v>
      </c>
      <c r="S20" s="6">
        <f t="shared" si="5"/>
        <v>28.159248439695816</v>
      </c>
    </row>
    <row r="21" spans="1:20" x14ac:dyDescent="0.25">
      <c r="A21" s="1">
        <v>42710</v>
      </c>
      <c r="B21" s="2" t="s">
        <v>42</v>
      </c>
      <c r="C21" s="6">
        <v>1284.7</v>
      </c>
      <c r="D21" s="6">
        <v>49</v>
      </c>
      <c r="E21">
        <v>1332.9</v>
      </c>
      <c r="F21" s="6">
        <v>549.29999999999995</v>
      </c>
      <c r="G21" s="6">
        <v>1283.9000000000001</v>
      </c>
      <c r="H21">
        <v>0.7</v>
      </c>
      <c r="I21" s="6">
        <v>24.8</v>
      </c>
      <c r="J21">
        <v>1.000054</v>
      </c>
      <c r="K21">
        <f t="shared" si="1"/>
        <v>1.7974296450271825</v>
      </c>
      <c r="L21">
        <f t="shared" si="0"/>
        <v>1.797526706228014</v>
      </c>
      <c r="M21">
        <v>824.4</v>
      </c>
      <c r="N21" s="6">
        <v>24.8</v>
      </c>
      <c r="O21">
        <v>1.000054</v>
      </c>
      <c r="P21" s="2">
        <f t="shared" si="2"/>
        <v>2.9221445978878959</v>
      </c>
      <c r="Q21" s="2">
        <f t="shared" si="3"/>
        <v>2.9223023936961821</v>
      </c>
      <c r="R21">
        <f t="shared" si="4"/>
        <v>2.7910058657397347</v>
      </c>
      <c r="S21" s="6">
        <f t="shared" si="5"/>
        <v>35.595738859130158</v>
      </c>
    </row>
    <row r="22" spans="1:20" s="15" customFormat="1" x14ac:dyDescent="0.25">
      <c r="A22" s="11">
        <v>42710</v>
      </c>
      <c r="B22" s="12" t="s">
        <v>16</v>
      </c>
      <c r="C22" s="13">
        <v>1744.7</v>
      </c>
      <c r="D22" s="13">
        <v>48.8</v>
      </c>
      <c r="E22" s="13">
        <v>1793.8</v>
      </c>
      <c r="F22" s="13">
        <v>775.1</v>
      </c>
      <c r="G22" s="13">
        <v>1744.8</v>
      </c>
      <c r="H22" s="13">
        <v>0.7</v>
      </c>
      <c r="I22" s="13">
        <v>24.5</v>
      </c>
      <c r="J22" s="16">
        <v>1.000135</v>
      </c>
      <c r="K22" s="15">
        <f t="shared" si="1"/>
        <v>1.8393198692751396</v>
      </c>
      <c r="L22" s="15">
        <f t="shared" si="0"/>
        <v>1.8395681774574917</v>
      </c>
      <c r="M22" s="15">
        <v>1102</v>
      </c>
      <c r="N22" s="13">
        <v>24.5</v>
      </c>
      <c r="O22" s="16">
        <v>1.000135</v>
      </c>
      <c r="P22" s="12">
        <f t="shared" si="2"/>
        <v>2.8065309311517601</v>
      </c>
      <c r="Q22" s="12">
        <f t="shared" si="3"/>
        <v>2.8069098128274654</v>
      </c>
      <c r="R22" s="15">
        <f t="shared" si="4"/>
        <v>2.7146413567761005</v>
      </c>
      <c r="S22" s="13">
        <f t="shared" si="5"/>
        <v>32.235314515278844</v>
      </c>
    </row>
    <row r="23" spans="1:20" s="15" customFormat="1" x14ac:dyDescent="0.25">
      <c r="A23" s="11">
        <v>42710</v>
      </c>
      <c r="B23" s="12" t="s">
        <v>43</v>
      </c>
      <c r="C23" s="13">
        <v>580.9</v>
      </c>
      <c r="D23" s="13">
        <v>48.9</v>
      </c>
      <c r="E23" s="13">
        <v>630</v>
      </c>
      <c r="F23" s="13">
        <v>265.89999999999998</v>
      </c>
      <c r="G23" s="13">
        <v>581</v>
      </c>
      <c r="H23" s="13">
        <v>0.7</v>
      </c>
      <c r="I23" s="13">
        <v>24.5</v>
      </c>
      <c r="J23" s="16">
        <v>1.000135</v>
      </c>
      <c r="K23" s="15">
        <f t="shared" si="1"/>
        <v>1.9761384069592263</v>
      </c>
      <c r="L23" s="15">
        <f t="shared" si="0"/>
        <v>1.9764051856441658</v>
      </c>
      <c r="M23" s="15">
        <v>368.4</v>
      </c>
      <c r="N23" s="13">
        <v>24.5</v>
      </c>
      <c r="O23" s="16">
        <v>1.000135</v>
      </c>
      <c r="P23" s="12">
        <f t="shared" si="2"/>
        <v>3.0340993881510223</v>
      </c>
      <c r="Q23" s="12">
        <f t="shared" si="3"/>
        <v>3.0345089915684227</v>
      </c>
      <c r="R23" s="15">
        <f t="shared" si="4"/>
        <v>2.7336470588235291</v>
      </c>
      <c r="S23" s="13">
        <f t="shared" si="5"/>
        <v>27.700791539097047</v>
      </c>
    </row>
    <row r="24" spans="1:20" s="23" customFormat="1" x14ac:dyDescent="0.25">
      <c r="A24" s="28">
        <v>42710</v>
      </c>
      <c r="B24" s="2" t="s">
        <v>44</v>
      </c>
      <c r="C24" s="6">
        <v>1071.5</v>
      </c>
      <c r="D24" s="6">
        <v>48.5</v>
      </c>
      <c r="E24" s="6">
        <v>1120.2</v>
      </c>
      <c r="F24" s="6">
        <v>470.5</v>
      </c>
      <c r="G24" s="6">
        <v>1072.2</v>
      </c>
      <c r="H24" s="6">
        <v>0.7</v>
      </c>
      <c r="I24" s="6">
        <v>24.4</v>
      </c>
      <c r="J24" s="23">
        <v>1.0001586</v>
      </c>
      <c r="K24" s="23">
        <f t="shared" si="1"/>
        <v>1.8470043586397105</v>
      </c>
      <c r="L24" s="23">
        <f t="shared" si="0"/>
        <v>1.8472972935309908</v>
      </c>
      <c r="M24" s="23">
        <v>680.4</v>
      </c>
      <c r="N24" s="6">
        <v>24.4</v>
      </c>
      <c r="O24" s="23">
        <v>1.0001586</v>
      </c>
      <c r="P24" s="2">
        <f t="shared" si="2"/>
        <v>2.8941580490816485</v>
      </c>
      <c r="Q24" s="2">
        <f t="shared" si="3"/>
        <v>2.894617062548233</v>
      </c>
      <c r="R24" s="23">
        <f t="shared" si="4"/>
        <v>2.7397085144464328</v>
      </c>
      <c r="S24" s="6">
        <f t="shared" si="5"/>
        <v>32.573217778817487</v>
      </c>
    </row>
    <row r="25" spans="1:20" s="23" customFormat="1" x14ac:dyDescent="0.25">
      <c r="A25" s="28">
        <v>42710</v>
      </c>
      <c r="B25" s="2" t="s">
        <v>45</v>
      </c>
      <c r="C25" s="6">
        <v>1354.4</v>
      </c>
      <c r="D25" s="6">
        <v>49</v>
      </c>
      <c r="E25" s="6">
        <v>1403</v>
      </c>
      <c r="F25" s="6">
        <v>547</v>
      </c>
      <c r="G25" s="6">
        <v>1354</v>
      </c>
      <c r="H25" s="6">
        <v>0.7</v>
      </c>
      <c r="I25" s="6">
        <v>24.3</v>
      </c>
      <c r="J25" s="23">
        <v>1.0001822</v>
      </c>
      <c r="K25" s="23">
        <f t="shared" si="1"/>
        <v>1.7219033781329458</v>
      </c>
      <c r="L25" s="23">
        <f t="shared" si="0"/>
        <v>1.7222171089284417</v>
      </c>
      <c r="M25" s="23">
        <v>856.4</v>
      </c>
      <c r="N25" s="6">
        <v>24.3</v>
      </c>
      <c r="O25" s="23">
        <v>1.0001822</v>
      </c>
      <c r="P25" s="2">
        <f t="shared" si="2"/>
        <v>2.838392910604155</v>
      </c>
      <c r="Q25" s="2">
        <f t="shared" si="3"/>
        <v>2.8389100657924673</v>
      </c>
      <c r="R25" s="23">
        <f t="shared" si="4"/>
        <v>2.7196787148594375</v>
      </c>
      <c r="S25" s="6">
        <f t="shared" si="5"/>
        <v>36.675714689429704</v>
      </c>
      <c r="T25" s="24"/>
    </row>
    <row r="26" spans="1:20" x14ac:dyDescent="0.25">
      <c r="A26" s="1">
        <v>42712</v>
      </c>
      <c r="B26" s="2" t="s">
        <v>10</v>
      </c>
      <c r="C26" s="6">
        <v>1403.7</v>
      </c>
      <c r="D26" s="6">
        <v>48.5</v>
      </c>
      <c r="E26" s="6">
        <v>1452.2</v>
      </c>
      <c r="F26" s="6">
        <v>647</v>
      </c>
      <c r="G26" s="6">
        <v>1404</v>
      </c>
      <c r="H26" s="6">
        <v>0.7</v>
      </c>
      <c r="I26" s="6">
        <v>23.5</v>
      </c>
      <c r="J26" s="8">
        <v>1.0003820000000001</v>
      </c>
      <c r="K26">
        <f t="shared" si="1"/>
        <v>1.9074232247544358</v>
      </c>
      <c r="L26">
        <f t="shared" si="0"/>
        <v>1.9081518604262921</v>
      </c>
      <c r="M26">
        <v>900.2</v>
      </c>
      <c r="N26" s="6">
        <v>23.5</v>
      </c>
      <c r="O26" s="8">
        <v>1.0003820000000001</v>
      </c>
      <c r="P26" s="2">
        <f t="shared" si="2"/>
        <v>2.9079313406333234</v>
      </c>
      <c r="Q26" s="2">
        <f t="shared" si="3"/>
        <v>2.9090421704054457</v>
      </c>
      <c r="R26">
        <f t="shared" si="4"/>
        <v>2.7878848063555117</v>
      </c>
      <c r="S26" s="6">
        <f t="shared" si="5"/>
        <v>31.555570155685832</v>
      </c>
    </row>
    <row r="27" spans="1:20" x14ac:dyDescent="0.25">
      <c r="A27" s="1">
        <v>42712</v>
      </c>
      <c r="B27" s="2" t="s">
        <v>11</v>
      </c>
      <c r="C27" s="6">
        <v>1072.7</v>
      </c>
      <c r="D27" s="6">
        <v>48.2</v>
      </c>
      <c r="E27" s="6">
        <v>1120.8</v>
      </c>
      <c r="F27" s="6">
        <v>531.20000000000005</v>
      </c>
      <c r="G27" s="6">
        <v>1072.4000000000001</v>
      </c>
      <c r="H27" s="6">
        <v>0.7</v>
      </c>
      <c r="I27" s="6">
        <v>24.6</v>
      </c>
      <c r="J27">
        <v>1.000108</v>
      </c>
      <c r="K27">
        <f t="shared" si="1"/>
        <v>2.0593768855246557</v>
      </c>
      <c r="L27">
        <f t="shared" si="0"/>
        <v>2.0595992982282922</v>
      </c>
      <c r="M27">
        <v>685.7</v>
      </c>
      <c r="N27" s="6">
        <v>24.6</v>
      </c>
      <c r="O27">
        <v>1.000108</v>
      </c>
      <c r="P27" s="2">
        <f t="shared" si="2"/>
        <v>2.9277888252037276</v>
      </c>
      <c r="Q27" s="2">
        <f t="shared" si="3"/>
        <v>2.9281050263968496</v>
      </c>
      <c r="R27">
        <f t="shared" si="4"/>
        <v>2.7718346253229975</v>
      </c>
      <c r="S27" s="6">
        <f t="shared" si="5"/>
        <v>25.69544808293567</v>
      </c>
    </row>
    <row r="28" spans="1:20" x14ac:dyDescent="0.25">
      <c r="A28" s="1">
        <v>42712</v>
      </c>
      <c r="B28" s="2" t="s">
        <v>6</v>
      </c>
      <c r="C28" s="6">
        <v>1216.8</v>
      </c>
      <c r="D28" s="6">
        <v>48.3</v>
      </c>
      <c r="E28" s="6">
        <v>1265.3</v>
      </c>
      <c r="F28" s="6">
        <v>499.6</v>
      </c>
      <c r="G28" s="6">
        <v>1216.5999999999999</v>
      </c>
      <c r="H28" s="6">
        <v>0.7</v>
      </c>
      <c r="I28" s="6">
        <v>24.5</v>
      </c>
      <c r="J28" s="8">
        <v>1.000135</v>
      </c>
      <c r="K28">
        <f t="shared" si="1"/>
        <v>1.7472358407351949</v>
      </c>
      <c r="L28">
        <f t="shared" si="0"/>
        <v>1.7474717175736942</v>
      </c>
      <c r="M28">
        <v>776.6</v>
      </c>
      <c r="N28" s="6">
        <v>24.5</v>
      </c>
      <c r="O28" s="8">
        <v>1.000135</v>
      </c>
      <c r="P28" s="2">
        <f t="shared" si="2"/>
        <v>2.90118873258626</v>
      </c>
      <c r="Q28" s="2">
        <f t="shared" si="3"/>
        <v>2.9015803930651591</v>
      </c>
      <c r="R28">
        <f t="shared" si="4"/>
        <v>2.7641980917764655</v>
      </c>
      <c r="S28" s="6">
        <f t="shared" si="5"/>
        <v>36.781964983897097</v>
      </c>
    </row>
    <row r="29" spans="1:20" x14ac:dyDescent="0.25">
      <c r="A29" s="1">
        <v>42712</v>
      </c>
      <c r="B29" s="2" t="s">
        <v>8</v>
      </c>
      <c r="C29" s="6">
        <v>1109.7</v>
      </c>
      <c r="D29" s="6">
        <v>48.5</v>
      </c>
      <c r="E29" s="6">
        <v>1158.2</v>
      </c>
      <c r="F29" s="6">
        <v>522.29999999999995</v>
      </c>
      <c r="G29" s="6">
        <v>1109.5999999999999</v>
      </c>
      <c r="H29" s="6">
        <v>0.7</v>
      </c>
      <c r="I29" s="6">
        <v>23.6</v>
      </c>
      <c r="J29">
        <v>1.0003562000000001</v>
      </c>
      <c r="K29">
        <f t="shared" si="1"/>
        <v>1.9584751531654185</v>
      </c>
      <c r="L29">
        <f t="shared" si="0"/>
        <v>1.9591727620149764</v>
      </c>
      <c r="M29">
        <v>710.4</v>
      </c>
      <c r="N29" s="6">
        <v>23.6</v>
      </c>
      <c r="O29">
        <v>1.0003562000000001</v>
      </c>
      <c r="P29" s="2">
        <f t="shared" si="2"/>
        <v>2.9317255434782603</v>
      </c>
      <c r="Q29" s="2">
        <f t="shared" si="3"/>
        <v>2.9327698241168476</v>
      </c>
      <c r="R29">
        <f t="shared" si="4"/>
        <v>2.7791134485349356</v>
      </c>
      <c r="S29" s="6">
        <f t="shared" si="5"/>
        <v>29.503678122683585</v>
      </c>
    </row>
    <row r="30" spans="1:20" s="20" customFormat="1" x14ac:dyDescent="0.25">
      <c r="A30" s="25">
        <v>42716</v>
      </c>
      <c r="B30" s="18" t="s">
        <v>73</v>
      </c>
      <c r="C30" s="19">
        <v>1305.4000000000001</v>
      </c>
      <c r="D30" s="19">
        <v>48.6</v>
      </c>
      <c r="E30" s="19">
        <v>1353.9</v>
      </c>
      <c r="F30" s="19">
        <v>594.79999999999995</v>
      </c>
      <c r="G30" s="19">
        <v>1305.3</v>
      </c>
      <c r="H30" s="19">
        <v>0.7</v>
      </c>
      <c r="I30" s="19">
        <v>25</v>
      </c>
      <c r="J30" s="26">
        <v>1</v>
      </c>
      <c r="K30" s="20">
        <f t="shared" si="1"/>
        <v>1.892393397808934</v>
      </c>
      <c r="L30" s="20">
        <f t="shared" si="0"/>
        <v>1.892393397808934</v>
      </c>
      <c r="M30" s="20">
        <v>826.9</v>
      </c>
      <c r="N30" s="19">
        <v>25</v>
      </c>
      <c r="O30" s="27">
        <v>1</v>
      </c>
      <c r="P30" s="18">
        <f t="shared" si="2"/>
        <v>2.851997503121098</v>
      </c>
      <c r="Q30" s="18">
        <f t="shared" si="3"/>
        <v>2.851997503121098</v>
      </c>
      <c r="R30" s="20">
        <f t="shared" si="4"/>
        <v>2.7281086729362585</v>
      </c>
      <c r="S30" s="19">
        <f t="shared" si="5"/>
        <v>30.633503841613674</v>
      </c>
      <c r="T30" s="21">
        <f>AVERAGE(S30,S24)</f>
        <v>31.60336081021558</v>
      </c>
    </row>
    <row r="31" spans="1:20" s="20" customFormat="1" x14ac:dyDescent="0.25">
      <c r="A31" s="25">
        <v>42716</v>
      </c>
      <c r="B31" s="18" t="s">
        <v>74</v>
      </c>
      <c r="C31" s="19">
        <v>1391.6</v>
      </c>
      <c r="D31" s="19">
        <v>48.5</v>
      </c>
      <c r="E31" s="19">
        <v>1440.1</v>
      </c>
      <c r="F31" s="19">
        <v>672.8</v>
      </c>
      <c r="G31" s="20">
        <v>1391.6</v>
      </c>
      <c r="H31" s="19">
        <v>0.7</v>
      </c>
      <c r="I31" s="19">
        <v>24.9</v>
      </c>
      <c r="J31" s="20">
        <v>1.000027</v>
      </c>
      <c r="K31" s="20">
        <f t="shared" si="1"/>
        <v>1.9936554716440515</v>
      </c>
      <c r="L31" s="20">
        <f t="shared" si="0"/>
        <v>1.9937093003417858</v>
      </c>
      <c r="M31" s="20">
        <v>879.7</v>
      </c>
      <c r="N31" s="19">
        <v>24.9</v>
      </c>
      <c r="O31" s="20">
        <v>1.000027</v>
      </c>
      <c r="P31" s="18">
        <f t="shared" si="2"/>
        <v>2.8335563441736</v>
      </c>
      <c r="Q31" s="18">
        <f t="shared" si="3"/>
        <v>2.8336328501948929</v>
      </c>
      <c r="R31" s="20">
        <f t="shared" si="4"/>
        <v>2.7184997069740189</v>
      </c>
      <c r="S31" s="19">
        <f t="shared" si="5"/>
        <v>26.661411982972115</v>
      </c>
      <c r="T31" s="21"/>
    </row>
    <row r="32" spans="1:20" x14ac:dyDescent="0.25">
      <c r="A32" s="1">
        <v>42716</v>
      </c>
      <c r="B32" s="2" t="s">
        <v>13</v>
      </c>
      <c r="C32" s="6">
        <v>1087.7</v>
      </c>
      <c r="D32" s="6">
        <v>48.4</v>
      </c>
      <c r="E32" s="6">
        <v>1136.4000000000001</v>
      </c>
      <c r="F32" s="6">
        <v>539.5</v>
      </c>
      <c r="G32" s="6">
        <v>1088.0999999999999</v>
      </c>
      <c r="H32" s="6">
        <v>0.7</v>
      </c>
      <c r="I32" s="6">
        <v>24.9</v>
      </c>
      <c r="J32">
        <v>1.000027</v>
      </c>
      <c r="K32">
        <f t="shared" si="1"/>
        <v>2.0626608511906377</v>
      </c>
      <c r="L32">
        <f t="shared" si="0"/>
        <v>2.0627165430336198</v>
      </c>
      <c r="M32">
        <v>698.2</v>
      </c>
      <c r="N32" s="6">
        <v>24.9</v>
      </c>
      <c r="O32">
        <v>1.000027</v>
      </c>
      <c r="P32" s="2">
        <f t="shared" si="2"/>
        <v>2.9506665633235163</v>
      </c>
      <c r="Q32" s="2">
        <f t="shared" si="3"/>
        <v>2.9507462313207262</v>
      </c>
      <c r="R32">
        <f t="shared" si="4"/>
        <v>2.7925545571245189</v>
      </c>
      <c r="S32" s="6">
        <f t="shared" si="5"/>
        <v>26.135138961883342</v>
      </c>
    </row>
    <row r="33" spans="1:22" x14ac:dyDescent="0.25">
      <c r="A33" s="1">
        <v>42716</v>
      </c>
      <c r="B33" s="2" t="s">
        <v>15</v>
      </c>
      <c r="C33" s="6">
        <v>1393.7</v>
      </c>
      <c r="D33" s="6">
        <v>48.4</v>
      </c>
      <c r="E33" s="6">
        <v>1442.1</v>
      </c>
      <c r="F33" s="6">
        <v>582.6</v>
      </c>
      <c r="G33" s="6">
        <v>1392.5</v>
      </c>
      <c r="H33" s="6">
        <v>0.7</v>
      </c>
      <c r="I33" s="6">
        <v>24.8</v>
      </c>
      <c r="J33">
        <v>1.000054</v>
      </c>
      <c r="K33">
        <f t="shared" si="1"/>
        <v>1.7633800271125168</v>
      </c>
      <c r="L33">
        <f t="shared" si="0"/>
        <v>1.7634752496339809</v>
      </c>
      <c r="M33">
        <v>892.2</v>
      </c>
      <c r="N33" s="6">
        <v>24.8</v>
      </c>
      <c r="O33">
        <v>1.000054</v>
      </c>
      <c r="P33" s="2">
        <f t="shared" si="2"/>
        <v>2.8989688883606215</v>
      </c>
      <c r="Q33" s="2">
        <f t="shared" si="3"/>
        <v>2.8991254326805929</v>
      </c>
      <c r="R33">
        <f t="shared" si="4"/>
        <v>2.779062811565304</v>
      </c>
      <c r="S33" s="6">
        <f t="shared" si="5"/>
        <v>36.544246416629008</v>
      </c>
    </row>
    <row r="34" spans="1:22" x14ac:dyDescent="0.25">
      <c r="A34" s="1">
        <v>42716</v>
      </c>
      <c r="B34" s="2" t="s">
        <v>12</v>
      </c>
      <c r="C34" s="6">
        <v>1281.7</v>
      </c>
      <c r="D34" s="6">
        <v>48.7</v>
      </c>
      <c r="E34" s="6">
        <v>1330.3</v>
      </c>
      <c r="F34" s="6">
        <v>610.70000000000005</v>
      </c>
      <c r="G34" s="6">
        <v>1282.0999999999999</v>
      </c>
      <c r="H34" s="6">
        <v>0.7</v>
      </c>
      <c r="I34" s="6">
        <v>24.7</v>
      </c>
      <c r="J34">
        <v>1.000081</v>
      </c>
      <c r="K34">
        <f t="shared" si="1"/>
        <v>1.9713262436280541</v>
      </c>
      <c r="L34">
        <f t="shared" si="0"/>
        <v>1.9714859210537881</v>
      </c>
      <c r="M34">
        <v>786.2</v>
      </c>
      <c r="N34" s="6">
        <v>24.7</v>
      </c>
      <c r="O34">
        <v>1.000081</v>
      </c>
      <c r="P34" s="2">
        <f t="shared" si="2"/>
        <v>2.7001835856381859</v>
      </c>
      <c r="Q34" s="2">
        <f t="shared" si="3"/>
        <v>2.7004023005086228</v>
      </c>
      <c r="R34">
        <f t="shared" si="4"/>
        <v>2.5866801210898083</v>
      </c>
      <c r="S34" s="6">
        <f t="shared" si="5"/>
        <v>23.783157222271043</v>
      </c>
    </row>
    <row r="35" spans="1:22" x14ac:dyDescent="0.25">
      <c r="A35" s="1">
        <v>42716</v>
      </c>
      <c r="B35" s="2" t="s">
        <v>14</v>
      </c>
      <c r="C35" s="6">
        <v>1095</v>
      </c>
      <c r="D35" s="6">
        <v>48.9</v>
      </c>
      <c r="E35" s="6">
        <v>1143.7</v>
      </c>
      <c r="F35" s="6">
        <v>542.1</v>
      </c>
      <c r="G35" s="6">
        <v>1095</v>
      </c>
      <c r="H35" s="6">
        <v>0.7</v>
      </c>
      <c r="I35" s="6">
        <v>24.6</v>
      </c>
      <c r="J35">
        <v>1.000108</v>
      </c>
      <c r="K35">
        <f t="shared" si="1"/>
        <v>2.058160141775415</v>
      </c>
      <c r="L35">
        <f t="shared" si="0"/>
        <v>2.0583824230707268</v>
      </c>
      <c r="M35">
        <v>669.3</v>
      </c>
      <c r="N35" s="6">
        <v>24.6</v>
      </c>
      <c r="O35">
        <v>1.000108</v>
      </c>
      <c r="P35" s="2">
        <f t="shared" si="2"/>
        <v>2.7048486131695957</v>
      </c>
      <c r="Q35" s="2">
        <f t="shared" si="3"/>
        <v>2.7051407368198181</v>
      </c>
      <c r="R35">
        <f t="shared" si="4"/>
        <v>2.5722339675828043</v>
      </c>
      <c r="S35" s="6">
        <f t="shared" si="5"/>
        <v>19.976858675688714</v>
      </c>
    </row>
    <row r="36" spans="1:22" x14ac:dyDescent="0.25">
      <c r="A36" s="1">
        <v>42717</v>
      </c>
      <c r="B36" s="2" t="s">
        <v>1</v>
      </c>
      <c r="C36" s="6">
        <v>1285</v>
      </c>
      <c r="D36" s="6">
        <v>48.9</v>
      </c>
      <c r="E36" s="6">
        <v>1333.8</v>
      </c>
      <c r="F36" s="6">
        <v>604.70000000000005</v>
      </c>
      <c r="G36" s="6">
        <v>1284.9000000000001</v>
      </c>
      <c r="H36" s="6">
        <v>0.7</v>
      </c>
      <c r="I36" s="6">
        <v>23.8</v>
      </c>
      <c r="J36">
        <v>1.0003046</v>
      </c>
      <c r="K36">
        <f t="shared" si="1"/>
        <v>1.9487834997941809</v>
      </c>
      <c r="L36">
        <f t="shared" si="0"/>
        <v>1.9493770992482182</v>
      </c>
      <c r="M36">
        <v>827.5</v>
      </c>
      <c r="N36" s="6">
        <v>23.8</v>
      </c>
      <c r="O36">
        <v>1.0003046</v>
      </c>
      <c r="P36" s="2">
        <f t="shared" si="2"/>
        <v>2.9432937403880763</v>
      </c>
      <c r="Q36" s="2">
        <f t="shared" si="3"/>
        <v>2.9441902676613987</v>
      </c>
      <c r="R36">
        <f t="shared" si="4"/>
        <v>2.8087431693989071</v>
      </c>
      <c r="S36" s="6">
        <f t="shared" si="5"/>
        <v>30.596107166843588</v>
      </c>
    </row>
    <row r="37" spans="1:22" x14ac:dyDescent="0.25">
      <c r="A37" s="1">
        <v>42717</v>
      </c>
      <c r="B37" s="2" t="s">
        <v>0</v>
      </c>
      <c r="C37" s="6">
        <v>1299.0999999999999</v>
      </c>
      <c r="D37" s="6">
        <v>48.7</v>
      </c>
      <c r="E37" s="6">
        <v>1347.7</v>
      </c>
      <c r="F37" s="6">
        <v>632.5</v>
      </c>
      <c r="G37" s="6">
        <v>1299.0999999999999</v>
      </c>
      <c r="H37" s="6">
        <v>0.7</v>
      </c>
      <c r="I37" s="6">
        <v>23.7</v>
      </c>
      <c r="J37">
        <v>1.0003304000000002</v>
      </c>
      <c r="K37">
        <f t="shared" si="1"/>
        <v>2.0117025042031682</v>
      </c>
      <c r="L37">
        <f t="shared" si="0"/>
        <v>2.0123671707105575</v>
      </c>
      <c r="M37">
        <v>835.5</v>
      </c>
      <c r="N37" s="6">
        <v>23.7</v>
      </c>
      <c r="O37">
        <v>1.0003304000000002</v>
      </c>
      <c r="P37" s="2">
        <f t="shared" si="2"/>
        <v>2.9340194876427703</v>
      </c>
      <c r="Q37" s="2">
        <f t="shared" si="3"/>
        <v>2.934988887681488</v>
      </c>
      <c r="R37">
        <f t="shared" si="4"/>
        <v>2.8022001725625545</v>
      </c>
      <c r="S37" s="6">
        <f t="shared" si="5"/>
        <v>28.186173478453213</v>
      </c>
    </row>
    <row r="38" spans="1:22" s="23" customFormat="1" x14ac:dyDescent="0.25">
      <c r="A38" s="22">
        <v>42720</v>
      </c>
      <c r="B38" s="2" t="s">
        <v>46</v>
      </c>
      <c r="C38" s="6">
        <v>1384.6</v>
      </c>
      <c r="D38" s="6">
        <v>48.4</v>
      </c>
      <c r="E38" s="6">
        <v>1433.3</v>
      </c>
      <c r="F38" s="6">
        <v>676</v>
      </c>
      <c r="G38" s="6">
        <v>1384.5</v>
      </c>
      <c r="H38" s="6">
        <v>0.7</v>
      </c>
      <c r="I38" s="6">
        <v>24.3</v>
      </c>
      <c r="J38" s="23">
        <v>1.0001755999999999</v>
      </c>
      <c r="K38" s="23">
        <f t="shared" si="1"/>
        <v>2.0132942813817745</v>
      </c>
      <c r="L38" s="23">
        <f t="shared" si="0"/>
        <v>2.0136478158575848</v>
      </c>
      <c r="M38" s="23">
        <v>885.9</v>
      </c>
      <c r="N38" s="24">
        <f>I38</f>
        <v>24.3</v>
      </c>
      <c r="O38" s="23">
        <f>J38</f>
        <v>1.0001755999999999</v>
      </c>
      <c r="P38" s="2">
        <f t="shared" si="2"/>
        <v>2.8976919397273386</v>
      </c>
      <c r="Q38" s="2">
        <f t="shared" si="3"/>
        <v>2.8982007744319547</v>
      </c>
      <c r="R38" s="23">
        <f t="shared" si="4"/>
        <v>2.776418688590335</v>
      </c>
      <c r="S38" s="6">
        <f t="shared" si="5"/>
        <v>27.473193285557016</v>
      </c>
    </row>
    <row r="39" spans="1:22" s="23" customFormat="1" x14ac:dyDescent="0.25">
      <c r="A39" s="22">
        <v>42720</v>
      </c>
      <c r="B39" s="2" t="s">
        <v>47</v>
      </c>
      <c r="C39" s="6">
        <v>1500.9</v>
      </c>
      <c r="D39" s="6">
        <v>48.8</v>
      </c>
      <c r="E39" s="6">
        <v>1549.1</v>
      </c>
      <c r="F39" s="6">
        <v>745.3</v>
      </c>
      <c r="G39" s="6">
        <v>1500.9</v>
      </c>
      <c r="H39" s="6">
        <v>0.7</v>
      </c>
      <c r="I39" s="6">
        <v>24.2</v>
      </c>
      <c r="J39" s="23">
        <v>1.0002014000000001</v>
      </c>
      <c r="K39" s="23">
        <f t="shared" si="1"/>
        <v>2.0421995879174277</v>
      </c>
      <c r="L39" s="23">
        <f t="shared" si="0"/>
        <v>2.0426108869144346</v>
      </c>
      <c r="M39" s="23">
        <v>961.2</v>
      </c>
      <c r="N39" s="24">
        <f t="shared" ref="N39:N57" si="6">I39</f>
        <v>24.2</v>
      </c>
      <c r="O39" s="23">
        <f t="shared" ref="O39:O46" si="7">J39</f>
        <v>1.0002014000000001</v>
      </c>
      <c r="P39" s="2">
        <f t="shared" si="2"/>
        <v>2.891668730905788</v>
      </c>
      <c r="Q39" s="2">
        <f t="shared" si="3"/>
        <v>2.8922511129881929</v>
      </c>
      <c r="R39" s="23">
        <f t="shared" si="4"/>
        <v>2.7809894385769871</v>
      </c>
      <c r="S39" s="6">
        <f t="shared" si="5"/>
        <v>26.550929730980055</v>
      </c>
    </row>
    <row r="40" spans="1:22" x14ac:dyDescent="0.25">
      <c r="A40" s="10">
        <v>42752</v>
      </c>
      <c r="B40" s="2" t="s">
        <v>7</v>
      </c>
      <c r="C40" s="6">
        <v>1400.4</v>
      </c>
      <c r="D40" s="6">
        <v>48.6</v>
      </c>
      <c r="E40" s="6">
        <v>1449</v>
      </c>
      <c r="F40" s="6">
        <v>701.4</v>
      </c>
      <c r="G40" s="6">
        <v>1400.2</v>
      </c>
      <c r="H40" s="6">
        <v>0.7</v>
      </c>
      <c r="I40" s="6">
        <v>23.1</v>
      </c>
      <c r="J40">
        <v>1.0004852000000002</v>
      </c>
      <c r="K40">
        <f t="shared" si="1"/>
        <v>2.0649646107178965</v>
      </c>
      <c r="L40">
        <f t="shared" si="0"/>
        <v>2.065966531547017</v>
      </c>
      <c r="M40">
        <v>864.5</v>
      </c>
      <c r="N40" s="4">
        <f t="shared" si="6"/>
        <v>23.1</v>
      </c>
      <c r="O40">
        <f t="shared" si="7"/>
        <v>1.0004852000000002</v>
      </c>
      <c r="P40" s="2">
        <f t="shared" si="2"/>
        <v>2.7188462071834691</v>
      </c>
      <c r="Q40" s="2">
        <f t="shared" si="3"/>
        <v>2.7201653913631949</v>
      </c>
      <c r="R40">
        <f t="shared" si="4"/>
        <v>2.6131740996454558</v>
      </c>
      <c r="S40" s="6">
        <f t="shared" si="5"/>
        <v>20.940341027131769</v>
      </c>
    </row>
    <row r="41" spans="1:22" ht="20.25" customHeight="1" x14ac:dyDescent="0.25">
      <c r="A41" s="10">
        <v>42752</v>
      </c>
      <c r="B41" s="2" t="s">
        <v>9</v>
      </c>
      <c r="C41" s="6">
        <v>1265.5</v>
      </c>
      <c r="D41" s="6">
        <v>49</v>
      </c>
      <c r="E41" s="6">
        <v>1314.5</v>
      </c>
      <c r="F41" s="6">
        <v>619</v>
      </c>
      <c r="G41" s="6">
        <v>1265.4000000000001</v>
      </c>
      <c r="H41" s="6">
        <v>0.7</v>
      </c>
      <c r="I41" s="6">
        <v>22.8</v>
      </c>
      <c r="J41">
        <v>1.0005626000000001</v>
      </c>
      <c r="K41">
        <f t="shared" si="1"/>
        <v>2.0231814548361311</v>
      </c>
      <c r="L41">
        <f t="shared" si="0"/>
        <v>2.024319696722622</v>
      </c>
      <c r="M41">
        <v>779.1</v>
      </c>
      <c r="N41" s="4">
        <f t="shared" si="6"/>
        <v>22.8</v>
      </c>
      <c r="O41">
        <f t="shared" si="7"/>
        <v>1.0005626000000001</v>
      </c>
      <c r="P41" s="2">
        <f t="shared" si="2"/>
        <v>2.7191663085517837</v>
      </c>
      <c r="Q41" s="2">
        <f t="shared" si="3"/>
        <v>2.720696111516975</v>
      </c>
      <c r="R41">
        <f t="shared" si="4"/>
        <v>2.6017680921052633</v>
      </c>
      <c r="S41" s="6">
        <f t="shared" si="5"/>
        <v>22.194460649080739</v>
      </c>
    </row>
    <row r="42" spans="1:22" s="20" customFormat="1" x14ac:dyDescent="0.25">
      <c r="A42" s="17">
        <v>42752</v>
      </c>
      <c r="B42" s="18" t="s">
        <v>48</v>
      </c>
      <c r="C42" s="19">
        <v>1310</v>
      </c>
      <c r="D42" s="19">
        <v>48.8</v>
      </c>
      <c r="E42" s="19">
        <v>1358.9</v>
      </c>
      <c r="F42" s="19">
        <v>633.79999999999995</v>
      </c>
      <c r="G42" s="19">
        <v>1310</v>
      </c>
      <c r="H42" s="19">
        <v>0.7</v>
      </c>
      <c r="I42" s="19">
        <v>22.8</v>
      </c>
      <c r="J42" s="20">
        <v>1.0005626000000001</v>
      </c>
      <c r="K42" s="20">
        <f t="shared" si="1"/>
        <v>1.999258726317396</v>
      </c>
      <c r="L42" s="20">
        <f t="shared" si="0"/>
        <v>2.0003835092768223</v>
      </c>
      <c r="M42" s="20">
        <v>841.1</v>
      </c>
      <c r="N42" s="21">
        <f t="shared" si="6"/>
        <v>22.8</v>
      </c>
      <c r="O42" s="20">
        <f t="shared" si="7"/>
        <v>1.0005626000000001</v>
      </c>
      <c r="P42" s="18">
        <f t="shared" si="2"/>
        <v>2.9244801632861339</v>
      </c>
      <c r="Q42" s="18">
        <f t="shared" si="3"/>
        <v>2.9261254758259989</v>
      </c>
      <c r="R42" s="20">
        <f t="shared" si="4"/>
        <v>2.7937726594156538</v>
      </c>
      <c r="S42" s="19">
        <f t="shared" si="5"/>
        <v>28.398486450389171</v>
      </c>
    </row>
    <row r="43" spans="1:22" s="20" customFormat="1" x14ac:dyDescent="0.25">
      <c r="A43" s="17">
        <v>42752</v>
      </c>
      <c r="B43" s="18" t="s">
        <v>49</v>
      </c>
      <c r="C43" s="19">
        <v>1516.6</v>
      </c>
      <c r="D43" s="19">
        <v>48.8</v>
      </c>
      <c r="E43" s="19">
        <v>1565.2</v>
      </c>
      <c r="F43" s="19">
        <v>762.1</v>
      </c>
      <c r="G43" s="19">
        <v>1516.6</v>
      </c>
      <c r="H43" s="19">
        <v>0.7</v>
      </c>
      <c r="I43" s="19">
        <v>22.8</v>
      </c>
      <c r="J43" s="20">
        <v>1.0005626000000001</v>
      </c>
      <c r="K43" s="20">
        <f t="shared" si="1"/>
        <v>2.0671378779913163</v>
      </c>
      <c r="L43" s="20">
        <f t="shared" si="0"/>
        <v>2.0683008497614743</v>
      </c>
      <c r="M43" s="20">
        <v>969.7</v>
      </c>
      <c r="N43" s="21">
        <f t="shared" si="6"/>
        <v>22.8</v>
      </c>
      <c r="O43" s="20">
        <f t="shared" si="7"/>
        <v>1.0005626000000001</v>
      </c>
      <c r="P43" s="18">
        <f t="shared" si="2"/>
        <v>2.882878479293959</v>
      </c>
      <c r="Q43" s="18">
        <f t="shared" si="3"/>
        <v>2.8845003867264101</v>
      </c>
      <c r="R43" s="20">
        <f t="shared" si="4"/>
        <v>2.7730846589870182</v>
      </c>
      <c r="S43" s="19">
        <f t="shared" si="5"/>
        <v>25.415156617793077</v>
      </c>
      <c r="T43" s="21">
        <f>AVERAGE(S42:S43)</f>
        <v>26.906821534091122</v>
      </c>
      <c r="U43" s="20">
        <f>AVERAGE(L42:L43)</f>
        <v>2.0343421795191485</v>
      </c>
      <c r="V43" s="20">
        <f>AVERAGE(Q42:Q43)</f>
        <v>2.9053129312762045</v>
      </c>
    </row>
    <row r="44" spans="1:22" s="20" customFormat="1" x14ac:dyDescent="0.25">
      <c r="A44" s="17">
        <v>42752</v>
      </c>
      <c r="B44" s="18" t="s">
        <v>50</v>
      </c>
      <c r="C44" s="19">
        <v>1203.4000000000001</v>
      </c>
      <c r="D44" s="19">
        <v>49.1</v>
      </c>
      <c r="E44" s="19">
        <v>1252.5</v>
      </c>
      <c r="F44" s="19">
        <v>512.79999999999995</v>
      </c>
      <c r="G44" s="19">
        <v>1203</v>
      </c>
      <c r="H44" s="19">
        <v>0.7</v>
      </c>
      <c r="I44" s="19">
        <v>22.6</v>
      </c>
      <c r="J44" s="20">
        <v>1.0006142000000002</v>
      </c>
      <c r="K44" s="20">
        <f t="shared" si="1"/>
        <v>1.7973073886790838</v>
      </c>
      <c r="L44" s="20">
        <f t="shared" si="0"/>
        <v>1.7984112948772109</v>
      </c>
      <c r="M44" s="20">
        <v>761.8</v>
      </c>
      <c r="N44" s="21">
        <f t="shared" si="6"/>
        <v>22.6</v>
      </c>
      <c r="O44" s="20">
        <f t="shared" si="7"/>
        <v>1.0006142000000002</v>
      </c>
      <c r="P44" s="18">
        <f t="shared" si="2"/>
        <v>2.8614423044261001</v>
      </c>
      <c r="Q44" s="18">
        <f t="shared" si="3"/>
        <v>2.8631998022894791</v>
      </c>
      <c r="R44" s="20">
        <f t="shared" si="4"/>
        <v>2.7250905797101441</v>
      </c>
      <c r="S44" s="19">
        <f t="shared" si="5"/>
        <v>34.005448909940462</v>
      </c>
    </row>
    <row r="45" spans="1:22" s="20" customFormat="1" x14ac:dyDescent="0.25">
      <c r="A45" s="17">
        <v>42752</v>
      </c>
      <c r="B45" s="18" t="s">
        <v>51</v>
      </c>
      <c r="C45" s="19">
        <v>1325.4</v>
      </c>
      <c r="D45" s="19">
        <v>49</v>
      </c>
      <c r="E45" s="19">
        <f>1374.4</f>
        <v>1374.4</v>
      </c>
      <c r="F45" s="19">
        <v>605.5</v>
      </c>
      <c r="G45" s="19">
        <v>1325.3</v>
      </c>
      <c r="H45" s="19">
        <v>0.7</v>
      </c>
      <c r="I45" s="19">
        <v>22.5</v>
      </c>
      <c r="J45" s="20">
        <v>1.0006400000000002</v>
      </c>
      <c r="K45" s="20">
        <f t="shared" si="1"/>
        <v>1.896408642151953</v>
      </c>
      <c r="L45" s="20">
        <f t="shared" si="0"/>
        <v>1.8976223436829307</v>
      </c>
      <c r="M45" s="20">
        <v>842.7</v>
      </c>
      <c r="N45" s="21">
        <f t="shared" si="6"/>
        <v>22.5</v>
      </c>
      <c r="O45" s="20">
        <f t="shared" si="7"/>
        <v>1.0006400000000002</v>
      </c>
      <c r="P45" s="18">
        <f t="shared" si="2"/>
        <v>2.8706952566601687</v>
      </c>
      <c r="Q45" s="18">
        <f t="shared" si="3"/>
        <v>2.8725325016244319</v>
      </c>
      <c r="R45" s="20">
        <f t="shared" si="4"/>
        <v>2.74580484773151</v>
      </c>
      <c r="S45" s="19">
        <f t="shared" si="5"/>
        <v>30.890123336671891</v>
      </c>
      <c r="T45" s="21">
        <f>AVERAGE(S44:S45)</f>
        <v>32.447786123306173</v>
      </c>
      <c r="U45" s="20">
        <f>AVERAGE(L44:L45)</f>
        <v>1.8480168192800708</v>
      </c>
      <c r="V45" s="20">
        <f>AVERAGE(Q44:Q45)</f>
        <v>2.8678661519569557</v>
      </c>
    </row>
    <row r="46" spans="1:22" s="20" customFormat="1" x14ac:dyDescent="0.25">
      <c r="A46" s="17">
        <v>42752</v>
      </c>
      <c r="B46" s="18" t="s">
        <v>52</v>
      </c>
      <c r="C46" s="19">
        <v>1341.2</v>
      </c>
      <c r="D46" s="19">
        <v>48.5</v>
      </c>
      <c r="E46" s="19">
        <v>1389.7</v>
      </c>
      <c r="F46" s="19">
        <v>621.6</v>
      </c>
      <c r="G46" s="19">
        <v>1341.3</v>
      </c>
      <c r="H46" s="19">
        <v>0.7</v>
      </c>
      <c r="I46" s="19">
        <v>22.4</v>
      </c>
      <c r="J46" s="20">
        <v>1.0006658000000002</v>
      </c>
      <c r="K46" s="20">
        <f t="shared" si="1"/>
        <v>1.9192509761432632</v>
      </c>
      <c r="L46" s="20">
        <f t="shared" si="0"/>
        <v>1.9205288134431797</v>
      </c>
      <c r="M46" s="20">
        <v>849</v>
      </c>
      <c r="N46" s="21">
        <f t="shared" si="6"/>
        <v>22.4</v>
      </c>
      <c r="O46" s="20">
        <f t="shared" si="7"/>
        <v>1.0006658000000002</v>
      </c>
      <c r="P46" s="18">
        <f t="shared" si="2"/>
        <v>2.8450559107851752</v>
      </c>
      <c r="Q46" s="18">
        <f t="shared" si="3"/>
        <v>2.8469501490105764</v>
      </c>
      <c r="R46" s="20">
        <f t="shared" si="4"/>
        <v>2.7249085737505077</v>
      </c>
      <c r="S46" s="19">
        <f t="shared" si="5"/>
        <v>29.519513720792332</v>
      </c>
    </row>
    <row r="47" spans="1:22" s="20" customFormat="1" x14ac:dyDescent="0.25">
      <c r="A47" s="17">
        <v>42752</v>
      </c>
      <c r="B47" s="18" t="s">
        <v>53</v>
      </c>
      <c r="C47" s="19">
        <v>1230.9000000000001</v>
      </c>
      <c r="D47" s="19">
        <v>48.7</v>
      </c>
      <c r="E47" s="19">
        <v>1279.3</v>
      </c>
      <c r="F47" s="19">
        <v>525.79999999999995</v>
      </c>
      <c r="G47" s="19">
        <v>1230.7</v>
      </c>
      <c r="H47" s="19">
        <v>0.7</v>
      </c>
      <c r="I47" s="19">
        <v>22.3</v>
      </c>
      <c r="J47" s="20">
        <v>1.0006916000000001</v>
      </c>
      <c r="K47" s="20">
        <f t="shared" si="1"/>
        <v>1.7986222732491386</v>
      </c>
      <c r="L47" s="20">
        <f t="shared" si="0"/>
        <v>1.7998662004133179</v>
      </c>
      <c r="M47" s="20">
        <v>778.9</v>
      </c>
      <c r="N47" s="21">
        <f t="shared" si="6"/>
        <v>22.3</v>
      </c>
      <c r="O47" s="20">
        <f>J47</f>
        <v>1.0006916000000001</v>
      </c>
      <c r="P47" s="18">
        <f t="shared" si="2"/>
        <v>2.854213594805882</v>
      </c>
      <c r="Q47" s="18">
        <f t="shared" si="3"/>
        <v>2.8561875689280503</v>
      </c>
      <c r="R47" s="20">
        <f t="shared" si="4"/>
        <v>2.7232300884955749</v>
      </c>
      <c r="S47" s="19">
        <f t="shared" si="5"/>
        <v>33.906936177851996</v>
      </c>
      <c r="T47" s="21">
        <f>AVERAGE(S46:S47)</f>
        <v>31.713224949322164</v>
      </c>
      <c r="U47" s="20">
        <f>AVERAGE(L46:L47)</f>
        <v>1.8601975069282488</v>
      </c>
      <c r="V47" s="20">
        <f>AVERAGE(Q46:Q47)</f>
        <v>2.8515688589693133</v>
      </c>
    </row>
    <row r="48" spans="1:22" x14ac:dyDescent="0.25">
      <c r="A48" s="10">
        <v>42760</v>
      </c>
      <c r="B48" s="2" t="s">
        <v>2</v>
      </c>
      <c r="C48" s="6">
        <v>1244.3</v>
      </c>
      <c r="D48" s="6">
        <v>48.8</v>
      </c>
      <c r="E48" s="6">
        <v>1292.0999999999999</v>
      </c>
      <c r="F48" s="6">
        <v>595.20000000000005</v>
      </c>
      <c r="G48" s="6">
        <v>1244.3</v>
      </c>
      <c r="H48" s="6">
        <v>0.7</v>
      </c>
      <c r="I48" s="6">
        <v>29.5</v>
      </c>
      <c r="J48" s="8">
        <v>0.99874099999999999</v>
      </c>
      <c r="K48">
        <f t="shared" si="1"/>
        <v>1.9794332204622413</v>
      </c>
      <c r="L48">
        <f t="shared" si="0"/>
        <v>1.9769411140376794</v>
      </c>
      <c r="M48">
        <v>799.5</v>
      </c>
      <c r="N48" s="4">
        <f t="shared" si="6"/>
        <v>29.5</v>
      </c>
      <c r="O48">
        <f>J48</f>
        <v>0.99874099999999999</v>
      </c>
      <c r="P48" s="2">
        <f t="shared" si="2"/>
        <v>2.9324961282068549</v>
      </c>
      <c r="Q48" s="2">
        <f t="shared" si="3"/>
        <v>2.9288041155814426</v>
      </c>
      <c r="R48">
        <f t="shared" si="4"/>
        <v>2.7974370503597124</v>
      </c>
      <c r="S48" s="6">
        <f t="shared" si="5"/>
        <v>29.330273444992383</v>
      </c>
    </row>
    <row r="49" spans="1:22" x14ac:dyDescent="0.25">
      <c r="A49" s="10">
        <v>42760</v>
      </c>
      <c r="B49" s="2" t="s">
        <v>4</v>
      </c>
      <c r="C49" s="6">
        <v>1132.3</v>
      </c>
      <c r="D49" s="6">
        <v>48.8</v>
      </c>
      <c r="E49" s="6">
        <v>1180.5</v>
      </c>
      <c r="F49" s="6">
        <v>479.1</v>
      </c>
      <c r="G49" s="6">
        <v>1132.3</v>
      </c>
      <c r="H49" s="6">
        <v>0.7</v>
      </c>
      <c r="I49" s="6">
        <v>29.2</v>
      </c>
      <c r="J49">
        <v>0.99883519999999992</v>
      </c>
      <c r="K49">
        <f t="shared" si="1"/>
        <v>1.7900763358778626</v>
      </c>
      <c r="L49">
        <f t="shared" si="0"/>
        <v>1.787991254961832</v>
      </c>
      <c r="M49">
        <v>726.7</v>
      </c>
      <c r="N49" s="4">
        <f t="shared" si="6"/>
        <v>29.2</v>
      </c>
      <c r="O49">
        <f t="shared" ref="O49:O57" si="8">J49</f>
        <v>0.99883519999999992</v>
      </c>
      <c r="P49" s="2">
        <f t="shared" si="2"/>
        <v>2.9414755436799536</v>
      </c>
      <c r="Q49" s="2">
        <f t="shared" si="3"/>
        <v>2.9380493129666747</v>
      </c>
      <c r="R49">
        <f t="shared" si="4"/>
        <v>2.791666666666667</v>
      </c>
      <c r="S49" s="6">
        <f t="shared" si="5"/>
        <v>35.952552061068708</v>
      </c>
    </row>
    <row r="50" spans="1:22" s="20" customFormat="1" x14ac:dyDescent="0.25">
      <c r="A50" s="17">
        <v>42760</v>
      </c>
      <c r="B50" s="18" t="s">
        <v>54</v>
      </c>
      <c r="C50" s="19">
        <v>1412.4</v>
      </c>
      <c r="D50" s="19">
        <v>48.7</v>
      </c>
      <c r="E50" s="19">
        <v>1460</v>
      </c>
      <c r="F50" s="19">
        <v>704.4</v>
      </c>
      <c r="G50" s="19">
        <v>1412.4</v>
      </c>
      <c r="H50" s="19">
        <v>0.7</v>
      </c>
      <c r="I50" s="19">
        <v>28.9</v>
      </c>
      <c r="J50" s="20">
        <v>0.9989266</v>
      </c>
      <c r="K50" s="20">
        <f t="shared" si="1"/>
        <v>2.0541012216404884</v>
      </c>
      <c r="L50" s="20">
        <f t="shared" si="0"/>
        <v>2.0518963493891795</v>
      </c>
      <c r="M50" s="20">
        <v>897.6</v>
      </c>
      <c r="N50" s="21">
        <f t="shared" si="6"/>
        <v>28.9</v>
      </c>
      <c r="O50" s="20">
        <f t="shared" si="8"/>
        <v>0.9989266</v>
      </c>
      <c r="P50" s="18">
        <f t="shared" si="2"/>
        <v>2.8567961165048539</v>
      </c>
      <c r="Q50" s="18">
        <f t="shared" si="3"/>
        <v>2.8537296315533975</v>
      </c>
      <c r="R50" s="20">
        <f t="shared" si="4"/>
        <v>2.7435897435897436</v>
      </c>
      <c r="S50" s="19">
        <f t="shared" si="5"/>
        <v>25.211254554973827</v>
      </c>
    </row>
    <row r="51" spans="1:22" s="20" customFormat="1" x14ac:dyDescent="0.25">
      <c r="A51" s="17">
        <v>42760</v>
      </c>
      <c r="B51" s="18" t="s">
        <v>55</v>
      </c>
      <c r="C51" s="19">
        <v>1553.5</v>
      </c>
      <c r="D51" s="19">
        <v>48.8</v>
      </c>
      <c r="E51" s="19">
        <v>1602.3</v>
      </c>
      <c r="F51" s="19">
        <v>797.1</v>
      </c>
      <c r="G51" s="19">
        <v>1553.5</v>
      </c>
      <c r="H51" s="19">
        <v>0.7</v>
      </c>
      <c r="I51" s="19">
        <v>28.7</v>
      </c>
      <c r="J51" s="20">
        <v>0.99898379999999998</v>
      </c>
      <c r="K51" s="20">
        <f t="shared" si="1"/>
        <v>2.1122096185222592</v>
      </c>
      <c r="L51" s="20">
        <f t="shared" si="0"/>
        <v>2.1100631911079168</v>
      </c>
      <c r="M51" s="20">
        <v>994.3</v>
      </c>
      <c r="N51" s="21">
        <f t="shared" si="6"/>
        <v>28.7</v>
      </c>
      <c r="O51" s="20">
        <f t="shared" si="8"/>
        <v>0.99898379999999998</v>
      </c>
      <c r="P51" s="18">
        <f t="shared" si="2"/>
        <v>2.8860138004246281</v>
      </c>
      <c r="Q51" s="18">
        <f t="shared" si="3"/>
        <v>2.8830810332006367</v>
      </c>
      <c r="R51" s="20">
        <f t="shared" si="4"/>
        <v>2.7780758226037192</v>
      </c>
      <c r="S51" s="19">
        <f t="shared" si="5"/>
        <v>24.045874704374171</v>
      </c>
      <c r="T51" s="21">
        <f>AVERAGE(S50:S51)</f>
        <v>24.628564629673999</v>
      </c>
      <c r="U51" s="20">
        <f>AVERAGE(L50:L51)</f>
        <v>2.0809797702485482</v>
      </c>
      <c r="V51" s="20">
        <f>AVERAGE(Q50:Q51)</f>
        <v>2.8684053323770171</v>
      </c>
    </row>
    <row r="52" spans="1:22" x14ac:dyDescent="0.25">
      <c r="A52" s="10">
        <v>42760</v>
      </c>
      <c r="B52" s="2" t="s">
        <v>3</v>
      </c>
      <c r="C52" s="6">
        <v>1515.5</v>
      </c>
      <c r="D52" s="6">
        <v>48.8</v>
      </c>
      <c r="E52" s="6">
        <v>1564.3</v>
      </c>
      <c r="F52" s="6">
        <v>706.7</v>
      </c>
      <c r="G52" s="6">
        <v>1515.5</v>
      </c>
      <c r="H52" s="6">
        <v>0.7</v>
      </c>
      <c r="I52" s="6">
        <v>28.5</v>
      </c>
      <c r="J52">
        <v>0.99904099999999996</v>
      </c>
      <c r="K52">
        <f t="shared" si="1"/>
        <v>1.9235023208587179</v>
      </c>
      <c r="L52">
        <f t="shared" si="0"/>
        <v>1.9216576821330142</v>
      </c>
      <c r="M52">
        <v>948.7</v>
      </c>
      <c r="N52" s="4">
        <f t="shared" si="6"/>
        <v>28.5</v>
      </c>
      <c r="O52">
        <f t="shared" si="8"/>
        <v>0.99904099999999996</v>
      </c>
      <c r="P52" s="2">
        <f t="shared" si="2"/>
        <v>2.7762221291740818</v>
      </c>
      <c r="Q52" s="2">
        <f t="shared" si="3"/>
        <v>2.7735597321522039</v>
      </c>
      <c r="R52">
        <f t="shared" si="4"/>
        <v>2.6737826393789699</v>
      </c>
      <c r="S52" s="6">
        <f t="shared" si="5"/>
        <v>28.129622287496382</v>
      </c>
    </row>
    <row r="53" spans="1:22" x14ac:dyDescent="0.25">
      <c r="A53" s="10">
        <v>42760</v>
      </c>
      <c r="B53" s="2" t="s">
        <v>5</v>
      </c>
      <c r="C53" s="6">
        <v>1104</v>
      </c>
      <c r="D53" s="6">
        <v>48.7</v>
      </c>
      <c r="E53" s="6">
        <v>1152.7</v>
      </c>
      <c r="F53" s="6">
        <v>508.5</v>
      </c>
      <c r="G53" s="6">
        <v>1104</v>
      </c>
      <c r="H53" s="6">
        <v>0.7</v>
      </c>
      <c r="I53" s="6">
        <v>28.3</v>
      </c>
      <c r="J53">
        <v>0.99909939999999997</v>
      </c>
      <c r="K53">
        <f t="shared" si="1"/>
        <v>1.921241050119332</v>
      </c>
      <c r="L53">
        <f t="shared" si="0"/>
        <v>1.9195107804295946</v>
      </c>
      <c r="M53">
        <v>690.2</v>
      </c>
      <c r="N53" s="4">
        <f t="shared" si="6"/>
        <v>28.3</v>
      </c>
      <c r="O53">
        <f t="shared" si="8"/>
        <v>0.99909939999999997</v>
      </c>
      <c r="P53" s="2">
        <f t="shared" si="2"/>
        <v>2.8096709689147437</v>
      </c>
      <c r="Q53" s="2">
        <f t="shared" si="3"/>
        <v>2.8071405792401389</v>
      </c>
      <c r="R53">
        <f t="shared" si="4"/>
        <v>2.6679555340744323</v>
      </c>
      <c r="S53" s="6">
        <f t="shared" si="5"/>
        <v>28.053119479912482</v>
      </c>
    </row>
    <row r="54" spans="1:22" s="20" customFormat="1" x14ac:dyDescent="0.25">
      <c r="A54" s="17">
        <v>42762</v>
      </c>
      <c r="B54" s="18" t="s">
        <v>56</v>
      </c>
      <c r="C54" s="19">
        <v>1515.2</v>
      </c>
      <c r="D54" s="19">
        <v>48.8</v>
      </c>
      <c r="E54" s="19">
        <v>1564</v>
      </c>
      <c r="F54" s="19">
        <v>859.9</v>
      </c>
      <c r="G54" s="19">
        <v>1515.2</v>
      </c>
      <c r="H54" s="19">
        <v>0.7</v>
      </c>
      <c r="I54" s="19">
        <v>23</v>
      </c>
      <c r="J54" s="20">
        <v>1.0004949999999999</v>
      </c>
      <c r="K54" s="20">
        <f t="shared" si="1"/>
        <v>2.3884522710383496</v>
      </c>
      <c r="L54" s="20">
        <f t="shared" si="0"/>
        <v>2.3896345549125133</v>
      </c>
      <c r="M54" s="20">
        <v>922.4</v>
      </c>
      <c r="N54" s="21">
        <f t="shared" si="6"/>
        <v>23</v>
      </c>
      <c r="O54" s="20">
        <f t="shared" si="8"/>
        <v>1.0004949999999999</v>
      </c>
      <c r="P54" s="18">
        <f t="shared" si="2"/>
        <v>2.6494804156674658</v>
      </c>
      <c r="Q54" s="18">
        <f t="shared" si="3"/>
        <v>2.650791908473221</v>
      </c>
      <c r="R54" s="20">
        <f t="shared" si="4"/>
        <v>2.5560053981106612</v>
      </c>
      <c r="S54" s="19">
        <f t="shared" si="5"/>
        <v>6.5090176773932251</v>
      </c>
    </row>
    <row r="55" spans="1:22" s="20" customFormat="1" x14ac:dyDescent="0.25">
      <c r="A55" s="17">
        <v>42762</v>
      </c>
      <c r="B55" s="18" t="s">
        <v>57</v>
      </c>
      <c r="C55" s="19">
        <v>1672</v>
      </c>
      <c r="D55" s="19">
        <v>48.7</v>
      </c>
      <c r="E55" s="19">
        <v>1720.7</v>
      </c>
      <c r="F55" s="19">
        <v>915.9</v>
      </c>
      <c r="G55" s="19">
        <v>1672</v>
      </c>
      <c r="H55" s="19">
        <v>0.7</v>
      </c>
      <c r="I55" s="19">
        <v>22.9</v>
      </c>
      <c r="J55" s="20">
        <v>1.0005195999999998</v>
      </c>
      <c r="K55" s="20">
        <f t="shared" si="1"/>
        <v>2.2741227217969144</v>
      </c>
      <c r="L55" s="20">
        <f t="shared" si="0"/>
        <v>2.2753043559631596</v>
      </c>
      <c r="M55" s="20">
        <v>993.6</v>
      </c>
      <c r="N55" s="21">
        <f t="shared" si="6"/>
        <v>22.9</v>
      </c>
      <c r="O55" s="20">
        <f t="shared" si="8"/>
        <v>1.0005195999999998</v>
      </c>
      <c r="P55" s="18">
        <f t="shared" si="2"/>
        <v>2.5428552805961719</v>
      </c>
      <c r="Q55" s="18">
        <f t="shared" si="3"/>
        <v>2.5441765481999692</v>
      </c>
      <c r="R55" s="20">
        <f t="shared" si="4"/>
        <v>2.4646226415094339</v>
      </c>
      <c r="S55" s="19">
        <f t="shared" si="5"/>
        <v>7.6814309159445315</v>
      </c>
    </row>
    <row r="56" spans="1:22" x14ac:dyDescent="0.25">
      <c r="A56" s="10">
        <v>42762</v>
      </c>
      <c r="B56" s="2" t="s">
        <v>58</v>
      </c>
      <c r="C56" s="6">
        <v>1642.7</v>
      </c>
      <c r="D56" s="6">
        <v>49.1</v>
      </c>
      <c r="E56" s="6">
        <v>1691.6</v>
      </c>
      <c r="F56" s="6">
        <v>847.5</v>
      </c>
      <c r="G56" s="6">
        <v>1642.7</v>
      </c>
      <c r="H56" s="6">
        <v>0.7</v>
      </c>
      <c r="I56" s="6">
        <v>23</v>
      </c>
      <c r="J56">
        <v>1.0004949999999999</v>
      </c>
      <c r="K56">
        <f t="shared" si="1"/>
        <v>2.1216857021606361</v>
      </c>
      <c r="L56">
        <f t="shared" si="0"/>
        <v>2.1227359365832053</v>
      </c>
      <c r="M56">
        <v>1043.7</v>
      </c>
      <c r="N56" s="4">
        <f t="shared" si="6"/>
        <v>23</v>
      </c>
      <c r="O56">
        <f t="shared" si="8"/>
        <v>1.0004949999999999</v>
      </c>
      <c r="P56" s="2">
        <f t="shared" si="2"/>
        <v>2.8418308083928525</v>
      </c>
      <c r="Q56" s="2">
        <f t="shared" si="3"/>
        <v>2.8432375146430067</v>
      </c>
      <c r="R56">
        <f t="shared" si="4"/>
        <v>2.7424040066777966</v>
      </c>
      <c r="S56" s="6">
        <f t="shared" si="5"/>
        <v>22.595798014650281</v>
      </c>
    </row>
    <row r="57" spans="1:22" x14ac:dyDescent="0.25">
      <c r="A57" s="10">
        <v>42762</v>
      </c>
      <c r="B57" s="2" t="s">
        <v>59</v>
      </c>
      <c r="C57" s="6">
        <v>1275.8</v>
      </c>
      <c r="D57" s="6">
        <v>48.8</v>
      </c>
      <c r="E57" s="6">
        <v>1324.7</v>
      </c>
      <c r="F57" s="6">
        <v>583.9</v>
      </c>
      <c r="G57" s="6">
        <v>1275.8</v>
      </c>
      <c r="H57" s="6">
        <v>0.7</v>
      </c>
      <c r="I57" s="6">
        <v>22.9</v>
      </c>
      <c r="J57">
        <v>1.0005195999999998</v>
      </c>
      <c r="K57">
        <f t="shared" si="1"/>
        <v>1.9015032150917686</v>
      </c>
      <c r="L57">
        <f t="shared" si="0"/>
        <v>1.9024912361623298</v>
      </c>
      <c r="M57">
        <v>803.9</v>
      </c>
      <c r="N57" s="4">
        <f t="shared" si="6"/>
        <v>22.9</v>
      </c>
      <c r="O57">
        <f t="shared" si="8"/>
        <v>1.0005195999999998</v>
      </c>
      <c r="P57" s="2">
        <f t="shared" si="2"/>
        <v>2.829183298485713</v>
      </c>
      <c r="Q57" s="2">
        <f t="shared" si="3"/>
        <v>2.8306533421276057</v>
      </c>
      <c r="R57">
        <f t="shared" si="4"/>
        <v>2.7035388853570672</v>
      </c>
      <c r="S57" s="6">
        <f t="shared" si="5"/>
        <v>29.629595991142544</v>
      </c>
    </row>
    <row r="60" spans="1:22" x14ac:dyDescent="0.25">
      <c r="C60" t="s">
        <v>60</v>
      </c>
    </row>
    <row r="62" spans="1:22" x14ac:dyDescent="0.25">
      <c r="D62" t="s">
        <v>61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3"/>
  <sheetViews>
    <sheetView tabSelected="1" topLeftCell="C1" zoomScale="50" zoomScaleNormal="50" workbookViewId="0">
      <selection activeCell="T3" sqref="T3"/>
    </sheetView>
  </sheetViews>
  <sheetFormatPr defaultRowHeight="15" x14ac:dyDescent="0.25"/>
  <cols>
    <col min="4" max="4" width="9.140625" style="23"/>
    <col min="7" max="8" width="9.140625" style="49"/>
    <col min="16" max="16" width="27.7109375" customWidth="1"/>
    <col min="19" max="19" width="14.28515625" customWidth="1"/>
    <col min="20" max="20" width="28.5703125" customWidth="1"/>
    <col min="21" max="21" width="25.85546875" customWidth="1"/>
    <col min="22" max="22" width="25.85546875" style="49" customWidth="1"/>
    <col min="23" max="23" width="25" customWidth="1"/>
    <col min="26" max="26" width="20.5703125" customWidth="1"/>
    <col min="31" max="31" width="11.42578125" bestFit="1" customWidth="1"/>
    <col min="38" max="38" width="9.140625" style="64"/>
    <col min="43" max="43" width="9.140625" style="49"/>
    <col min="44" max="44" width="9.140625" style="49" customWidth="1"/>
    <col min="45" max="45" width="16.7109375" style="49" customWidth="1"/>
    <col min="46" max="46" width="37.42578125" style="49" customWidth="1"/>
    <col min="47" max="47" width="9.140625" style="49"/>
    <col min="49" max="49" width="14.85546875" bestFit="1" customWidth="1"/>
    <col min="53" max="53" width="14.85546875" bestFit="1" customWidth="1"/>
  </cols>
  <sheetData>
    <row r="1" spans="1:63" x14ac:dyDescent="0.25">
      <c r="A1" t="s">
        <v>120</v>
      </c>
      <c r="P1">
        <v>1</v>
      </c>
      <c r="BB1">
        <f>(BB5*AY4)+BC5</f>
        <v>5934.0077803294816</v>
      </c>
      <c r="BC1">
        <f>(BB5*AY5)+BC5</f>
        <v>6422.8979635000005</v>
      </c>
    </row>
    <row r="2" spans="1:63" x14ac:dyDescent="0.25">
      <c r="A2" t="s">
        <v>121</v>
      </c>
      <c r="E2" t="s">
        <v>122</v>
      </c>
      <c r="F2" t="s">
        <v>123</v>
      </c>
      <c r="I2" t="s">
        <v>124</v>
      </c>
      <c r="J2" t="s">
        <v>124</v>
      </c>
      <c r="K2" t="s">
        <v>133</v>
      </c>
      <c r="L2" t="s">
        <v>125</v>
      </c>
      <c r="M2" t="s">
        <v>125</v>
      </c>
      <c r="N2" t="s">
        <v>125</v>
      </c>
      <c r="O2" t="s">
        <v>129</v>
      </c>
      <c r="P2" t="s">
        <v>130</v>
      </c>
      <c r="Q2" t="s">
        <v>129</v>
      </c>
      <c r="R2" t="s">
        <v>130</v>
      </c>
      <c r="S2" t="s">
        <v>129</v>
      </c>
      <c r="T2" t="s">
        <v>130</v>
      </c>
      <c r="U2" t="s">
        <v>131</v>
      </c>
      <c r="V2" s="49" t="s">
        <v>159</v>
      </c>
      <c r="W2" t="s">
        <v>124</v>
      </c>
      <c r="X2" t="s">
        <v>133</v>
      </c>
      <c r="Y2" t="s">
        <v>124</v>
      </c>
      <c r="Z2" t="s">
        <v>125</v>
      </c>
      <c r="AA2" t="s">
        <v>125</v>
      </c>
      <c r="BB2">
        <v>0</v>
      </c>
      <c r="BC2">
        <v>1</v>
      </c>
      <c r="BE2">
        <v>2E-3</v>
      </c>
      <c r="BF2">
        <v>-12.138</v>
      </c>
    </row>
    <row r="3" spans="1:63" x14ac:dyDescent="0.25">
      <c r="A3" t="s">
        <v>63</v>
      </c>
      <c r="B3" t="s">
        <v>98</v>
      </c>
      <c r="C3" t="s">
        <v>62</v>
      </c>
      <c r="D3" s="23" t="s">
        <v>36</v>
      </c>
      <c r="E3" t="s">
        <v>64</v>
      </c>
      <c r="F3" t="s">
        <v>80</v>
      </c>
      <c r="G3" s="49" t="s">
        <v>157</v>
      </c>
      <c r="I3" t="s">
        <v>75</v>
      </c>
      <c r="J3" t="s">
        <v>76</v>
      </c>
      <c r="K3" t="s">
        <v>77</v>
      </c>
      <c r="L3" t="s">
        <v>126</v>
      </c>
      <c r="M3" t="s">
        <v>127</v>
      </c>
      <c r="N3" t="s">
        <v>128</v>
      </c>
      <c r="O3" t="s">
        <v>78</v>
      </c>
      <c r="P3" t="s">
        <v>79</v>
      </c>
      <c r="Q3" t="s">
        <v>81</v>
      </c>
      <c r="R3" t="s">
        <v>82</v>
      </c>
      <c r="S3" t="s">
        <v>92</v>
      </c>
      <c r="T3" t="s">
        <v>97</v>
      </c>
      <c r="U3" t="s">
        <v>115</v>
      </c>
      <c r="V3" s="49" t="s">
        <v>158</v>
      </c>
      <c r="W3" t="s">
        <v>132</v>
      </c>
      <c r="X3" t="s">
        <v>116</v>
      </c>
      <c r="Y3" t="s">
        <v>117</v>
      </c>
      <c r="Z3" t="s">
        <v>118</v>
      </c>
      <c r="AA3" t="s">
        <v>119</v>
      </c>
      <c r="AH3" t="s">
        <v>170</v>
      </c>
      <c r="AI3" s="49" t="s">
        <v>171</v>
      </c>
      <c r="AJ3" t="s">
        <v>172</v>
      </c>
      <c r="AK3" s="49" t="s">
        <v>173</v>
      </c>
      <c r="AM3" t="s">
        <v>174</v>
      </c>
      <c r="AN3" t="s">
        <v>175</v>
      </c>
      <c r="AO3" t="s">
        <v>176</v>
      </c>
      <c r="AP3" t="s">
        <v>177</v>
      </c>
      <c r="AQ3" s="49" t="s">
        <v>179</v>
      </c>
      <c r="AR3" s="49" t="s">
        <v>180</v>
      </c>
      <c r="AS3" s="70" t="s">
        <v>27</v>
      </c>
      <c r="BJ3">
        <f>AM4/AN4</f>
        <v>0.92098473740763709</v>
      </c>
      <c r="BK3">
        <f>AN4/AJ4</f>
        <v>1.0042079610842021</v>
      </c>
    </row>
    <row r="4" spans="1:63" x14ac:dyDescent="0.25">
      <c r="A4">
        <v>1</v>
      </c>
      <c r="B4" t="s">
        <v>99</v>
      </c>
      <c r="C4" t="s">
        <v>66</v>
      </c>
      <c r="D4" s="23">
        <v>7.6814309159445315</v>
      </c>
      <c r="E4">
        <v>25</v>
      </c>
      <c r="F4" s="23">
        <v>2.2753043559631596</v>
      </c>
      <c r="G4" s="2">
        <v>2.5428552805961719</v>
      </c>
      <c r="H4" s="2">
        <f>G4*1000</f>
        <v>2542.8552805961717</v>
      </c>
      <c r="I4">
        <v>4</v>
      </c>
      <c r="J4">
        <v>3</v>
      </c>
      <c r="K4">
        <v>4</v>
      </c>
      <c r="L4">
        <f>CONVERT(I4,"ft","m")</f>
        <v>1.2192000000000001</v>
      </c>
      <c r="M4">
        <f>CONVERT(J4,"ft","m")</f>
        <v>0.91439999999999999</v>
      </c>
      <c r="N4">
        <f>CONVERT(K4,"in","m")</f>
        <v>0.1016</v>
      </c>
      <c r="O4">
        <f>I4*J4*K4</f>
        <v>48</v>
      </c>
      <c r="P4">
        <f>L4*M4*N4</f>
        <v>0.113267386368</v>
      </c>
      <c r="Q4">
        <f>O4-O4*(D4/100)</f>
        <v>44.312913160346625</v>
      </c>
      <c r="R4">
        <f t="shared" ref="R4:R9" si="0">P4-P4*(D4/100)</f>
        <v>0.1045668303338461</v>
      </c>
      <c r="S4">
        <f>O4*(D4/100)</f>
        <v>3.6870868396533751</v>
      </c>
      <c r="T4">
        <f>P4*(D4/100)</f>
        <v>8.7005560341538949E-3</v>
      </c>
      <c r="U4">
        <f>(F4*1000)*P4</f>
        <v>257.71777759167264</v>
      </c>
      <c r="V4" s="49">
        <f>((U4/0.45359237))</f>
        <v>568.17044253119298</v>
      </c>
      <c r="W4">
        <f>I4-Y4</f>
        <v>3.8958333333333335</v>
      </c>
      <c r="X4">
        <v>1.25</v>
      </c>
      <c r="Y4">
        <f>CONVERT(X4,"in","ft" )</f>
        <v>0.10416666666666667</v>
      </c>
      <c r="Z4">
        <f>CONVERT(W4,"ft","m")</f>
        <v>1.1874499999999999</v>
      </c>
      <c r="AA4">
        <f>CONVERT(Y4,"ft","m")</f>
        <v>3.175E-2</v>
      </c>
      <c r="AB4">
        <f>AVERAGE(Z4:Z5)</f>
        <v>1.1906249999999998</v>
      </c>
      <c r="AC4">
        <f>Z4-AB4</f>
        <v>-3.1749999999999279E-3</v>
      </c>
      <c r="AD4">
        <f>CONVERT(AC4,"m","in")</f>
        <v>-0.12499999999999716</v>
      </c>
      <c r="AE4">
        <f>AVERAGE(AA4:AA5)</f>
        <v>2.8575E-2</v>
      </c>
      <c r="AF4">
        <f>AA4-AE4</f>
        <v>3.1750000000000007E-3</v>
      </c>
      <c r="AG4">
        <f>CONVERT(AF4,"m","in")</f>
        <v>0.12500000000000003</v>
      </c>
      <c r="AH4">
        <f>T4*$Z$24</f>
        <v>20.938149112872374</v>
      </c>
      <c r="AI4">
        <f>AH4*$Y$25</f>
        <v>46.160662297220689</v>
      </c>
      <c r="AJ4">
        <f>AH4+U4</f>
        <v>278.65592670454504</v>
      </c>
      <c r="AK4" s="49">
        <f>AI4+V4</f>
        <v>614.33110482841369</v>
      </c>
      <c r="AM4">
        <f>'Final input to access'!C2</f>
        <v>257.71777759167298</v>
      </c>
      <c r="AN4">
        <v>279.82850000000002</v>
      </c>
      <c r="AO4">
        <f>AN4-AM4</f>
        <v>22.110722408327035</v>
      </c>
      <c r="AP4">
        <f>AO4-AH4</f>
        <v>1.1725732954546615</v>
      </c>
      <c r="AQ4" s="65" t="str">
        <f>AT63</f>
        <v>0.131947098207342</v>
      </c>
      <c r="AR4" s="65" t="str">
        <f>AU63</f>
        <v xml:space="preserve"> + 223.712664681996000</v>
      </c>
      <c r="AS4" s="81">
        <f>AJ4/AN4</f>
        <v>0.99580967165440626</v>
      </c>
      <c r="AT4" s="49" t="s">
        <v>99</v>
      </c>
      <c r="AU4" s="49" t="s">
        <v>66</v>
      </c>
      <c r="AW4">
        <f>(AJ4/AI4)*AM4</f>
        <v>1555.752941338699</v>
      </c>
      <c r="AY4">
        <f>(AM4/AN4)*AN4</f>
        <v>257.71777759167298</v>
      </c>
      <c r="BJ4">
        <f>AN4/AM4</f>
        <v>1.0857943236005985</v>
      </c>
      <c r="BK4" t="s">
        <v>181</v>
      </c>
    </row>
    <row r="5" spans="1:63" x14ac:dyDescent="0.25">
      <c r="B5" t="s">
        <v>100</v>
      </c>
      <c r="C5" t="s">
        <v>66</v>
      </c>
      <c r="D5" s="23">
        <v>7.6814309159445315</v>
      </c>
      <c r="E5">
        <v>25</v>
      </c>
      <c r="F5" s="23">
        <v>2.2753043559631596</v>
      </c>
      <c r="G5" s="2">
        <v>2.5428552805961719</v>
      </c>
      <c r="H5" s="2">
        <f t="shared" ref="H5:H19" si="1">G5*1000</f>
        <v>2542.8552805961717</v>
      </c>
      <c r="I5">
        <v>4</v>
      </c>
      <c r="J5">
        <v>3</v>
      </c>
      <c r="K5">
        <v>4</v>
      </c>
      <c r="L5">
        <f>CONVERT(I5,"ft","m")</f>
        <v>1.2192000000000001</v>
      </c>
      <c r="M5">
        <f>CONVERT(J5,"ft","m")</f>
        <v>0.91439999999999999</v>
      </c>
      <c r="N5">
        <f>CONVERT(K5,"in","m")</f>
        <v>0.1016</v>
      </c>
      <c r="O5">
        <f>I5*J5*K5</f>
        <v>48</v>
      </c>
      <c r="P5">
        <f>L5*M5*N5</f>
        <v>0.113267386368</v>
      </c>
      <c r="Q5">
        <f>O5-O5*(D5/100)</f>
        <v>44.312913160346625</v>
      </c>
      <c r="R5">
        <f t="shared" si="0"/>
        <v>0.1045668303338461</v>
      </c>
      <c r="S5">
        <f>O5*(D5/100)</f>
        <v>3.6870868396533751</v>
      </c>
      <c r="T5">
        <f>P5*(D5/100)</f>
        <v>8.7005560341538949E-3</v>
      </c>
      <c r="U5" s="49">
        <f t="shared" ref="U5:U19" si="2">(F5*1000)*P5</f>
        <v>257.71777759167264</v>
      </c>
      <c r="V5" s="49">
        <f t="shared" ref="V5:V19" si="3">((U5/0.45359237))</f>
        <v>568.17044253119298</v>
      </c>
      <c r="W5">
        <f t="shared" ref="W5:W19" si="4">I5-Y5</f>
        <v>3.9166666666666665</v>
      </c>
      <c r="X5">
        <v>1</v>
      </c>
      <c r="Y5">
        <f t="shared" ref="Y5:Y19" si="5">CONVERT(X5,"in","ft" )</f>
        <v>8.3333333333333329E-2</v>
      </c>
      <c r="Z5">
        <f t="shared" ref="Z5:Z19" si="6">CONVERT(W5,"ft","m")</f>
        <v>1.1938</v>
      </c>
      <c r="AA5">
        <f t="shared" ref="AA5:AA19" si="7">CONVERT(Y5,"ft","m")</f>
        <v>2.5399999999999999E-2</v>
      </c>
      <c r="AC5" s="49"/>
      <c r="AH5" s="49"/>
      <c r="AI5" s="49"/>
      <c r="AJ5" s="49"/>
      <c r="AK5" s="49"/>
      <c r="AM5" s="49"/>
      <c r="AO5" s="49"/>
      <c r="AP5" s="49"/>
      <c r="AQ5" s="65"/>
      <c r="AR5" s="65"/>
      <c r="AS5" s="81"/>
      <c r="AT5" s="49" t="s">
        <v>100</v>
      </c>
      <c r="AU5" s="49" t="s">
        <v>66</v>
      </c>
      <c r="AY5" s="49">
        <f>(AN4/AN4)*AN4</f>
        <v>279.82850000000002</v>
      </c>
      <c r="BB5">
        <v>22.111000000000001</v>
      </c>
      <c r="BC5">
        <v>235.61</v>
      </c>
      <c r="BF5">
        <f>AN4/AJ4</f>
        <v>1.0042079610842021</v>
      </c>
      <c r="BG5">
        <f>AM4/AJ4</f>
        <v>0.92486020534179247</v>
      </c>
      <c r="BJ5">
        <f>AN4/AJ4</f>
        <v>1.0042079610842021</v>
      </c>
    </row>
    <row r="6" spans="1:63" x14ac:dyDescent="0.25">
      <c r="A6">
        <v>2</v>
      </c>
      <c r="B6" t="s">
        <v>101</v>
      </c>
      <c r="C6" t="s">
        <v>65</v>
      </c>
      <c r="D6" s="6">
        <v>6.5090176773932251</v>
      </c>
      <c r="E6">
        <v>25</v>
      </c>
      <c r="F6">
        <v>2.3896345549125133</v>
      </c>
      <c r="G6" s="2">
        <v>2.6494804156674658</v>
      </c>
      <c r="H6" s="2">
        <f t="shared" si="1"/>
        <v>2649.4804156674659</v>
      </c>
      <c r="I6">
        <v>4</v>
      </c>
      <c r="J6">
        <v>3</v>
      </c>
      <c r="K6">
        <v>4</v>
      </c>
      <c r="L6">
        <f t="shared" ref="L6:L18" si="8">CONVERT(I6,"ft","m")</f>
        <v>1.2192000000000001</v>
      </c>
      <c r="M6">
        <f t="shared" ref="M6:M18" si="9">CONVERT(J6,"ft","m")</f>
        <v>0.91439999999999999</v>
      </c>
      <c r="N6">
        <f t="shared" ref="N6:N18" si="10">CONVERT(K6,"in","m")</f>
        <v>0.1016</v>
      </c>
      <c r="O6">
        <f t="shared" ref="O6:O18" si="11">I6*J6*K6</f>
        <v>48</v>
      </c>
      <c r="P6">
        <f t="shared" ref="P6:P18" si="12">L6*M6*N6</f>
        <v>0.113267386368</v>
      </c>
      <c r="Q6">
        <f t="shared" ref="Q6:Q18" si="13">O6-O6*(D6/100)</f>
        <v>44.875671514851248</v>
      </c>
      <c r="R6">
        <f t="shared" si="0"/>
        <v>0.10589479216658559</v>
      </c>
      <c r="S6">
        <f t="shared" ref="S6:S18" si="14">O6*(D6/100)</f>
        <v>3.1243284851487481</v>
      </c>
      <c r="T6">
        <f t="shared" ref="T6:T18" si="15">P6*(D6/100)</f>
        <v>7.3725942014144039E-3</v>
      </c>
      <c r="U6" s="49">
        <f t="shared" si="2"/>
        <v>270.66766040959936</v>
      </c>
      <c r="V6" s="49">
        <f t="shared" si="3"/>
        <v>596.72004714188506</v>
      </c>
      <c r="W6">
        <f t="shared" si="4"/>
        <v>3.8854166666666665</v>
      </c>
      <c r="X6" s="47">
        <v>1.375</v>
      </c>
      <c r="Y6">
        <f t="shared" si="5"/>
        <v>0.11458333333333333</v>
      </c>
      <c r="Z6">
        <f t="shared" si="6"/>
        <v>1.184275</v>
      </c>
      <c r="AA6">
        <f t="shared" si="7"/>
        <v>3.4924999999999998E-2</v>
      </c>
      <c r="AB6" s="49">
        <f>AVERAGE(Z6:Z7)</f>
        <v>1.1795125</v>
      </c>
      <c r="AC6" s="49">
        <f t="shared" ref="AC6:AC18" si="16">Z6-AB6</f>
        <v>4.7625000000000028E-3</v>
      </c>
      <c r="AD6" s="47">
        <f>CONVERT(AC6,"m","in")</f>
        <v>0.18750000000000011</v>
      </c>
      <c r="AE6" s="49">
        <f>AVERAGE(AA6:AA7)</f>
        <v>3.9687500000000001E-2</v>
      </c>
      <c r="AF6" s="49">
        <f>AA6-AE6</f>
        <v>-4.7625000000000028E-3</v>
      </c>
      <c r="AG6" s="49">
        <f>CONVERT(AF6,"m","in")</f>
        <v>-0.18750000000000011</v>
      </c>
      <c r="AH6" s="49">
        <f t="shared" ref="AH6:AH18" si="17">T6*$Z$24</f>
        <v>17.742369123529809</v>
      </c>
      <c r="AI6" s="49">
        <f t="shared" ref="AI6:AI18" si="18">AH6*$Y$25</f>
        <v>39.11518181711628</v>
      </c>
      <c r="AJ6" s="49">
        <f>AH6+U6</f>
        <v>288.41002953312915</v>
      </c>
      <c r="AK6" s="49">
        <f t="shared" ref="AK6:AK18" si="19">AI6+V6</f>
        <v>635.83522895900137</v>
      </c>
      <c r="AM6" s="49">
        <f>'Final input to access'!C3</f>
        <v>270.66766040959902</v>
      </c>
      <c r="AN6">
        <v>299.47500000000002</v>
      </c>
      <c r="AO6" s="49">
        <f t="shared" ref="AO6:AO18" si="20">AN6-AM6</f>
        <v>28.807339590401</v>
      </c>
      <c r="AP6" s="49">
        <f t="shared" ref="AP6:AP18" si="21">AO6-AH6</f>
        <v>11.064970466871191</v>
      </c>
      <c r="AQ6" s="65" t="str">
        <f>AT64</f>
        <v>0.106363253914283</v>
      </c>
      <c r="AR6" s="65" t="str">
        <f>AU64</f>
        <v xml:space="preserve"> + 241.878567319069000</v>
      </c>
      <c r="AS6" s="81">
        <f t="shared" ref="AS6:AS18" si="22">AJ6/AN6</f>
        <v>0.96305210629644922</v>
      </c>
      <c r="AT6" s="49" t="s">
        <v>101</v>
      </c>
      <c r="AU6" s="49" t="s">
        <v>65</v>
      </c>
      <c r="BF6">
        <f>AM4/BF5</f>
        <v>256.63785548306714</v>
      </c>
      <c r="BJ6">
        <f>AJ4/(AN4-AJ4)</f>
        <v>237.64478330237012</v>
      </c>
    </row>
    <row r="7" spans="1:63" x14ac:dyDescent="0.25">
      <c r="B7" t="s">
        <v>102</v>
      </c>
      <c r="C7" t="s">
        <v>65</v>
      </c>
      <c r="D7" s="6">
        <v>6.5090176773932251</v>
      </c>
      <c r="E7">
        <v>25</v>
      </c>
      <c r="F7">
        <v>2.3896345549125133</v>
      </c>
      <c r="G7" s="2">
        <v>2.6494804156674658</v>
      </c>
      <c r="H7" s="2">
        <f t="shared" si="1"/>
        <v>2649.4804156674659</v>
      </c>
      <c r="I7">
        <v>4</v>
      </c>
      <c r="J7">
        <v>3</v>
      </c>
      <c r="K7">
        <v>4</v>
      </c>
      <c r="L7">
        <f>CONVERT(I7,"ft","m")</f>
        <v>1.2192000000000001</v>
      </c>
      <c r="M7">
        <f>CONVERT(J7,"ft","m")</f>
        <v>0.91439999999999999</v>
      </c>
      <c r="N7">
        <f>CONVERT(K7,"in","m")</f>
        <v>0.1016</v>
      </c>
      <c r="O7">
        <f>I7*J7*K7</f>
        <v>48</v>
      </c>
      <c r="P7">
        <f>L7*M7*N7</f>
        <v>0.113267386368</v>
      </c>
      <c r="Q7">
        <f>O7-O7*(D7/100)</f>
        <v>44.875671514851248</v>
      </c>
      <c r="R7">
        <f t="shared" si="0"/>
        <v>0.10589479216658559</v>
      </c>
      <c r="S7">
        <f>O7*(D7/100)</f>
        <v>3.1243284851487481</v>
      </c>
      <c r="T7">
        <f>P7*(D7/100)</f>
        <v>7.3725942014144039E-3</v>
      </c>
      <c r="U7" s="49">
        <f t="shared" si="2"/>
        <v>270.66766040959936</v>
      </c>
      <c r="V7" s="49">
        <f t="shared" si="3"/>
        <v>596.72004714188506</v>
      </c>
      <c r="W7">
        <f t="shared" si="4"/>
        <v>3.8541666666666665</v>
      </c>
      <c r="X7">
        <v>1.75</v>
      </c>
      <c r="Y7">
        <f t="shared" si="5"/>
        <v>0.14583333333333334</v>
      </c>
      <c r="Z7">
        <f t="shared" si="6"/>
        <v>1.17475</v>
      </c>
      <c r="AA7">
        <f t="shared" si="7"/>
        <v>4.4450000000000003E-2</v>
      </c>
      <c r="AC7" s="49"/>
      <c r="AH7" s="49"/>
      <c r="AI7" s="49"/>
      <c r="AJ7" s="49"/>
      <c r="AK7" s="49"/>
      <c r="AM7" s="49"/>
      <c r="AO7" s="49"/>
      <c r="AP7" s="49"/>
      <c r="AQ7" s="65"/>
      <c r="AR7" s="65"/>
      <c r="AS7" s="81"/>
      <c r="AT7" s="49" t="s">
        <v>102</v>
      </c>
      <c r="AU7" s="49" t="s">
        <v>65</v>
      </c>
    </row>
    <row r="8" spans="1:63" x14ac:dyDescent="0.25">
      <c r="A8">
        <v>3</v>
      </c>
      <c r="B8" t="s">
        <v>103</v>
      </c>
      <c r="C8" t="s">
        <v>67</v>
      </c>
      <c r="D8" s="24">
        <v>32.447786123306173</v>
      </c>
      <c r="E8">
        <v>6.35</v>
      </c>
      <c r="F8">
        <v>1.8480168192800699</v>
      </c>
      <c r="G8" s="23">
        <v>2.8678661519569557</v>
      </c>
      <c r="H8" s="2">
        <f t="shared" si="1"/>
        <v>2867.8661519569555</v>
      </c>
      <c r="I8">
        <v>4</v>
      </c>
      <c r="J8">
        <v>3</v>
      </c>
      <c r="K8">
        <v>4</v>
      </c>
      <c r="L8">
        <f t="shared" si="8"/>
        <v>1.2192000000000001</v>
      </c>
      <c r="M8">
        <f t="shared" si="9"/>
        <v>0.91439999999999999</v>
      </c>
      <c r="N8">
        <f t="shared" si="10"/>
        <v>0.1016</v>
      </c>
      <c r="O8">
        <f t="shared" si="11"/>
        <v>48</v>
      </c>
      <c r="P8">
        <f t="shared" si="12"/>
        <v>0.113267386368</v>
      </c>
      <c r="Q8">
        <f t="shared" si="13"/>
        <v>32.42506266081304</v>
      </c>
      <c r="R8">
        <f t="shared" si="0"/>
        <v>7.6514627091852513E-2</v>
      </c>
      <c r="S8">
        <f t="shared" si="14"/>
        <v>15.574937339186963</v>
      </c>
      <c r="T8">
        <f t="shared" si="15"/>
        <v>3.675275927614749E-2</v>
      </c>
      <c r="U8" s="49">
        <f t="shared" si="2"/>
        <v>209.32003508395812</v>
      </c>
      <c r="V8" s="49">
        <f t="shared" si="3"/>
        <v>461.47168455227347</v>
      </c>
      <c r="W8">
        <f t="shared" si="4"/>
        <v>3.8541666666666665</v>
      </c>
      <c r="X8">
        <v>1.75</v>
      </c>
      <c r="Y8">
        <f t="shared" si="5"/>
        <v>0.14583333333333334</v>
      </c>
      <c r="Z8">
        <f t="shared" si="6"/>
        <v>1.17475</v>
      </c>
      <c r="AA8">
        <f t="shared" si="7"/>
        <v>4.4450000000000003E-2</v>
      </c>
      <c r="AB8" s="49">
        <f>AVERAGE(Z8:Z9)</f>
        <v>1.184275</v>
      </c>
      <c r="AC8" s="49">
        <f t="shared" si="16"/>
        <v>-9.5250000000000057E-3</v>
      </c>
      <c r="AD8" s="49">
        <f>CONVERT(AC8,"m","in")</f>
        <v>-0.37500000000000022</v>
      </c>
      <c r="AE8" s="49">
        <f>AVERAGE(AA8:AA9)</f>
        <v>3.4924999999999998E-2</v>
      </c>
      <c r="AF8" s="49">
        <f>AA8-AE8</f>
        <v>9.5250000000000057E-3</v>
      </c>
      <c r="AG8" s="49">
        <f>CONVERT(AF8,"m","in")</f>
        <v>0.37500000000000022</v>
      </c>
      <c r="AH8" s="49">
        <f t="shared" si="17"/>
        <v>88.446617780827225</v>
      </c>
      <c r="AI8" s="49">
        <f t="shared" si="18"/>
        <v>194.99118249196729</v>
      </c>
      <c r="AJ8" s="49">
        <f t="shared" ref="AJ8:AJ18" si="23">AH8+U8</f>
        <v>297.76665286478533</v>
      </c>
      <c r="AK8" s="49">
        <f t="shared" si="19"/>
        <v>656.46286704424074</v>
      </c>
      <c r="AM8" s="49">
        <f>'Final input to access'!C4</f>
        <v>209.320035083958</v>
      </c>
      <c r="AN8">
        <v>261.05520000000001</v>
      </c>
      <c r="AO8" s="49">
        <f t="shared" si="20"/>
        <v>51.73516491604201</v>
      </c>
      <c r="AP8" s="49">
        <f t="shared" si="21"/>
        <v>-36.711452864785215</v>
      </c>
      <c r="AQ8" s="65" t="str">
        <f>AT65</f>
        <v>0.158660046690167</v>
      </c>
      <c r="AR8" s="65" t="str">
        <f>AU65</f>
        <v xml:space="preserve"> + 176.109308544352000</v>
      </c>
      <c r="AS8" s="81">
        <f t="shared" si="22"/>
        <v>1.1406271656905715</v>
      </c>
      <c r="AT8" s="49" t="s">
        <v>103</v>
      </c>
      <c r="AU8" s="49" t="s">
        <v>67</v>
      </c>
      <c r="BJ8">
        <f>((BB5*AM4)+235.61)/AN4</f>
        <v>21.205873527283607</v>
      </c>
      <c r="BK8">
        <f>BJ8/AJ4</f>
        <v>7.6100565231357511E-2</v>
      </c>
    </row>
    <row r="9" spans="1:63" x14ac:dyDescent="0.25">
      <c r="B9" t="s">
        <v>104</v>
      </c>
      <c r="C9" t="s">
        <v>67</v>
      </c>
      <c r="D9" s="24">
        <v>32.447786123306173</v>
      </c>
      <c r="E9">
        <v>6.35</v>
      </c>
      <c r="F9">
        <v>1.8480168192800708</v>
      </c>
      <c r="G9" s="23">
        <v>2.8678661519569557</v>
      </c>
      <c r="H9" s="2">
        <f t="shared" si="1"/>
        <v>2867.8661519569555</v>
      </c>
      <c r="I9">
        <v>4</v>
      </c>
      <c r="J9">
        <v>3</v>
      </c>
      <c r="K9">
        <v>4</v>
      </c>
      <c r="L9">
        <f>CONVERT(I9,"ft","m")</f>
        <v>1.2192000000000001</v>
      </c>
      <c r="M9">
        <f>CONVERT(J9,"ft","m")</f>
        <v>0.91439999999999999</v>
      </c>
      <c r="N9">
        <f>CONVERT(K9,"in","m")</f>
        <v>0.1016</v>
      </c>
      <c r="O9">
        <f>I9*J9*K9</f>
        <v>48</v>
      </c>
      <c r="P9">
        <f>L9*M9*N9</f>
        <v>0.113267386368</v>
      </c>
      <c r="Q9">
        <f>O9-O9*(D9/100)</f>
        <v>32.42506266081304</v>
      </c>
      <c r="R9">
        <f t="shared" si="0"/>
        <v>7.6514627091852513E-2</v>
      </c>
      <c r="S9">
        <f>O9*(D9/100)</f>
        <v>15.574937339186963</v>
      </c>
      <c r="T9">
        <f>P9*(D9/100)</f>
        <v>3.675275927614749E-2</v>
      </c>
      <c r="U9" s="49">
        <f t="shared" si="2"/>
        <v>209.32003508395823</v>
      </c>
      <c r="V9" s="49">
        <f t="shared" si="3"/>
        <v>461.4716845522737</v>
      </c>
      <c r="W9">
        <f t="shared" si="4"/>
        <v>3.9166666666666665</v>
      </c>
      <c r="X9">
        <v>1</v>
      </c>
      <c r="Y9">
        <f t="shared" si="5"/>
        <v>8.3333333333333329E-2</v>
      </c>
      <c r="Z9">
        <f t="shared" si="6"/>
        <v>1.1938</v>
      </c>
      <c r="AA9">
        <f t="shared" si="7"/>
        <v>2.5399999999999999E-2</v>
      </c>
      <c r="AC9" s="49"/>
      <c r="AH9" s="49"/>
      <c r="AI9" s="49"/>
      <c r="AJ9" s="49"/>
      <c r="AK9" s="49"/>
      <c r="AM9" s="49"/>
      <c r="AO9" s="49"/>
      <c r="AP9" s="49"/>
      <c r="AQ9" s="65"/>
      <c r="AR9" s="65"/>
      <c r="AS9" s="81"/>
      <c r="AT9" s="49" t="s">
        <v>104</v>
      </c>
      <c r="AU9" s="49" t="s">
        <v>67</v>
      </c>
      <c r="BJ9" s="49">
        <f>((BB5*AN4)+235.61)/AN4</f>
        <v>22.952979998463345</v>
      </c>
      <c r="BK9" s="49">
        <f>BJ9/AJ6</f>
        <v>7.9584541618122812E-2</v>
      </c>
    </row>
    <row r="10" spans="1:63" x14ac:dyDescent="0.25">
      <c r="A10">
        <v>4</v>
      </c>
      <c r="B10" t="s">
        <v>105</v>
      </c>
      <c r="C10" t="s">
        <v>68</v>
      </c>
      <c r="D10" s="23">
        <v>31.713224949322164</v>
      </c>
      <c r="E10">
        <v>6.35</v>
      </c>
      <c r="F10">
        <v>1.8601975069282488</v>
      </c>
      <c r="G10" s="23">
        <v>2.8515688589693133</v>
      </c>
      <c r="H10" s="2">
        <f t="shared" si="1"/>
        <v>2851.5688589693132</v>
      </c>
      <c r="I10">
        <v>4</v>
      </c>
      <c r="J10">
        <v>3</v>
      </c>
      <c r="K10">
        <v>4</v>
      </c>
      <c r="L10">
        <f t="shared" si="8"/>
        <v>1.2192000000000001</v>
      </c>
      <c r="M10">
        <f t="shared" si="9"/>
        <v>0.91439999999999999</v>
      </c>
      <c r="N10">
        <f t="shared" si="10"/>
        <v>0.1016</v>
      </c>
      <c r="O10">
        <f t="shared" si="11"/>
        <v>48</v>
      </c>
      <c r="P10">
        <f t="shared" si="12"/>
        <v>0.113267386368</v>
      </c>
      <c r="Q10">
        <f t="shared" si="13"/>
        <v>32.777652024325363</v>
      </c>
      <c r="R10">
        <f t="shared" ref="R10:R18" si="24">P10-P10*(D10/100)</f>
        <v>7.7346645334898295E-2</v>
      </c>
      <c r="S10">
        <f t="shared" si="14"/>
        <v>15.222347975674641</v>
      </c>
      <c r="T10">
        <f t="shared" si="15"/>
        <v>3.5920741033101708E-2</v>
      </c>
      <c r="U10" s="49">
        <f t="shared" si="2"/>
        <v>210.69970973803234</v>
      </c>
      <c r="V10" s="49">
        <f t="shared" si="3"/>
        <v>464.51334650543686</v>
      </c>
      <c r="W10">
        <f t="shared" si="4"/>
        <v>3.9375</v>
      </c>
      <c r="X10">
        <v>0.75</v>
      </c>
      <c r="Y10">
        <f t="shared" si="5"/>
        <v>6.25E-2</v>
      </c>
      <c r="Z10">
        <f t="shared" si="6"/>
        <v>1.2001500000000001</v>
      </c>
      <c r="AA10">
        <f t="shared" si="7"/>
        <v>1.9050000000000001E-2</v>
      </c>
      <c r="AB10" s="49">
        <f>AVERAGE(Z10:Z11)</f>
        <v>1.1938</v>
      </c>
      <c r="AC10" s="49">
        <f t="shared" si="16"/>
        <v>6.3500000000000778E-3</v>
      </c>
      <c r="AD10" s="49">
        <f>CONVERT(AC10,"m","in")</f>
        <v>0.25000000000000305</v>
      </c>
      <c r="AE10" s="49">
        <f>AVERAGE(AA10:AA11)</f>
        <v>2.5399999999999999E-2</v>
      </c>
      <c r="AF10" s="49">
        <f>AA10-AE10</f>
        <v>-6.349999999999998E-3</v>
      </c>
      <c r="AG10" s="49">
        <f>CONVERT(AF10,"m","in")</f>
        <v>-0.24999999999999992</v>
      </c>
      <c r="AH10" s="49">
        <f t="shared" si="17"/>
        <v>86.444340918390267</v>
      </c>
      <c r="AI10" s="49">
        <f t="shared" si="18"/>
        <v>190.57692287550154</v>
      </c>
      <c r="AJ10" s="49">
        <f t="shared" si="23"/>
        <v>297.14405065642262</v>
      </c>
      <c r="AK10" s="49">
        <f t="shared" si="19"/>
        <v>655.09026938093837</v>
      </c>
      <c r="AM10" s="49">
        <f>'Final input to access'!C5</f>
        <v>210.699709738032</v>
      </c>
      <c r="AN10">
        <v>324.80459999999999</v>
      </c>
      <c r="AO10" s="49">
        <f t="shared" si="20"/>
        <v>114.104890261968</v>
      </c>
      <c r="AP10" s="49">
        <f t="shared" si="21"/>
        <v>27.660549343577728</v>
      </c>
      <c r="AQ10" s="65" t="str">
        <f>AS66</f>
        <v>0.072410625061040</v>
      </c>
      <c r="AR10" s="65" t="str">
        <f>AT66</f>
        <v xml:space="preserve"> + 195.442812055721000</v>
      </c>
      <c r="AS10" s="81">
        <f t="shared" si="22"/>
        <v>0.91483941624109577</v>
      </c>
      <c r="AT10" s="49" t="s">
        <v>105</v>
      </c>
      <c r="AU10" s="49" t="s">
        <v>68</v>
      </c>
      <c r="BC10">
        <f>(AM4*AZ11)+BA11</f>
        <v>91805.840666966513</v>
      </c>
    </row>
    <row r="11" spans="1:63" x14ac:dyDescent="0.25">
      <c r="B11" t="s">
        <v>106</v>
      </c>
      <c r="C11" t="s">
        <v>68</v>
      </c>
      <c r="D11" s="23">
        <v>31.713224949322164</v>
      </c>
      <c r="E11">
        <v>6.35</v>
      </c>
      <c r="F11">
        <v>1.8601975069282488</v>
      </c>
      <c r="G11" s="23">
        <v>2.8515688589693133</v>
      </c>
      <c r="H11" s="2">
        <f t="shared" si="1"/>
        <v>2851.5688589693132</v>
      </c>
      <c r="I11">
        <v>4</v>
      </c>
      <c r="J11">
        <v>3</v>
      </c>
      <c r="K11">
        <v>4</v>
      </c>
      <c r="L11">
        <f>CONVERT(I11,"ft","m")</f>
        <v>1.2192000000000001</v>
      </c>
      <c r="M11">
        <f>CONVERT(J11,"ft","m")</f>
        <v>0.91439999999999999</v>
      </c>
      <c r="N11">
        <f>CONVERT(K11,"in","m")</f>
        <v>0.1016</v>
      </c>
      <c r="O11">
        <f>I11*J11*K11</f>
        <v>48</v>
      </c>
      <c r="P11">
        <f>L11*M11*N11</f>
        <v>0.113267386368</v>
      </c>
      <c r="Q11">
        <f>O11-O11*(D11/100)</f>
        <v>32.777652024325363</v>
      </c>
      <c r="R11">
        <f>P11-P11*(D11/100)</f>
        <v>7.7346645334898295E-2</v>
      </c>
      <c r="S11">
        <f>O11*(D11/100)</f>
        <v>15.222347975674641</v>
      </c>
      <c r="T11">
        <f>P11*(D11/100)</f>
        <v>3.5920741033101708E-2</v>
      </c>
      <c r="U11" s="49">
        <f t="shared" si="2"/>
        <v>210.69970973803234</v>
      </c>
      <c r="V11" s="49">
        <f t="shared" si="3"/>
        <v>464.51334650543686</v>
      </c>
      <c r="W11">
        <f t="shared" si="4"/>
        <v>3.8958333333333335</v>
      </c>
      <c r="X11">
        <v>1.25</v>
      </c>
      <c r="Y11">
        <f t="shared" si="5"/>
        <v>0.10416666666666667</v>
      </c>
      <c r="Z11">
        <f t="shared" si="6"/>
        <v>1.1874499999999999</v>
      </c>
      <c r="AA11">
        <f t="shared" si="7"/>
        <v>3.175E-2</v>
      </c>
      <c r="AC11" s="49"/>
      <c r="AH11" s="49"/>
      <c r="AI11" s="49"/>
      <c r="AJ11" s="49"/>
      <c r="AK11" s="49"/>
      <c r="AM11" s="49"/>
      <c r="AO11" s="49"/>
      <c r="AP11" s="49"/>
      <c r="AQ11" s="65"/>
      <c r="AR11" s="65"/>
      <c r="AS11" s="81"/>
      <c r="AT11" s="49" t="s">
        <v>106</v>
      </c>
      <c r="AU11" s="49" t="s">
        <v>68</v>
      </c>
      <c r="AZ11">
        <v>356.61</v>
      </c>
      <c r="BA11">
        <v>-98.896000000000001</v>
      </c>
    </row>
    <row r="12" spans="1:63" x14ac:dyDescent="0.25">
      <c r="A12">
        <v>5</v>
      </c>
      <c r="B12" t="s">
        <v>107</v>
      </c>
      <c r="C12" t="s">
        <v>69</v>
      </c>
      <c r="D12" s="23">
        <v>26.661411982972115</v>
      </c>
      <c r="E12">
        <v>9.5</v>
      </c>
      <c r="F12">
        <v>1.9937093003417858</v>
      </c>
      <c r="G12" s="23">
        <v>2.8336328501948929</v>
      </c>
      <c r="H12" s="2">
        <f t="shared" si="1"/>
        <v>2833.6328501948929</v>
      </c>
      <c r="I12">
        <v>4</v>
      </c>
      <c r="J12">
        <v>3</v>
      </c>
      <c r="K12">
        <v>4</v>
      </c>
      <c r="L12">
        <f t="shared" si="8"/>
        <v>1.2192000000000001</v>
      </c>
      <c r="M12">
        <f t="shared" si="9"/>
        <v>0.91439999999999999</v>
      </c>
      <c r="N12">
        <f t="shared" si="10"/>
        <v>0.1016</v>
      </c>
      <c r="O12">
        <f t="shared" si="11"/>
        <v>48</v>
      </c>
      <c r="P12">
        <f t="shared" si="12"/>
        <v>0.113267386368</v>
      </c>
      <c r="Q12">
        <f t="shared" si="13"/>
        <v>35.202522248173381</v>
      </c>
      <c r="R12">
        <f t="shared" si="24"/>
        <v>8.3068701846082726E-2</v>
      </c>
      <c r="S12">
        <f t="shared" si="14"/>
        <v>12.797477751826616</v>
      </c>
      <c r="T12">
        <f t="shared" si="15"/>
        <v>3.0198684521917277E-2</v>
      </c>
      <c r="U12" s="49">
        <f t="shared" si="2"/>
        <v>225.82224162728801</v>
      </c>
      <c r="V12" s="49">
        <f t="shared" si="3"/>
        <v>497.85282240811944</v>
      </c>
      <c r="W12">
        <f t="shared" si="4"/>
        <v>3.8958333333333335</v>
      </c>
      <c r="X12">
        <v>1.25</v>
      </c>
      <c r="Y12">
        <f t="shared" si="5"/>
        <v>0.10416666666666667</v>
      </c>
      <c r="Z12">
        <f t="shared" si="6"/>
        <v>1.1874499999999999</v>
      </c>
      <c r="AA12">
        <f t="shared" si="7"/>
        <v>3.175E-2</v>
      </c>
      <c r="AB12" s="49">
        <f>AVERAGE(Z12:Z13)</f>
        <v>1.1874499999999999</v>
      </c>
      <c r="AC12" s="49">
        <f t="shared" si="16"/>
        <v>0</v>
      </c>
      <c r="AD12" s="49">
        <f>CONVERT(AC12,"m","in")</f>
        <v>0</v>
      </c>
      <c r="AE12" s="49">
        <f>AVERAGE(AA12:AA13)</f>
        <v>3.175E-2</v>
      </c>
      <c r="AF12" s="49">
        <f>AA12-AE12</f>
        <v>0</v>
      </c>
      <c r="AG12" s="49">
        <f>CONVERT(AF12,"m","in")</f>
        <v>0</v>
      </c>
      <c r="AH12" s="49">
        <f t="shared" si="17"/>
        <v>72.674040262529587</v>
      </c>
      <c r="AI12" s="49">
        <f t="shared" si="18"/>
        <v>160.21864264357797</v>
      </c>
      <c r="AJ12" s="49">
        <f t="shared" si="23"/>
        <v>298.49628188981762</v>
      </c>
      <c r="AK12" s="49">
        <f t="shared" si="19"/>
        <v>658.07146505169737</v>
      </c>
      <c r="AM12" s="49">
        <f>'Final input to access'!C6</f>
        <v>225.82224162728801</v>
      </c>
      <c r="AN12">
        <v>229.6953</v>
      </c>
      <c r="AO12" s="49">
        <f t="shared" si="20"/>
        <v>3.8730583727119949</v>
      </c>
      <c r="AP12" s="49">
        <f t="shared" si="21"/>
        <v>-68.800981889817592</v>
      </c>
      <c r="AQ12" s="65" t="str">
        <f>AT67</f>
        <v>2.441277855795490</v>
      </c>
      <c r="AR12" s="65" t="str">
        <f>AU67</f>
        <v>- 325.472596204063000</v>
      </c>
      <c r="AS12" s="81">
        <f t="shared" si="22"/>
        <v>1.2995315180145941</v>
      </c>
      <c r="AT12" s="49" t="s">
        <v>107</v>
      </c>
      <c r="AU12" s="49" t="s">
        <v>69</v>
      </c>
    </row>
    <row r="13" spans="1:63" x14ac:dyDescent="0.25">
      <c r="B13" t="s">
        <v>108</v>
      </c>
      <c r="C13" t="s">
        <v>69</v>
      </c>
      <c r="D13" s="23">
        <v>26.661411982972115</v>
      </c>
      <c r="E13">
        <v>9.5</v>
      </c>
      <c r="F13">
        <v>1.9937093003417858</v>
      </c>
      <c r="G13" s="23">
        <v>2.8336328501948929</v>
      </c>
      <c r="H13" s="2">
        <f t="shared" si="1"/>
        <v>2833.6328501948929</v>
      </c>
      <c r="I13">
        <v>4</v>
      </c>
      <c r="J13">
        <v>3</v>
      </c>
      <c r="K13">
        <v>4</v>
      </c>
      <c r="L13">
        <f>CONVERT(I13,"ft","m")</f>
        <v>1.2192000000000001</v>
      </c>
      <c r="M13">
        <f>CONVERT(J13,"ft","m")</f>
        <v>0.91439999999999999</v>
      </c>
      <c r="N13">
        <f>CONVERT(K13,"in","m")</f>
        <v>0.1016</v>
      </c>
      <c r="O13">
        <f>I13*J13*K13</f>
        <v>48</v>
      </c>
      <c r="P13">
        <f>L13*M13*N13</f>
        <v>0.113267386368</v>
      </c>
      <c r="Q13">
        <f>O13-O13*(D13/100)</f>
        <v>35.202522248173381</v>
      </c>
      <c r="R13">
        <f>P13-P13*(D13/100)</f>
        <v>8.3068701846082726E-2</v>
      </c>
      <c r="S13">
        <f>O13*(D13/100)</f>
        <v>12.797477751826616</v>
      </c>
      <c r="T13">
        <f>P13*(D13/100)</f>
        <v>3.0198684521917277E-2</v>
      </c>
      <c r="U13" s="49">
        <f t="shared" si="2"/>
        <v>225.82224162728801</v>
      </c>
      <c r="V13" s="49">
        <f t="shared" si="3"/>
        <v>497.85282240811944</v>
      </c>
      <c r="W13">
        <f t="shared" si="4"/>
        <v>3.8958333333333335</v>
      </c>
      <c r="X13">
        <v>1.25</v>
      </c>
      <c r="Y13">
        <f t="shared" si="5"/>
        <v>0.10416666666666667</v>
      </c>
      <c r="Z13">
        <f t="shared" si="6"/>
        <v>1.1874499999999999</v>
      </c>
      <c r="AA13">
        <f t="shared" si="7"/>
        <v>3.175E-2</v>
      </c>
      <c r="AC13" s="49"/>
      <c r="AH13" s="49"/>
      <c r="AI13" s="49"/>
      <c r="AJ13" s="49"/>
      <c r="AK13" s="49"/>
      <c r="AM13" s="49"/>
      <c r="AO13" s="49"/>
      <c r="AP13" s="49"/>
      <c r="AQ13" s="65"/>
      <c r="AR13" s="65"/>
      <c r="AS13" s="81"/>
      <c r="AT13" s="49" t="s">
        <v>108</v>
      </c>
      <c r="AU13" s="49" t="s">
        <v>69</v>
      </c>
      <c r="BD13">
        <f>BC5+BA11</f>
        <v>136.714</v>
      </c>
    </row>
    <row r="14" spans="1:63" x14ac:dyDescent="0.25">
      <c r="A14">
        <v>6</v>
      </c>
      <c r="B14" t="s">
        <v>109</v>
      </c>
      <c r="C14" t="s">
        <v>70</v>
      </c>
      <c r="D14" s="23">
        <v>31.60336081021558</v>
      </c>
      <c r="E14">
        <v>9.5</v>
      </c>
      <c r="F14">
        <v>1.892393397808934</v>
      </c>
      <c r="G14" s="23">
        <v>2.851997503121098</v>
      </c>
      <c r="H14" s="2">
        <f t="shared" si="1"/>
        <v>2851.9975031210979</v>
      </c>
      <c r="I14">
        <v>4</v>
      </c>
      <c r="J14">
        <v>3</v>
      </c>
      <c r="K14">
        <v>4</v>
      </c>
      <c r="L14">
        <f t="shared" si="8"/>
        <v>1.2192000000000001</v>
      </c>
      <c r="M14">
        <f t="shared" si="9"/>
        <v>0.91439999999999999</v>
      </c>
      <c r="N14">
        <f t="shared" si="10"/>
        <v>0.1016</v>
      </c>
      <c r="O14">
        <f t="shared" si="11"/>
        <v>48</v>
      </c>
      <c r="P14">
        <f t="shared" si="12"/>
        <v>0.113267386368</v>
      </c>
      <c r="Q14">
        <f t="shared" si="13"/>
        <v>32.830386811096517</v>
      </c>
      <c r="R14">
        <f t="shared" si="24"/>
        <v>7.7471085573820028E-2</v>
      </c>
      <c r="S14">
        <f t="shared" si="14"/>
        <v>15.16961318890348</v>
      </c>
      <c r="T14">
        <f t="shared" si="15"/>
        <v>3.5796300794179975E-2</v>
      </c>
      <c r="U14" s="49">
        <f t="shared" si="2"/>
        <v>214.34645414987685</v>
      </c>
      <c r="V14" s="49">
        <f t="shared" si="3"/>
        <v>472.55304173188989</v>
      </c>
      <c r="W14">
        <f t="shared" si="4"/>
        <v>3.9270833333333335</v>
      </c>
      <c r="X14" s="47">
        <v>0.875</v>
      </c>
      <c r="Y14">
        <f t="shared" si="5"/>
        <v>7.2916666666666671E-2</v>
      </c>
      <c r="Z14">
        <f t="shared" si="6"/>
        <v>1.1969749999999999</v>
      </c>
      <c r="AA14">
        <f t="shared" si="7"/>
        <v>2.2225000000000002E-2</v>
      </c>
      <c r="AB14" s="49">
        <f>AVERAGE(Z14:Z15)</f>
        <v>1.1922124999999999</v>
      </c>
      <c r="AC14" s="49">
        <f t="shared" si="16"/>
        <v>4.7625000000000028E-3</v>
      </c>
      <c r="AD14" s="49">
        <f>CONVERT(AC14,"m","in")</f>
        <v>0.18750000000000011</v>
      </c>
      <c r="AE14" s="49">
        <f>AVERAGE(AA14:AA15)</f>
        <v>2.6987500000000001E-2</v>
      </c>
      <c r="AF14" s="49">
        <f>AA14-AE14</f>
        <v>-4.7624999999999994E-3</v>
      </c>
      <c r="AG14" s="49">
        <f>CONVERT(AF14,"m","in")</f>
        <v>-0.18749999999999997</v>
      </c>
      <c r="AH14" s="49">
        <f t="shared" si="17"/>
        <v>86.144871750217945</v>
      </c>
      <c r="AI14" s="49">
        <f t="shared" si="18"/>
        <v>189.91670715796548</v>
      </c>
      <c r="AJ14" s="49">
        <f t="shared" si="23"/>
        <v>300.49132590009481</v>
      </c>
      <c r="AK14" s="49">
        <f t="shared" si="19"/>
        <v>662.4697488898554</v>
      </c>
      <c r="AM14" s="49">
        <f>'Final input to access'!C7</f>
        <v>214.34645414987699</v>
      </c>
      <c r="AN14">
        <v>347.45479999999998</v>
      </c>
      <c r="AO14" s="49">
        <f t="shared" si="20"/>
        <v>133.10834585012299</v>
      </c>
      <c r="AP14" s="49">
        <f t="shared" si="21"/>
        <v>46.963474099905042</v>
      </c>
      <c r="AQ14" s="65" t="str">
        <f>AT68</f>
        <v>0.067424161973295</v>
      </c>
      <c r="AR14" s="65" t="str">
        <f>AU68</f>
        <v xml:space="preserve"> + 199.894324106874000</v>
      </c>
      <c r="AS14" s="81">
        <f t="shared" si="22"/>
        <v>0.86483573086368304</v>
      </c>
      <c r="AT14" s="49" t="s">
        <v>109</v>
      </c>
      <c r="AU14" s="49" t="s">
        <v>70</v>
      </c>
      <c r="BD14">
        <f>356.61+22.111</f>
        <v>378.721</v>
      </c>
    </row>
    <row r="15" spans="1:63" x14ac:dyDescent="0.25">
      <c r="B15" t="s">
        <v>110</v>
      </c>
      <c r="C15" t="s">
        <v>70</v>
      </c>
      <c r="D15" s="23">
        <v>31.60336081021558</v>
      </c>
      <c r="E15">
        <v>9.5</v>
      </c>
      <c r="F15">
        <v>1.892393397808934</v>
      </c>
      <c r="G15" s="23">
        <v>2.851997503121098</v>
      </c>
      <c r="H15" s="2">
        <f t="shared" si="1"/>
        <v>2851.9975031210979</v>
      </c>
      <c r="I15">
        <v>4</v>
      </c>
      <c r="J15">
        <v>3</v>
      </c>
      <c r="K15">
        <v>4</v>
      </c>
      <c r="L15">
        <f>CONVERT(I15,"ft","m")</f>
        <v>1.2192000000000001</v>
      </c>
      <c r="M15">
        <f>CONVERT(J15,"ft","m")</f>
        <v>0.91439999999999999</v>
      </c>
      <c r="N15">
        <f>CONVERT(K15,"in","m")</f>
        <v>0.1016</v>
      </c>
      <c r="O15">
        <f>I15*J15*K15</f>
        <v>48</v>
      </c>
      <c r="P15">
        <f>L15*M15*N15</f>
        <v>0.113267386368</v>
      </c>
      <c r="Q15">
        <f>O15-O15*(D15/100)</f>
        <v>32.830386811096517</v>
      </c>
      <c r="R15">
        <f>P15-P15*(D15/100)</f>
        <v>7.7471085573820028E-2</v>
      </c>
      <c r="S15">
        <f>O15*(D15/100)</f>
        <v>15.16961318890348</v>
      </c>
      <c r="T15">
        <f>P15*(D15/100)</f>
        <v>3.5796300794179975E-2</v>
      </c>
      <c r="U15" s="49">
        <f t="shared" si="2"/>
        <v>214.34645414987685</v>
      </c>
      <c r="V15" s="49">
        <f t="shared" si="3"/>
        <v>472.55304173188989</v>
      </c>
      <c r="W15">
        <f t="shared" si="4"/>
        <v>3.8958333333333335</v>
      </c>
      <c r="X15">
        <v>1.25</v>
      </c>
      <c r="Y15">
        <f t="shared" si="5"/>
        <v>0.10416666666666667</v>
      </c>
      <c r="Z15">
        <f t="shared" si="6"/>
        <v>1.1874499999999999</v>
      </c>
      <c r="AA15">
        <f t="shared" si="7"/>
        <v>3.175E-2</v>
      </c>
      <c r="AC15" s="49"/>
      <c r="AH15" s="49"/>
      <c r="AI15" s="49"/>
      <c r="AJ15" s="49"/>
      <c r="AK15" s="49"/>
      <c r="AM15" s="49"/>
      <c r="AO15" s="49"/>
      <c r="AP15" s="49"/>
      <c r="AQ15" s="65"/>
      <c r="AR15" s="65"/>
      <c r="AS15" s="81"/>
      <c r="AT15" s="49" t="s">
        <v>110</v>
      </c>
      <c r="AU15" s="49" t="s">
        <v>70</v>
      </c>
    </row>
    <row r="16" spans="1:63" x14ac:dyDescent="0.25">
      <c r="A16">
        <v>7</v>
      </c>
      <c r="B16" t="s">
        <v>111</v>
      </c>
      <c r="C16" t="s">
        <v>71</v>
      </c>
      <c r="D16" s="24">
        <v>26.906821534091122</v>
      </c>
      <c r="E16">
        <v>9.5</v>
      </c>
      <c r="F16">
        <v>2.0343421795191485</v>
      </c>
      <c r="G16" s="23">
        <v>2.9053129312762045</v>
      </c>
      <c r="H16" s="2">
        <f t="shared" si="1"/>
        <v>2905.3129312762044</v>
      </c>
      <c r="I16">
        <v>4</v>
      </c>
      <c r="J16">
        <v>3</v>
      </c>
      <c r="K16">
        <v>4</v>
      </c>
      <c r="L16">
        <f t="shared" si="8"/>
        <v>1.2192000000000001</v>
      </c>
      <c r="M16">
        <f t="shared" si="9"/>
        <v>0.91439999999999999</v>
      </c>
      <c r="N16">
        <f t="shared" si="10"/>
        <v>0.1016</v>
      </c>
      <c r="O16">
        <f t="shared" si="11"/>
        <v>48</v>
      </c>
      <c r="P16">
        <f t="shared" si="12"/>
        <v>0.113267386368</v>
      </c>
      <c r="Q16">
        <f t="shared" si="13"/>
        <v>35.084725663636263</v>
      </c>
      <c r="R16">
        <f t="shared" si="24"/>
        <v>8.2790732861632785E-2</v>
      </c>
      <c r="S16">
        <f t="shared" si="14"/>
        <v>12.915274336363741</v>
      </c>
      <c r="T16">
        <f t="shared" si="15"/>
        <v>3.0476653506367218E-2</v>
      </c>
      <c r="U16" s="49">
        <f t="shared" si="2"/>
        <v>230.42462165231461</v>
      </c>
      <c r="V16" s="49">
        <f t="shared" si="3"/>
        <v>507.99933352563801</v>
      </c>
      <c r="W16">
        <f t="shared" si="4"/>
        <v>3.90625</v>
      </c>
      <c r="X16" s="47">
        <v>1.125</v>
      </c>
      <c r="Y16">
        <f t="shared" si="5"/>
        <v>9.375E-2</v>
      </c>
      <c r="Z16">
        <f t="shared" si="6"/>
        <v>1.190625</v>
      </c>
      <c r="AA16">
        <f t="shared" si="7"/>
        <v>2.8575E-2</v>
      </c>
      <c r="AB16" s="49">
        <f>AVERAGE(Z16:Z17)</f>
        <v>1.1922125000000001</v>
      </c>
      <c r="AC16" s="49">
        <f t="shared" si="16"/>
        <v>-1.587500000000075E-3</v>
      </c>
      <c r="AD16" s="49">
        <f>CONVERT(AC16,"m","in")</f>
        <v>-6.2500000000002942E-2</v>
      </c>
      <c r="AE16" s="49">
        <f>AVERAGE(AA16:AA17)</f>
        <v>2.6987499999999998E-2</v>
      </c>
      <c r="AF16" s="49">
        <f>AA16-AE16</f>
        <v>1.5875000000000021E-3</v>
      </c>
      <c r="AG16" s="49">
        <f>CONVERT(AF16,"m","in")</f>
        <v>6.2500000000000083E-2</v>
      </c>
      <c r="AH16" s="49">
        <f t="shared" si="17"/>
        <v>73.342980962677913</v>
      </c>
      <c r="AI16" s="49">
        <f t="shared" si="18"/>
        <v>161.69340268993898</v>
      </c>
      <c r="AJ16" s="49">
        <f t="shared" si="23"/>
        <v>303.76760261499254</v>
      </c>
      <c r="AK16" s="49">
        <f t="shared" si="19"/>
        <v>669.69273621557704</v>
      </c>
      <c r="AM16" s="49">
        <f>'Final input to access'!C8</f>
        <v>230.42462165231501</v>
      </c>
      <c r="AN16">
        <v>268.39839999999998</v>
      </c>
      <c r="AO16" s="49">
        <f t="shared" si="20"/>
        <v>37.97377834768497</v>
      </c>
      <c r="AP16" s="49">
        <f t="shared" si="21"/>
        <v>-35.369202614992943</v>
      </c>
      <c r="AQ16" s="65" t="str">
        <f>AT69</f>
        <v>0.221962408359595</v>
      </c>
      <c r="AR16" s="65" t="str">
        <f>AU69</f>
        <v>+ 179.279017685021000</v>
      </c>
      <c r="AS16" s="81">
        <f t="shared" si="22"/>
        <v>1.131778738677252</v>
      </c>
      <c r="AT16" s="49" t="s">
        <v>111</v>
      </c>
      <c r="AU16" s="49" t="s">
        <v>71</v>
      </c>
    </row>
    <row r="17" spans="1:63" x14ac:dyDescent="0.25">
      <c r="B17" t="s">
        <v>112</v>
      </c>
      <c r="C17" t="s">
        <v>71</v>
      </c>
      <c r="D17" s="24">
        <v>26.906821534091122</v>
      </c>
      <c r="E17">
        <v>9.5</v>
      </c>
      <c r="F17">
        <v>2.0343421795191485</v>
      </c>
      <c r="G17" s="23">
        <v>2.9053129312762045</v>
      </c>
      <c r="H17" s="2">
        <f t="shared" si="1"/>
        <v>2905.3129312762044</v>
      </c>
      <c r="I17">
        <v>4</v>
      </c>
      <c r="J17">
        <v>3</v>
      </c>
      <c r="K17">
        <v>4</v>
      </c>
      <c r="L17">
        <f>CONVERT(I17,"ft","m")</f>
        <v>1.2192000000000001</v>
      </c>
      <c r="M17">
        <f>CONVERT(J17,"ft","m")</f>
        <v>0.91439999999999999</v>
      </c>
      <c r="N17">
        <f>CONVERT(K17,"in","m")</f>
        <v>0.1016</v>
      </c>
      <c r="O17">
        <f>I17*J17*K17</f>
        <v>48</v>
      </c>
      <c r="P17">
        <f>L17*M17*N17</f>
        <v>0.113267386368</v>
      </c>
      <c r="Q17">
        <f>O17-O17*(D17/100)</f>
        <v>35.084725663636263</v>
      </c>
      <c r="R17">
        <f>P17-P17*(D17/100)</f>
        <v>8.2790732861632785E-2</v>
      </c>
      <c r="S17">
        <f>O17*(D17/100)</f>
        <v>12.915274336363741</v>
      </c>
      <c r="T17">
        <f>P17*(D17/100)</f>
        <v>3.0476653506367218E-2</v>
      </c>
      <c r="U17" s="49">
        <f t="shared" si="2"/>
        <v>230.42462165231461</v>
      </c>
      <c r="V17" s="49">
        <f t="shared" si="3"/>
        <v>507.99933352563801</v>
      </c>
      <c r="W17">
        <f t="shared" si="4"/>
        <v>3.9166666666666665</v>
      </c>
      <c r="X17">
        <v>1</v>
      </c>
      <c r="Y17">
        <f t="shared" si="5"/>
        <v>8.3333333333333329E-2</v>
      </c>
      <c r="Z17">
        <f t="shared" si="6"/>
        <v>1.1938</v>
      </c>
      <c r="AA17">
        <f t="shared" si="7"/>
        <v>2.5399999999999999E-2</v>
      </c>
      <c r="AC17" s="49"/>
      <c r="AH17" s="49"/>
      <c r="AI17" s="49"/>
      <c r="AJ17" s="49"/>
      <c r="AK17" s="49"/>
      <c r="AM17" s="49"/>
      <c r="AO17" s="49"/>
      <c r="AP17" s="49"/>
      <c r="AQ17" s="65"/>
      <c r="AR17" s="65"/>
      <c r="AS17" s="81"/>
      <c r="AT17" s="49" t="s">
        <v>112</v>
      </c>
      <c r="AU17" s="49" t="s">
        <v>71</v>
      </c>
    </row>
    <row r="18" spans="1:63" x14ac:dyDescent="0.25">
      <c r="A18">
        <v>8</v>
      </c>
      <c r="B18" t="s">
        <v>113</v>
      </c>
      <c r="C18" t="s">
        <v>72</v>
      </c>
      <c r="D18" s="23">
        <v>24.628564629673999</v>
      </c>
      <c r="E18">
        <v>9.5</v>
      </c>
      <c r="F18">
        <v>2.0809797702485482</v>
      </c>
      <c r="G18" s="23">
        <v>2.8684053323770171</v>
      </c>
      <c r="H18" s="2">
        <f t="shared" si="1"/>
        <v>2868.4053323770172</v>
      </c>
      <c r="I18">
        <v>4</v>
      </c>
      <c r="J18">
        <v>3</v>
      </c>
      <c r="K18">
        <v>4</v>
      </c>
      <c r="L18">
        <f t="shared" si="8"/>
        <v>1.2192000000000001</v>
      </c>
      <c r="M18">
        <f t="shared" si="9"/>
        <v>0.91439999999999999</v>
      </c>
      <c r="N18">
        <f t="shared" si="10"/>
        <v>0.1016</v>
      </c>
      <c r="O18">
        <f t="shared" si="11"/>
        <v>48</v>
      </c>
      <c r="P18">
        <f t="shared" si="12"/>
        <v>0.113267386368</v>
      </c>
      <c r="Q18">
        <f t="shared" si="13"/>
        <v>36.17828897775648</v>
      </c>
      <c r="R18">
        <f t="shared" si="24"/>
        <v>8.5371254912014569E-2</v>
      </c>
      <c r="S18">
        <f t="shared" si="14"/>
        <v>11.82171102224352</v>
      </c>
      <c r="T18">
        <f t="shared" si="15"/>
        <v>2.7896131455985438E-2</v>
      </c>
      <c r="U18" s="49">
        <f t="shared" si="2"/>
        <v>235.70713966073416</v>
      </c>
      <c r="V18" s="49">
        <f t="shared" si="3"/>
        <v>519.64529222732324</v>
      </c>
      <c r="W18">
        <f t="shared" si="4"/>
        <v>3.8229166666666665</v>
      </c>
      <c r="X18" s="47">
        <v>2.125</v>
      </c>
      <c r="Y18">
        <f t="shared" si="5"/>
        <v>0.17708333333333334</v>
      </c>
      <c r="Z18">
        <f t="shared" si="6"/>
        <v>1.165225</v>
      </c>
      <c r="AA18">
        <f t="shared" si="7"/>
        <v>5.3975000000000002E-2</v>
      </c>
      <c r="AB18" s="49">
        <f>AVERAGE(Z18:Z19)</f>
        <v>1.1636375000000001</v>
      </c>
      <c r="AC18" s="49">
        <f t="shared" si="16"/>
        <v>1.5874999999998529E-3</v>
      </c>
      <c r="AD18" s="49">
        <f>CONVERT(AC18,"m","in")</f>
        <v>6.2499999999994206E-2</v>
      </c>
      <c r="AE18" s="49">
        <f>AVERAGE(AA18:AA19)</f>
        <v>5.5562500000000001E-2</v>
      </c>
      <c r="AF18" s="49">
        <f>AA18-AE18</f>
        <v>-1.5874999999999986E-3</v>
      </c>
      <c r="AG18" s="49">
        <f>CONVERT(AF18,"m","in")</f>
        <v>-6.2499999999999951E-2</v>
      </c>
      <c r="AH18" s="49">
        <f t="shared" si="17"/>
        <v>67.132877232772643</v>
      </c>
      <c r="AI18" s="49">
        <f t="shared" si="18"/>
        <v>148.00248380491522</v>
      </c>
      <c r="AJ18" s="49">
        <f t="shared" si="23"/>
        <v>302.8400168935068</v>
      </c>
      <c r="AK18" s="49">
        <f t="shared" si="19"/>
        <v>667.64777603223843</v>
      </c>
      <c r="AM18" s="49">
        <f>'Final input to access'!C9</f>
        <v>235.70713966073399</v>
      </c>
      <c r="AN18">
        <v>248.49520000000001</v>
      </c>
      <c r="AO18" s="49">
        <f t="shared" si="20"/>
        <v>12.788060339266025</v>
      </c>
      <c r="AP18" s="49">
        <f t="shared" si="21"/>
        <v>-54.344816893506618</v>
      </c>
      <c r="AQ18" s="65" t="str">
        <f>AT70</f>
        <v>0.674221220324884</v>
      </c>
      <c r="AR18" s="65" t="str">
        <f>AU70</f>
        <v xml:space="preserve"> + 76.788384319397700</v>
      </c>
      <c r="AS18" s="81">
        <f t="shared" si="22"/>
        <v>1.2186956403725577</v>
      </c>
      <c r="AT18" s="49" t="s">
        <v>113</v>
      </c>
      <c r="AU18" s="49" t="s">
        <v>72</v>
      </c>
      <c r="BE18">
        <v>478.72</v>
      </c>
      <c r="BF18">
        <f>(BE18*AM4)+BE19</f>
        <v>123511.36448868571</v>
      </c>
      <c r="BG18">
        <f>(BE18*AN4)+BE19</f>
        <v>134096.20952</v>
      </c>
      <c r="BI18">
        <f>((AM4/BG18)*AJ4)*BJ6</f>
        <v>127.26953150280929</v>
      </c>
      <c r="BJ18">
        <f>BI18/AJ4</f>
        <v>0.4567264475869246</v>
      </c>
      <c r="BK18">
        <f>BJ18*100</f>
        <v>45.672644758692456</v>
      </c>
    </row>
    <row r="19" spans="1:63" x14ac:dyDescent="0.25">
      <c r="B19" t="s">
        <v>114</v>
      </c>
      <c r="C19" t="s">
        <v>72</v>
      </c>
      <c r="D19" s="23">
        <v>24.628564629673999</v>
      </c>
      <c r="E19">
        <v>9.5</v>
      </c>
      <c r="F19">
        <v>2.0809797702485482</v>
      </c>
      <c r="G19" s="23">
        <v>2.8684053323770171</v>
      </c>
      <c r="H19" s="2">
        <f t="shared" si="1"/>
        <v>2868.4053323770172</v>
      </c>
      <c r="I19">
        <v>4</v>
      </c>
      <c r="J19">
        <v>3</v>
      </c>
      <c r="K19">
        <v>4</v>
      </c>
      <c r="L19">
        <f>CONVERT(I19,"ft","m")</f>
        <v>1.2192000000000001</v>
      </c>
      <c r="M19">
        <f>CONVERT(J19,"ft","m")</f>
        <v>0.91439999999999999</v>
      </c>
      <c r="N19">
        <f>CONVERT(K19,"in","m")</f>
        <v>0.1016</v>
      </c>
      <c r="O19">
        <f>I19*J19*K19</f>
        <v>48</v>
      </c>
      <c r="P19">
        <f>L19*M19*N19</f>
        <v>0.113267386368</v>
      </c>
      <c r="Q19">
        <f>O19-O19*(D19/100)</f>
        <v>36.17828897775648</v>
      </c>
      <c r="R19">
        <f>P19-P19*(D19/100)</f>
        <v>8.5371254912014569E-2</v>
      </c>
      <c r="S19">
        <f>O19*(D19/100)</f>
        <v>11.82171102224352</v>
      </c>
      <c r="T19">
        <f>P19*(D19/100)</f>
        <v>2.7896131455985438E-2</v>
      </c>
      <c r="U19" s="49">
        <f t="shared" si="2"/>
        <v>235.70713966073416</v>
      </c>
      <c r="V19" s="49">
        <f t="shared" si="3"/>
        <v>519.64529222732324</v>
      </c>
      <c r="W19">
        <f t="shared" si="4"/>
        <v>3.8125</v>
      </c>
      <c r="X19" s="47">
        <v>2.25</v>
      </c>
      <c r="Y19">
        <f t="shared" si="5"/>
        <v>0.1875</v>
      </c>
      <c r="Z19">
        <f t="shared" si="6"/>
        <v>1.16205</v>
      </c>
      <c r="AA19">
        <f t="shared" si="7"/>
        <v>5.7149999999999999E-2</v>
      </c>
      <c r="AC19" s="49"/>
      <c r="AH19" s="49"/>
      <c r="AJ19" s="49"/>
      <c r="AK19" s="49"/>
      <c r="AM19" s="49"/>
      <c r="AQ19" s="65"/>
      <c r="AT19" s="49" t="s">
        <v>114</v>
      </c>
      <c r="AU19" s="49" t="s">
        <v>72</v>
      </c>
      <c r="BE19">
        <v>136.71</v>
      </c>
      <c r="BI19">
        <f>((AN4/BG18)*AJ4)*BJ6</f>
        <v>138.18853487305788</v>
      </c>
      <c r="BJ19" s="49">
        <f>(AN4/BG18)*AJ4</f>
        <v>0.58149197702872391</v>
      </c>
    </row>
    <row r="20" spans="1:63" x14ac:dyDescent="0.25">
      <c r="G20" s="23"/>
      <c r="H20" s="23"/>
      <c r="AQ20" s="65"/>
    </row>
    <row r="21" spans="1:63" x14ac:dyDescent="0.25">
      <c r="G21" s="23"/>
      <c r="H21" s="23"/>
      <c r="AN21" t="s">
        <v>256</v>
      </c>
      <c r="AQ21" s="65" t="str">
        <f>CONCATENATE(AN21,"=","(","(",AQ4,"*","L1",")",AR4,")")</f>
        <v>LCM_CORR1=((0.131947098207342*L1) + 223.712664681996000)</v>
      </c>
    </row>
    <row r="22" spans="1:63" x14ac:dyDescent="0.25">
      <c r="AN22" s="49" t="s">
        <v>257</v>
      </c>
      <c r="AQ22" s="65" t="str">
        <f>CONCATENATE(AN22,"=","(","(",AQ6,"*","L2",")",AR6,")")</f>
        <v>LCM_CORR2=((0.106363253914283*L2) + 241.878567319069000)</v>
      </c>
    </row>
    <row r="23" spans="1:63" x14ac:dyDescent="0.25">
      <c r="D23"/>
      <c r="I23" s="49"/>
      <c r="J23" t="s">
        <v>79</v>
      </c>
      <c r="AN23" s="49" t="s">
        <v>258</v>
      </c>
      <c r="AQ23" s="65" t="str">
        <f>CONCATENATE(AN23,"=","(","(",AQ8,"*","L3",")",AR8,")")</f>
        <v>LCM_CORR3=((0.158660046690167*L3) + 176.109308544352000)</v>
      </c>
    </row>
    <row r="24" spans="1:63" x14ac:dyDescent="0.25">
      <c r="D24"/>
      <c r="I24" s="2">
        <v>25428.552805961699</v>
      </c>
      <c r="J24">
        <v>0.113267386368</v>
      </c>
      <c r="K24">
        <f>I24*J24</f>
        <v>2880.2257154519543</v>
      </c>
      <c r="N24">
        <v>106</v>
      </c>
      <c r="O24">
        <f>N24/K25</f>
        <v>0.36802671204318022</v>
      </c>
      <c r="Z24" s="63">
        <v>2406.5300000000002</v>
      </c>
      <c r="AA24">
        <v>1</v>
      </c>
      <c r="AB24">
        <f>$Z$24*AA24</f>
        <v>2406.5300000000002</v>
      </c>
      <c r="AN24" s="49" t="s">
        <v>259</v>
      </c>
      <c r="AQ24" s="65" t="str">
        <f>CONCATENATE(AN24,"=","(","(",AQ10,"*","L4",")",AR10,")")</f>
        <v>LCM_CORR4=((0.072410625061040*L4) + 195.442812055721000)</v>
      </c>
    </row>
    <row r="25" spans="1:63" x14ac:dyDescent="0.25">
      <c r="D25"/>
      <c r="I25" s="2">
        <v>2542.8552805961717</v>
      </c>
      <c r="J25">
        <v>0.113267386368</v>
      </c>
      <c r="K25" s="49">
        <f>I25*J25</f>
        <v>288.02257154519566</v>
      </c>
      <c r="L25">
        <v>57</v>
      </c>
      <c r="N25">
        <v>102</v>
      </c>
      <c r="O25">
        <f>N25/K25</f>
        <v>0.35413891158872063</v>
      </c>
      <c r="Q25" t="s">
        <v>189</v>
      </c>
      <c r="Y25">
        <v>2.2046199999999998</v>
      </c>
      <c r="AA25">
        <v>2</v>
      </c>
      <c r="AB25" s="49">
        <f>$Z$24*AA25</f>
        <v>4813.0600000000004</v>
      </c>
      <c r="AC25">
        <v>1</v>
      </c>
      <c r="AD25">
        <v>257.72000000000003</v>
      </c>
      <c r="AE25">
        <f>AD25/AJ4</f>
        <v>0.92486818079866973</v>
      </c>
      <c r="AF25">
        <f t="shared" ref="AF25:AF40" si="25">AE25*100</f>
        <v>92.486818079866978</v>
      </c>
      <c r="AN25" s="49" t="s">
        <v>260</v>
      </c>
      <c r="AQ25" s="65" t="str">
        <f>CONCATENATE(AN25,"=","(","(",AQ12,"*","L5",")",AR12,")")</f>
        <v>LCM_CORR5=((2.441277855795490*L5)- 325.472596204063000)</v>
      </c>
      <c r="BI25">
        <v>257.71777759167298</v>
      </c>
      <c r="BJ25">
        <f t="shared" ref="BJ25:BJ46" si="26">BI25-$BI$25</f>
        <v>0</v>
      </c>
    </row>
    <row r="26" spans="1:63" x14ac:dyDescent="0.25">
      <c r="D26"/>
      <c r="I26" s="2">
        <v>2649.4804156674659</v>
      </c>
      <c r="J26">
        <v>0.113267386368</v>
      </c>
      <c r="K26" s="49">
        <f t="shared" ref="K26:K39" si="27">I26*J26</f>
        <v>300.09972191585609</v>
      </c>
      <c r="AD26" s="49">
        <f>((AN4/AN4)*AJ4)</f>
        <v>278.65592670454504</v>
      </c>
      <c r="AE26" s="61">
        <f>AD26/AJ4</f>
        <v>1</v>
      </c>
      <c r="AF26" s="49">
        <f t="shared" si="25"/>
        <v>100</v>
      </c>
      <c r="AN26" s="49" t="s">
        <v>261</v>
      </c>
      <c r="AQ26" s="65" t="str">
        <f>CONCATENATE(AN26,"=","(","(",AQ14,"*","L6",")",AR14,")")</f>
        <v>LCM_CORR6=((0.067424161973295*L6) + 199.894324106874000)</v>
      </c>
      <c r="BI26">
        <f>BI25+1</f>
        <v>258.71777759167298</v>
      </c>
      <c r="BJ26" s="49">
        <f t="shared" si="26"/>
        <v>1</v>
      </c>
    </row>
    <row r="27" spans="1:63" x14ac:dyDescent="0.25">
      <c r="D27"/>
      <c r="I27" s="2">
        <v>2649.4804156674659</v>
      </c>
      <c r="J27">
        <v>0.113267386368</v>
      </c>
      <c r="K27" s="49">
        <f t="shared" si="27"/>
        <v>300.09972191585609</v>
      </c>
      <c r="L27">
        <v>27.33</v>
      </c>
      <c r="M27">
        <f>L27/K27</f>
        <v>9.1069727840877371E-2</v>
      </c>
      <c r="N27">
        <f>SUM(N24:N25)</f>
        <v>208</v>
      </c>
      <c r="Q27" t="s">
        <v>192</v>
      </c>
      <c r="R27" t="s">
        <v>193</v>
      </c>
      <c r="S27" t="s">
        <v>194</v>
      </c>
      <c r="T27" t="s">
        <v>196</v>
      </c>
      <c r="U27" t="s">
        <v>195</v>
      </c>
      <c r="AC27">
        <v>2</v>
      </c>
      <c r="AD27" s="49">
        <f>(AM6/AN6)*AJ6</f>
        <v>260.66706046379636</v>
      </c>
      <c r="AE27" s="49">
        <f>AD27/AJ6</f>
        <v>0.90380719729392767</v>
      </c>
      <c r="AF27" s="49">
        <f t="shared" si="25"/>
        <v>90.380719729392766</v>
      </c>
      <c r="AH27">
        <f>AN6/AN6</f>
        <v>1</v>
      </c>
      <c r="AN27" s="49" t="s">
        <v>262</v>
      </c>
      <c r="AP27">
        <v>0</v>
      </c>
      <c r="AQ27" s="65" t="str">
        <f>CONCATENATE(AN27,"=","(","(",AQ16,"*","L7",")",AR16,")")</f>
        <v>LCM_CORR7=((0.221962408359595*L7)+ 179.279017685021000)</v>
      </c>
      <c r="AV27">
        <v>0</v>
      </c>
      <c r="BI27" s="49">
        <f t="shared" ref="BI27:BI46" si="28">BI26+1</f>
        <v>259.71777759167298</v>
      </c>
      <c r="BJ27" s="49">
        <f t="shared" si="26"/>
        <v>2</v>
      </c>
    </row>
    <row r="28" spans="1:63" x14ac:dyDescent="0.25">
      <c r="D28"/>
      <c r="I28" s="2">
        <v>2867.8661519569555</v>
      </c>
      <c r="J28">
        <v>0.113267386368</v>
      </c>
      <c r="K28" s="49">
        <f t="shared" si="27"/>
        <v>324.83570348541787</v>
      </c>
      <c r="Q28" t="s">
        <v>57</v>
      </c>
      <c r="R28">
        <v>1704.9</v>
      </c>
      <c r="S28">
        <v>1724.2</v>
      </c>
      <c r="T28">
        <f>S28-R28</f>
        <v>19.299999999999955</v>
      </c>
      <c r="U28">
        <f>(T28/R28)*100</f>
        <v>1.1320312041761953</v>
      </c>
      <c r="AD28" s="49">
        <f>(AN6/AN6)*AJ6</f>
        <v>288.41002953312915</v>
      </c>
      <c r="AE28" s="49">
        <f>AD28/AJ6</f>
        <v>1</v>
      </c>
      <c r="AF28" s="49">
        <f t="shared" si="25"/>
        <v>100</v>
      </c>
      <c r="AN28" s="49" t="s">
        <v>263</v>
      </c>
      <c r="AP28">
        <v>1</v>
      </c>
      <c r="AQ28" s="65" t="str">
        <f>CONCATENATE(AN28,"=","(","(",AQ18,"*","L8",")",AR18,")")</f>
        <v>LCM_CORR8=((0.674221220324884*L8) + 76.788384319397700)</v>
      </c>
      <c r="AV28">
        <v>100</v>
      </c>
      <c r="BI28" s="49">
        <f t="shared" si="28"/>
        <v>260.71777759167298</v>
      </c>
      <c r="BJ28" s="49">
        <f t="shared" si="26"/>
        <v>3</v>
      </c>
    </row>
    <row r="29" spans="1:63" x14ac:dyDescent="0.25">
      <c r="I29" s="2">
        <v>2867.8661519569555</v>
      </c>
      <c r="J29">
        <v>0.113267386368</v>
      </c>
      <c r="K29" s="49">
        <f t="shared" si="27"/>
        <v>324.83570348541787</v>
      </c>
      <c r="Q29" t="s">
        <v>55</v>
      </c>
      <c r="R29">
        <v>1585.6</v>
      </c>
      <c r="S29">
        <v>1643.6</v>
      </c>
      <c r="T29" s="49">
        <f t="shared" ref="T29:T31" si="29">S29-R29</f>
        <v>58</v>
      </c>
      <c r="U29" s="49">
        <f t="shared" ref="U29:U31" si="30">(T29/R29)*100</f>
        <v>3.6579212916246218</v>
      </c>
      <c r="AC29" s="49">
        <v>3</v>
      </c>
      <c r="AD29" s="49">
        <f>(AM8/AN8)*AJ8</f>
        <v>238.75611834006602</v>
      </c>
      <c r="AE29" s="49">
        <f>AD29/AJ8</f>
        <v>0.8018228906528504</v>
      </c>
      <c r="AF29" s="49">
        <f t="shared" si="25"/>
        <v>80.182289065285033</v>
      </c>
      <c r="AN29" s="49"/>
      <c r="BI29" s="49">
        <f t="shared" si="28"/>
        <v>261.71777759167298</v>
      </c>
      <c r="BJ29" s="49">
        <f t="shared" si="26"/>
        <v>4</v>
      </c>
    </row>
    <row r="30" spans="1:63" x14ac:dyDescent="0.25">
      <c r="I30" s="2">
        <v>2851.5688589693132</v>
      </c>
      <c r="J30">
        <v>0.113267386368</v>
      </c>
      <c r="K30" s="49">
        <f t="shared" si="27"/>
        <v>322.98975170383409</v>
      </c>
      <c r="Q30" t="s">
        <v>191</v>
      </c>
      <c r="R30">
        <v>1392.4</v>
      </c>
      <c r="S30">
        <v>1450.7</v>
      </c>
      <c r="T30" s="49">
        <f t="shared" si="29"/>
        <v>58.299999999999955</v>
      </c>
      <c r="U30" s="49">
        <f t="shared" si="30"/>
        <v>4.1870152255099073</v>
      </c>
      <c r="AC30" s="49"/>
      <c r="AD30" s="49">
        <f>(AN8/AN8)*AJ8</f>
        <v>297.76665286478533</v>
      </c>
      <c r="AE30" s="49">
        <f>AD30/AJ8</f>
        <v>1</v>
      </c>
      <c r="AF30" s="49">
        <f t="shared" si="25"/>
        <v>100</v>
      </c>
      <c r="BI30" s="49">
        <f t="shared" si="28"/>
        <v>262.71777759167298</v>
      </c>
      <c r="BJ30" s="49">
        <f t="shared" si="26"/>
        <v>5</v>
      </c>
    </row>
    <row r="31" spans="1:63" x14ac:dyDescent="0.25">
      <c r="I31" s="2">
        <v>2851.5688589693132</v>
      </c>
      <c r="J31">
        <v>0.113267386368</v>
      </c>
      <c r="K31" s="49">
        <f t="shared" si="27"/>
        <v>322.98975170383409</v>
      </c>
      <c r="Q31" t="s">
        <v>190</v>
      </c>
      <c r="R31">
        <v>1262.3</v>
      </c>
      <c r="S31">
        <v>1311.8</v>
      </c>
      <c r="T31" s="49">
        <f t="shared" si="29"/>
        <v>49.5</v>
      </c>
      <c r="U31" s="49">
        <f t="shared" si="30"/>
        <v>3.9214132931949619</v>
      </c>
      <c r="AC31" s="49">
        <v>4</v>
      </c>
      <c r="AD31" s="49">
        <f>(AM10/AN10)*AJ10</f>
        <v>192.75639945890953</v>
      </c>
      <c r="AE31" s="49">
        <f>AD31/AJ10</f>
        <v>0.64869681567943316</v>
      </c>
      <c r="AF31" s="49">
        <f t="shared" si="25"/>
        <v>64.869681567943317</v>
      </c>
      <c r="AN31">
        <f>S38</f>
        <v>225.82224162728801</v>
      </c>
      <c r="AO31">
        <f>S38</f>
        <v>225.82224162728801</v>
      </c>
      <c r="BI31" s="49">
        <f t="shared" si="28"/>
        <v>263.71777759167298</v>
      </c>
      <c r="BJ31" s="49">
        <f t="shared" si="26"/>
        <v>6</v>
      </c>
    </row>
    <row r="32" spans="1:63" x14ac:dyDescent="0.25">
      <c r="I32" s="2">
        <v>2833.6328501948929</v>
      </c>
      <c r="J32">
        <v>0.113267386368</v>
      </c>
      <c r="K32" s="49">
        <f t="shared" si="27"/>
        <v>320.95818686808201</v>
      </c>
      <c r="AC32" s="49"/>
      <c r="AD32" s="49">
        <f>(AN10/AN10)*AJ10</f>
        <v>297.14405065642262</v>
      </c>
      <c r="AE32" s="49">
        <f>AD32/AJ10</f>
        <v>1</v>
      </c>
      <c r="AF32" s="49">
        <f t="shared" si="25"/>
        <v>100</v>
      </c>
      <c r="AN32">
        <f>U38</f>
        <v>229.6953</v>
      </c>
      <c r="AO32">
        <f>R38</f>
        <v>235.27745326681034</v>
      </c>
      <c r="AQ32" s="49" t="s">
        <v>273</v>
      </c>
      <c r="BI32" s="49">
        <f t="shared" si="28"/>
        <v>264.71777759167298</v>
      </c>
      <c r="BJ32" s="49">
        <f t="shared" si="26"/>
        <v>7</v>
      </c>
    </row>
    <row r="33" spans="9:62" x14ac:dyDescent="0.25">
      <c r="I33" s="2">
        <v>2833.6328501948929</v>
      </c>
      <c r="J33">
        <v>0.113267386368</v>
      </c>
      <c r="K33" s="49">
        <f t="shared" si="27"/>
        <v>320.95818686808201</v>
      </c>
      <c r="Q33" s="80"/>
      <c r="R33" s="80" t="s">
        <v>253</v>
      </c>
      <c r="S33" s="80" t="s">
        <v>254</v>
      </c>
      <c r="T33" s="80" t="s">
        <v>255</v>
      </c>
      <c r="AC33" s="49">
        <v>5</v>
      </c>
      <c r="AD33" s="49">
        <f>(AM12/AN12)*AJ12</f>
        <v>293.46312046336806</v>
      </c>
      <c r="AE33" s="49">
        <f>AD33/AJ12</f>
        <v>0.98313827765430117</v>
      </c>
      <c r="AF33" s="49">
        <f t="shared" si="25"/>
        <v>98.313827765430119</v>
      </c>
      <c r="AQ33" s="73" t="str">
        <f>CONCATENATE(AQ21,";",AQ22,";",AQ23,";",AQ24,";",AQ25,";",AQ26,";",AQ27,";",AQ28,";")</f>
        <v>LCM_CORR1=((0.131947098207342*L1) + 223.712664681996000);LCM_CORR2=((0.106363253914283*L2) + 241.878567319069000);LCM_CORR3=((0.158660046690167*L3) + 176.109308544352000);LCM_CORR4=((0.072410625061040*L4) + 195.442812055721000);LCM_CORR5=((2.441277855795490*L5)- 325.472596204063000);LCM_CORR6=((0.067424161973295*L6) + 199.894324106874000);LCM_CORR7=((0.221962408359595*L7)+ 179.279017685021000);LCM_CORR8=((0.674221220324884*L8) + 76.788384319397700);</v>
      </c>
      <c r="BI33" s="49">
        <f t="shared" si="28"/>
        <v>265.71777759167298</v>
      </c>
      <c r="BJ33" s="49">
        <f t="shared" si="26"/>
        <v>8</v>
      </c>
    </row>
    <row r="34" spans="9:62" x14ac:dyDescent="0.25">
      <c r="I34" s="2">
        <v>2851.9975031210979</v>
      </c>
      <c r="J34">
        <v>0.113267386368</v>
      </c>
      <c r="K34" s="49">
        <f t="shared" si="27"/>
        <v>323.03830310658867</v>
      </c>
      <c r="Q34" s="80">
        <v>1</v>
      </c>
      <c r="R34" s="80">
        <f>(AM4*(U28/100))+AM4</f>
        <v>260.63522325272015</v>
      </c>
      <c r="S34" s="80">
        <f>AM4</f>
        <v>257.71777759167298</v>
      </c>
      <c r="T34" s="80">
        <f>R34-S34</f>
        <v>2.917445661047168</v>
      </c>
      <c r="U34">
        <f>AN4</f>
        <v>279.82850000000002</v>
      </c>
      <c r="AC34" s="49"/>
      <c r="AD34" s="49">
        <f>(AN12/AN12)*AJ12</f>
        <v>298.49628188981762</v>
      </c>
      <c r="AE34" s="49">
        <f>AD34/AJ12</f>
        <v>1</v>
      </c>
      <c r="AF34" s="49">
        <f t="shared" si="25"/>
        <v>100</v>
      </c>
      <c r="BI34" s="49">
        <f t="shared" si="28"/>
        <v>266.71777759167298</v>
      </c>
      <c r="BJ34" s="49">
        <f t="shared" si="26"/>
        <v>9</v>
      </c>
    </row>
    <row r="35" spans="9:62" x14ac:dyDescent="0.25">
      <c r="I35" s="2">
        <v>2851.9975031210979</v>
      </c>
      <c r="J35">
        <v>0.113267386368</v>
      </c>
      <c r="K35" s="49">
        <f t="shared" si="27"/>
        <v>323.03830310658867</v>
      </c>
      <c r="Q35" s="80">
        <v>2</v>
      </c>
      <c r="R35" s="80">
        <f>(AM6*(U28/100))+AM6</f>
        <v>273.73170278504932</v>
      </c>
      <c r="S35" s="80">
        <f>AM6</f>
        <v>270.66766040959902</v>
      </c>
      <c r="T35" s="80">
        <f t="shared" ref="T35:T41" si="31">R35-S35</f>
        <v>3.064042375450299</v>
      </c>
      <c r="U35" s="49">
        <f>AN6</f>
        <v>299.47500000000002</v>
      </c>
      <c r="AC35" s="49">
        <v>6</v>
      </c>
      <c r="AD35" s="49">
        <f>(AM14/AN14)*AJ14</f>
        <v>185.37447233274779</v>
      </c>
      <c r="AE35" s="49">
        <f>AD35/AJ14</f>
        <v>0.61690457046463887</v>
      </c>
      <c r="AF35" s="49">
        <f t="shared" si="25"/>
        <v>61.690457046463884</v>
      </c>
      <c r="AQ35" s="49" t="s">
        <v>208</v>
      </c>
      <c r="AR35" s="49" t="s">
        <v>209</v>
      </c>
      <c r="BI35" s="49">
        <f t="shared" si="28"/>
        <v>267.71777759167298</v>
      </c>
      <c r="BJ35" s="49">
        <f t="shared" si="26"/>
        <v>10</v>
      </c>
    </row>
    <row r="36" spans="9:62" x14ac:dyDescent="0.25">
      <c r="I36" s="2">
        <v>2905.3129312762044</v>
      </c>
      <c r="J36">
        <v>0.113267386368</v>
      </c>
      <c r="K36" s="49">
        <f t="shared" si="27"/>
        <v>329.07720230680849</v>
      </c>
      <c r="Q36" s="80">
        <v>3</v>
      </c>
      <c r="R36" s="80">
        <f>(AM8*(U31/100))+AM8</f>
        <v>217.52833876506068</v>
      </c>
      <c r="S36" s="80">
        <f>AM8</f>
        <v>209.320035083958</v>
      </c>
      <c r="T36" s="80">
        <f t="shared" si="31"/>
        <v>8.2083036811026773</v>
      </c>
      <c r="U36" s="49">
        <f>AN8</f>
        <v>261.05520000000001</v>
      </c>
      <c r="AC36" s="49"/>
      <c r="AD36" s="49">
        <f>(AN14/AN14)*AJ14</f>
        <v>300.49132590009481</v>
      </c>
      <c r="AE36" s="49">
        <f>AD36/AJ14</f>
        <v>1</v>
      </c>
      <c r="AF36" s="49">
        <f t="shared" si="25"/>
        <v>100</v>
      </c>
      <c r="BI36" s="49">
        <f t="shared" si="28"/>
        <v>268.71777759167298</v>
      </c>
      <c r="BJ36" s="49">
        <f t="shared" si="26"/>
        <v>11</v>
      </c>
    </row>
    <row r="37" spans="9:62" x14ac:dyDescent="0.25">
      <c r="I37" s="2">
        <v>2905.3129312762044</v>
      </c>
      <c r="J37">
        <v>0.113267386368</v>
      </c>
      <c r="K37" s="49">
        <f t="shared" si="27"/>
        <v>329.07720230680849</v>
      </c>
      <c r="Q37" s="80">
        <v>4</v>
      </c>
      <c r="R37" s="80">
        <f>(AM10*(U31/100))+AM10</f>
        <v>218.96211616442238</v>
      </c>
      <c r="S37" s="80">
        <f>AM10</f>
        <v>210.699709738032</v>
      </c>
      <c r="T37" s="80">
        <f t="shared" si="31"/>
        <v>8.2624064263903847</v>
      </c>
      <c r="U37" s="49">
        <f>AN10</f>
        <v>324.80459999999999</v>
      </c>
      <c r="AC37">
        <v>7</v>
      </c>
      <c r="AD37" s="49">
        <f>(AM16/AN16)*AJ16</f>
        <v>260.78968765384008</v>
      </c>
      <c r="AE37" s="49">
        <f>AD37/AJ16</f>
        <v>0.85851712101232724</v>
      </c>
      <c r="AF37" s="49">
        <f t="shared" si="25"/>
        <v>85.851712101232721</v>
      </c>
      <c r="BI37" s="49">
        <f t="shared" si="28"/>
        <v>269.71777759167298</v>
      </c>
      <c r="BJ37" s="49">
        <f t="shared" si="26"/>
        <v>12</v>
      </c>
    </row>
    <row r="38" spans="9:62" x14ac:dyDescent="0.25">
      <c r="I38" s="2">
        <v>2868.4053323770172</v>
      </c>
      <c r="J38">
        <v>0.113267386368</v>
      </c>
      <c r="K38" s="49">
        <f t="shared" si="27"/>
        <v>324.89677504237909</v>
      </c>
      <c r="O38" s="49" t="s">
        <v>99</v>
      </c>
      <c r="P38" s="49" t="s">
        <v>66</v>
      </c>
      <c r="Q38" s="80">
        <v>5</v>
      </c>
      <c r="R38" s="80">
        <f>(AM12*(U30/100))+AM12</f>
        <v>235.27745326681034</v>
      </c>
      <c r="S38" s="80">
        <f>AM12</f>
        <v>225.82224162728801</v>
      </c>
      <c r="T38" s="80">
        <f t="shared" si="31"/>
        <v>9.4552116395223322</v>
      </c>
      <c r="U38" s="49">
        <f>AN12</f>
        <v>229.6953</v>
      </c>
      <c r="AD38" s="49">
        <f>(AN16/AN16)*AJ16</f>
        <v>303.76760261499254</v>
      </c>
      <c r="AE38" s="49">
        <f>AD38/AJ16</f>
        <v>1</v>
      </c>
      <c r="AF38" s="49">
        <f t="shared" si="25"/>
        <v>100</v>
      </c>
      <c r="AQ38" s="49" t="s">
        <v>208</v>
      </c>
      <c r="BI38" s="49">
        <f t="shared" si="28"/>
        <v>270.71777759167298</v>
      </c>
      <c r="BJ38" s="49">
        <f t="shared" si="26"/>
        <v>13</v>
      </c>
    </row>
    <row r="39" spans="9:62" x14ac:dyDescent="0.25">
      <c r="I39" s="2">
        <v>2868.4053323770172</v>
      </c>
      <c r="J39">
        <v>0.113267386368</v>
      </c>
      <c r="K39" s="49">
        <f t="shared" si="27"/>
        <v>324.89677504237909</v>
      </c>
      <c r="O39" s="49" t="s">
        <v>100</v>
      </c>
      <c r="P39" s="49" t="s">
        <v>66</v>
      </c>
      <c r="Q39" s="80">
        <v>6</v>
      </c>
      <c r="R39" s="80">
        <f>(AM14*(U30/100))+AM14</f>
        <v>223.32117282047295</v>
      </c>
      <c r="S39" s="80">
        <f>AM14</f>
        <v>214.34645414987699</v>
      </c>
      <c r="T39" s="80">
        <f t="shared" si="31"/>
        <v>8.9747186705959621</v>
      </c>
      <c r="U39" s="49">
        <f>AN14</f>
        <v>347.45479999999998</v>
      </c>
      <c r="AC39">
        <v>8</v>
      </c>
      <c r="AD39" s="49">
        <f>(AM18/AN18)*AJ18</f>
        <v>287.25526350922206</v>
      </c>
      <c r="AE39" s="49">
        <f>AD39/AJ18</f>
        <v>0.94853799856389165</v>
      </c>
      <c r="AF39" s="49">
        <f t="shared" si="25"/>
        <v>94.853799856389159</v>
      </c>
      <c r="AQ39" s="73" t="s">
        <v>272</v>
      </c>
      <c r="BI39" s="49">
        <f t="shared" si="28"/>
        <v>271.71777759167298</v>
      </c>
      <c r="BJ39" s="49">
        <f t="shared" si="26"/>
        <v>14</v>
      </c>
    </row>
    <row r="40" spans="9:62" x14ac:dyDescent="0.25">
      <c r="O40" s="49" t="s">
        <v>101</v>
      </c>
      <c r="P40" s="49" t="s">
        <v>65</v>
      </c>
      <c r="Q40" s="80">
        <v>7</v>
      </c>
      <c r="R40" s="80">
        <f>(AM16*(U29/100))+AM16</f>
        <v>238.85337294888052</v>
      </c>
      <c r="S40" s="80">
        <f>AM16</f>
        <v>230.42462165231501</v>
      </c>
      <c r="T40" s="80">
        <f t="shared" si="31"/>
        <v>8.4287512965655083</v>
      </c>
      <c r="U40" s="49">
        <f>AN16</f>
        <v>268.39839999999998</v>
      </c>
      <c r="AD40" s="49">
        <f>(AN18/AN18)*AJ18</f>
        <v>302.8400168935068</v>
      </c>
      <c r="AE40" s="49">
        <f>AD40/AJ18</f>
        <v>1</v>
      </c>
      <c r="AF40" s="49">
        <f t="shared" si="25"/>
        <v>100</v>
      </c>
      <c r="BI40" s="49">
        <f t="shared" si="28"/>
        <v>272.71777759167298</v>
      </c>
      <c r="BJ40" s="49">
        <f t="shared" si="26"/>
        <v>15</v>
      </c>
    </row>
    <row r="41" spans="9:62" x14ac:dyDescent="0.25">
      <c r="O41" s="49" t="s">
        <v>102</v>
      </c>
      <c r="P41" s="49" t="s">
        <v>65</v>
      </c>
      <c r="Q41" s="80">
        <v>8</v>
      </c>
      <c r="R41" s="80">
        <f>(AM18*(U29/100))+AM18</f>
        <v>244.32912130826335</v>
      </c>
      <c r="S41" s="80">
        <f>AM18</f>
        <v>235.70713966073399</v>
      </c>
      <c r="T41" s="80">
        <f t="shared" si="31"/>
        <v>8.6219816475293669</v>
      </c>
      <c r="U41" s="49">
        <f>AN18</f>
        <v>248.49520000000001</v>
      </c>
      <c r="AD41" s="49"/>
      <c r="AE41" s="49"/>
      <c r="AF41" s="49"/>
      <c r="BI41" s="49">
        <f t="shared" si="28"/>
        <v>273.71777759167298</v>
      </c>
      <c r="BJ41" s="49">
        <f t="shared" si="26"/>
        <v>16</v>
      </c>
    </row>
    <row r="42" spans="9:62" x14ac:dyDescent="0.25">
      <c r="O42" s="49" t="s">
        <v>103</v>
      </c>
      <c r="P42" s="49" t="s">
        <v>67</v>
      </c>
      <c r="T42" s="49"/>
      <c r="AD42" s="49"/>
      <c r="AE42" s="49"/>
      <c r="AF42" s="49"/>
      <c r="BI42" s="49">
        <f t="shared" si="28"/>
        <v>274.71777759167298</v>
      </c>
      <c r="BJ42" s="49">
        <f t="shared" si="26"/>
        <v>17</v>
      </c>
    </row>
    <row r="43" spans="9:62" x14ac:dyDescent="0.25">
      <c r="O43" s="49" t="s">
        <v>104</v>
      </c>
      <c r="P43" s="49" t="s">
        <v>67</v>
      </c>
      <c r="T43" s="80">
        <f>T34/1000</f>
        <v>2.9174456610471678E-3</v>
      </c>
      <c r="BI43" s="49">
        <f t="shared" si="28"/>
        <v>275.71777759167298</v>
      </c>
      <c r="BJ43" s="49">
        <f t="shared" si="26"/>
        <v>18</v>
      </c>
    </row>
    <row r="44" spans="9:62" x14ac:dyDescent="0.25">
      <c r="O44" s="49" t="s">
        <v>105</v>
      </c>
      <c r="P44" s="49" t="s">
        <v>68</v>
      </c>
      <c r="T44" s="49">
        <f>T43/T58</f>
        <v>0.33531715094929349</v>
      </c>
      <c r="AZ44">
        <f>((BI25*$AO$49)*$AO$47)+$AO$48</f>
        <v>-5.1576770362237312</v>
      </c>
      <c r="BA44">
        <f>($AO$49*(((BI25)*$AO$47)+$AO$48))</f>
        <v>2.9434717661177459E-12</v>
      </c>
      <c r="BI44" s="49">
        <f t="shared" si="28"/>
        <v>276.71777759167298</v>
      </c>
      <c r="BJ44" s="49">
        <f t="shared" si="26"/>
        <v>19</v>
      </c>
    </row>
    <row r="45" spans="9:62" x14ac:dyDescent="0.25">
      <c r="O45" s="49" t="s">
        <v>106</v>
      </c>
      <c r="P45" s="49" t="s">
        <v>68</v>
      </c>
      <c r="T45" s="49"/>
      <c r="AJ45" s="70"/>
      <c r="AK45" s="70"/>
      <c r="AL45" s="72"/>
      <c r="AM45" s="70"/>
      <c r="AN45" s="70"/>
      <c r="AO45" s="70"/>
      <c r="AP45" s="70"/>
      <c r="AQ45" s="70"/>
      <c r="AR45" s="70"/>
      <c r="AS45" s="70"/>
      <c r="AZ45" s="49">
        <f>((BI26*$AO$49)*$AO$47)+$AO$48</f>
        <v>-0.40171858791018167</v>
      </c>
      <c r="BA45" s="49">
        <f t="shared" ref="BA45:BA65" si="32">($AO$49*(((BI26)*$AO$47)+$AO$48))</f>
        <v>4.7559584483164574</v>
      </c>
      <c r="BI45" s="49">
        <f t="shared" si="28"/>
        <v>277.71777759167298</v>
      </c>
      <c r="BJ45" s="49">
        <f t="shared" si="26"/>
        <v>20</v>
      </c>
    </row>
    <row r="46" spans="9:62" x14ac:dyDescent="0.25">
      <c r="O46" s="49" t="s">
        <v>107</v>
      </c>
      <c r="P46" s="49" t="s">
        <v>69</v>
      </c>
      <c r="T46" s="49"/>
      <c r="AJ46" s="70" t="s">
        <v>178</v>
      </c>
      <c r="AK46" s="70"/>
      <c r="AL46" s="72"/>
      <c r="AM46" s="70"/>
      <c r="AN46" s="70"/>
      <c r="AO46" s="70" t="s">
        <v>178</v>
      </c>
      <c r="AP46" s="70"/>
      <c r="AQ46" s="70"/>
      <c r="AR46" s="70"/>
      <c r="AS46" s="70"/>
      <c r="AZ46" s="49">
        <f t="shared" ref="AZ46:AZ65" si="33">((BI27*$AO$49)*$AO$47)+$AO$48</f>
        <v>4.3542398604033679</v>
      </c>
      <c r="BA46" s="49">
        <f t="shared" si="32"/>
        <v>9.5119168966301988</v>
      </c>
      <c r="BI46" s="49">
        <f t="shared" si="28"/>
        <v>278.71777759167298</v>
      </c>
      <c r="BJ46" s="49">
        <f t="shared" si="26"/>
        <v>21</v>
      </c>
    </row>
    <row r="47" spans="9:62" x14ac:dyDescent="0.25">
      <c r="O47" s="49" t="s">
        <v>108</v>
      </c>
      <c r="P47" s="49" t="s">
        <v>69</v>
      </c>
      <c r="S47" s="75">
        <v>257.71777759167298</v>
      </c>
      <c r="T47" s="49"/>
      <c r="AJ47" s="70">
        <v>4.7759713363821996</v>
      </c>
      <c r="AK47" s="70"/>
      <c r="AL47" s="72"/>
      <c r="AM47" s="70"/>
      <c r="AN47" s="70"/>
      <c r="AO47" s="70">
        <v>4.7759713363821996</v>
      </c>
      <c r="AP47" s="70"/>
      <c r="AQ47" s="70"/>
      <c r="AR47" s="70"/>
      <c r="AS47" s="70"/>
      <c r="AW47">
        <f>((AM4*AO49)*AO47)+AO48</f>
        <v>-5.1576770362237312</v>
      </c>
      <c r="AZ47" s="49">
        <f t="shared" si="33"/>
        <v>9.1101983087169174</v>
      </c>
      <c r="BA47" s="49">
        <f t="shared" si="32"/>
        <v>14.267875344943713</v>
      </c>
      <c r="BI47" s="49"/>
      <c r="BJ47" s="49"/>
    </row>
    <row r="48" spans="9:62" x14ac:dyDescent="0.25">
      <c r="O48" s="49" t="s">
        <v>109</v>
      </c>
      <c r="P48" s="49" t="s">
        <v>70</v>
      </c>
      <c r="S48" s="75">
        <v>270.66766040959902</v>
      </c>
      <c r="T48" s="49"/>
      <c r="AJ48" s="70">
        <v>-1230.85271865395</v>
      </c>
      <c r="AK48" s="70"/>
      <c r="AL48" s="72"/>
      <c r="AM48" s="70"/>
      <c r="AN48" s="70"/>
      <c r="AO48" s="70">
        <v>-1230.85271865395</v>
      </c>
      <c r="AP48" s="70"/>
      <c r="AQ48" s="70"/>
      <c r="AR48" s="70"/>
      <c r="AS48" s="70"/>
      <c r="AW48">
        <f>((AN4*AO49)*AO47)+AO48</f>
        <v>99.999999999976353</v>
      </c>
      <c r="AZ48" s="49">
        <f t="shared" si="33"/>
        <v>13.866156757030694</v>
      </c>
      <c r="BA48" s="49">
        <f t="shared" si="32"/>
        <v>19.023833793257452</v>
      </c>
      <c r="BI48" s="49"/>
      <c r="BJ48" s="49"/>
    </row>
    <row r="49" spans="15:53" x14ac:dyDescent="0.25">
      <c r="O49" s="49" t="s">
        <v>110</v>
      </c>
      <c r="P49" s="49" t="s">
        <v>70</v>
      </c>
      <c r="S49" s="75">
        <v>209.320035083958</v>
      </c>
      <c r="T49" s="49"/>
      <c r="AJ49" s="70">
        <v>0.99580967165440626</v>
      </c>
      <c r="AK49" s="70"/>
      <c r="AL49" s="72"/>
      <c r="AM49" s="70"/>
      <c r="AN49" s="70"/>
      <c r="AO49" s="70">
        <v>0.99580967165440626</v>
      </c>
      <c r="AP49" s="70"/>
      <c r="AQ49" s="70"/>
      <c r="AR49" s="70"/>
      <c r="AS49" s="70"/>
      <c r="AZ49" s="49">
        <f t="shared" si="33"/>
        <v>18.622115205344244</v>
      </c>
      <c r="BA49" s="49">
        <f t="shared" si="32"/>
        <v>23.779792241570966</v>
      </c>
    </row>
    <row r="50" spans="15:53" x14ac:dyDescent="0.25">
      <c r="O50" s="49" t="s">
        <v>111</v>
      </c>
      <c r="P50" s="49" t="s">
        <v>71</v>
      </c>
      <c r="S50" s="75">
        <v>210.699709738032</v>
      </c>
      <c r="T50" s="49"/>
      <c r="AJ50" s="70"/>
      <c r="AK50" s="70"/>
      <c r="AL50" s="72"/>
      <c r="AM50" s="70"/>
      <c r="AN50" s="70"/>
      <c r="AO50" s="70"/>
      <c r="AP50" s="70"/>
      <c r="AQ50" s="70"/>
      <c r="AR50" s="70"/>
      <c r="AS50" s="70"/>
      <c r="AZ50" s="49">
        <f t="shared" si="33"/>
        <v>23.378073653657793</v>
      </c>
      <c r="BA50" s="49">
        <f t="shared" si="32"/>
        <v>28.535750689884708</v>
      </c>
    </row>
    <row r="51" spans="15:53" x14ac:dyDescent="0.25">
      <c r="O51" s="49" t="s">
        <v>112</v>
      </c>
      <c r="P51" s="49" t="s">
        <v>71</v>
      </c>
      <c r="S51" s="75">
        <v>225.82224162728801</v>
      </c>
      <c r="T51" s="49"/>
      <c r="AM51" t="s">
        <v>197</v>
      </c>
      <c r="AZ51" s="49">
        <f t="shared" si="33"/>
        <v>28.134032101971343</v>
      </c>
      <c r="BA51" s="49">
        <f t="shared" si="32"/>
        <v>33.291709138198222</v>
      </c>
    </row>
    <row r="52" spans="15:53" x14ac:dyDescent="0.25">
      <c r="O52" s="49" t="s">
        <v>113</v>
      </c>
      <c r="P52" s="49" t="s">
        <v>72</v>
      </c>
      <c r="S52" s="75">
        <v>214.34645414987699</v>
      </c>
      <c r="T52" s="49"/>
      <c r="AM52" s="70">
        <v>1</v>
      </c>
      <c r="AN52" s="70" t="s">
        <v>178</v>
      </c>
      <c r="AO52" s="70"/>
      <c r="AP52" s="70"/>
      <c r="AQ52" s="70"/>
      <c r="AR52" s="70"/>
      <c r="AS52" s="70"/>
      <c r="AT52" s="70" t="str">
        <f>LEFT(AN52,17)</f>
        <v>4.775971336382200</v>
      </c>
      <c r="AU52" s="70" t="str">
        <f>RIGHT(AN52,23)</f>
        <v xml:space="preserve"> - 1230.852718653950000</v>
      </c>
      <c r="AV52" s="70"/>
      <c r="AW52" s="70"/>
      <c r="AZ52" s="49">
        <f t="shared" si="33"/>
        <v>32.88999055028512</v>
      </c>
      <c r="BA52" s="49">
        <f t="shared" si="32"/>
        <v>38.047667586511736</v>
      </c>
    </row>
    <row r="53" spans="15:53" x14ac:dyDescent="0.25">
      <c r="O53" s="49" t="s">
        <v>114</v>
      </c>
      <c r="P53" s="49" t="s">
        <v>72</v>
      </c>
      <c r="S53" s="75">
        <v>230.42462165231501</v>
      </c>
      <c r="T53" s="49"/>
      <c r="AM53" s="70">
        <v>2</v>
      </c>
      <c r="AN53" s="70" t="s">
        <v>182</v>
      </c>
      <c r="AO53" s="70"/>
      <c r="AP53" s="70"/>
      <c r="AQ53" s="70"/>
      <c r="AR53" s="70"/>
      <c r="AS53" s="70"/>
      <c r="AT53" s="70" t="str">
        <f>LEFT(AN53,17)</f>
        <v>3.471337562644100</v>
      </c>
      <c r="AU53" s="70" t="str">
        <f>RIGHT(AN53,22)</f>
        <v xml:space="preserve"> - 939.578816572846000</v>
      </c>
      <c r="AV53" s="70"/>
      <c r="AW53" s="70"/>
      <c r="AZ53" s="49">
        <f t="shared" si="33"/>
        <v>37.645948998598669</v>
      </c>
      <c r="BA53" s="49">
        <f t="shared" si="32"/>
        <v>42.803626034825477</v>
      </c>
    </row>
    <row r="54" spans="15:53" x14ac:dyDescent="0.25">
      <c r="S54" s="75">
        <v>235.70713966073399</v>
      </c>
      <c r="AM54" s="70">
        <v>3</v>
      </c>
      <c r="AN54" s="70" t="s">
        <v>188</v>
      </c>
      <c r="AO54" s="70"/>
      <c r="AP54" s="70"/>
      <c r="AQ54" s="70"/>
      <c r="AR54" s="70"/>
      <c r="AS54" s="70"/>
      <c r="AT54" s="70" t="str">
        <f>LEFT(AN54,17)</f>
        <v>1.932921256988070</v>
      </c>
      <c r="AU54" s="70" t="str">
        <f>RIGHT(AN54,22)</f>
        <v xml:space="preserve"> - 404.599145327271000</v>
      </c>
      <c r="AV54" s="70"/>
      <c r="AW54" s="70"/>
      <c r="AZ54" s="49">
        <f t="shared" si="33"/>
        <v>42.401907446912446</v>
      </c>
      <c r="BA54" s="49">
        <f t="shared" si="32"/>
        <v>47.559584483138991</v>
      </c>
    </row>
    <row r="55" spans="15:53" x14ac:dyDescent="0.25">
      <c r="AM55" s="70">
        <v>4</v>
      </c>
      <c r="AN55" s="70" t="s">
        <v>187</v>
      </c>
      <c r="AO55" s="70"/>
      <c r="AP55" s="70"/>
      <c r="AQ55" s="70"/>
      <c r="AR55" s="70"/>
      <c r="AS55" s="70"/>
      <c r="AT55" s="70" t="str">
        <f>LEFT(AN55,17)</f>
        <v>0.876386627868579</v>
      </c>
      <c r="AU55" s="70" t="str">
        <f>RIGHT(AN55,22)</f>
        <v xml:space="preserve"> - 184.654408110202000</v>
      </c>
      <c r="AV55" s="70"/>
      <c r="AW55" s="70"/>
      <c r="AZ55" s="49">
        <f t="shared" si="33"/>
        <v>47.157865895225996</v>
      </c>
      <c r="BA55" s="49">
        <f t="shared" si="32"/>
        <v>52.315542931452732</v>
      </c>
    </row>
    <row r="56" spans="15:53" x14ac:dyDescent="0.25">
      <c r="AM56" s="70">
        <v>5</v>
      </c>
      <c r="AN56" s="70" t="s">
        <v>186</v>
      </c>
      <c r="AO56" s="70"/>
      <c r="AP56" s="70"/>
      <c r="AQ56" s="70"/>
      <c r="AR56" s="70"/>
      <c r="AS56" s="70"/>
      <c r="AT56" s="70" t="str">
        <f t="shared" ref="AT56" si="34">LEFT(AN56,18)</f>
        <v>25.819388807645700</v>
      </c>
      <c r="AU56" s="70" t="str">
        <f t="shared" ref="AU56:AU59" si="35">RIGHT(AN56,23)</f>
        <v xml:space="preserve"> - 5830.592257988930000</v>
      </c>
      <c r="AV56" s="70"/>
      <c r="AW56" s="70"/>
      <c r="AZ56" s="49">
        <f t="shared" si="33"/>
        <v>51.913824343539545</v>
      </c>
      <c r="BA56" s="49">
        <f t="shared" si="32"/>
        <v>57.071501379766246</v>
      </c>
    </row>
    <row r="57" spans="15:53" x14ac:dyDescent="0.25">
      <c r="T57" t="s">
        <v>275</v>
      </c>
      <c r="U57" s="73" t="str">
        <f>CONCATENATE(S78,R70,",",T58,",",R71,",",T59,",",R72,",",T60,",",R73,",",T61,",",R74,",",T62,",",R75,",",T63,",",R76,",",T64,",",R77,",",T65)</f>
        <v>SV= Struct('SV1',0.00870055603415389,'SV2',0.0073725942014144,'SV3',0.0367527592761475,'SV4',0.0359207410331017,'SV5',0.0301986845219173,'SV6',0.03579630079418,'SV7',0.0304766535063672,'SV8',0.0278961314559854</v>
      </c>
      <c r="Y57" t="s">
        <v>242</v>
      </c>
      <c r="AM57" s="70">
        <v>6</v>
      </c>
      <c r="AN57" s="71" t="s">
        <v>183</v>
      </c>
      <c r="AO57" s="70"/>
      <c r="AP57" s="70"/>
      <c r="AQ57" s="70"/>
      <c r="AR57" s="70"/>
      <c r="AS57" s="70"/>
      <c r="AT57" s="70" t="str">
        <f>LEFT(AN57,17)</f>
        <v>0.751267693707183</v>
      </c>
      <c r="AU57" s="70" t="str">
        <f>RIGHT(AN57,22)</f>
        <v xml:space="preserve"> - 161.031566263491000</v>
      </c>
      <c r="AV57" s="70"/>
      <c r="AW57" s="70"/>
      <c r="AZ57" s="49">
        <f t="shared" si="33"/>
        <v>56.669782791853095</v>
      </c>
      <c r="BA57" s="49">
        <f t="shared" si="32"/>
        <v>61.827459828079988</v>
      </c>
    </row>
    <row r="58" spans="15:53" x14ac:dyDescent="0.25">
      <c r="R58" s="76" t="s">
        <v>320</v>
      </c>
      <c r="S58" s="80">
        <v>1</v>
      </c>
      <c r="T58" s="49">
        <v>8.7005560341538949E-3</v>
      </c>
      <c r="AM58" s="70">
        <v>7</v>
      </c>
      <c r="AN58" s="70" t="s">
        <v>185</v>
      </c>
      <c r="AO58" s="70"/>
      <c r="AP58" s="70"/>
      <c r="AQ58" s="70"/>
      <c r="AR58" s="70"/>
      <c r="AS58" s="70"/>
      <c r="AT58" s="70" t="str">
        <f>LEFT(AN58,17)</f>
        <v>2.633396105186290</v>
      </c>
      <c r="AU58" s="70" t="str">
        <f>RIGHT(AN58,22)</f>
        <v xml:space="preserve"> - 606.799301198232000</v>
      </c>
      <c r="AV58" s="70"/>
      <c r="AW58" s="70"/>
      <c r="AZ58" s="49">
        <f t="shared" si="33"/>
        <v>61.425741240166644</v>
      </c>
      <c r="BA58" s="49">
        <f t="shared" si="32"/>
        <v>66.583418276393502</v>
      </c>
    </row>
    <row r="59" spans="15:53" x14ac:dyDescent="0.25">
      <c r="R59" s="76" t="s">
        <v>321</v>
      </c>
      <c r="S59" s="80">
        <v>2</v>
      </c>
      <c r="T59" s="49">
        <v>7.3725942014144039E-3</v>
      </c>
      <c r="AM59" s="70">
        <v>8</v>
      </c>
      <c r="AN59" s="70" t="s">
        <v>184</v>
      </c>
      <c r="AO59" s="70"/>
      <c r="AP59" s="70"/>
      <c r="AQ59" s="70"/>
      <c r="AR59" s="70"/>
      <c r="AS59" s="70"/>
      <c r="AT59" s="70" t="str">
        <f>LEFT(AN59,17)</f>
        <v>7.819794194505480</v>
      </c>
      <c r="AU59" s="70" t="str">
        <f t="shared" si="35"/>
        <v xml:space="preserve"> - 1843.181322322490000</v>
      </c>
      <c r="AV59" s="70"/>
      <c r="AW59" s="70"/>
      <c r="AZ59" s="49">
        <f t="shared" si="33"/>
        <v>66.181699688480194</v>
      </c>
      <c r="BA59" s="49">
        <f t="shared" si="32"/>
        <v>71.339376724707236</v>
      </c>
    </row>
    <row r="60" spans="15:53" x14ac:dyDescent="0.25">
      <c r="R60" s="76" t="s">
        <v>322</v>
      </c>
      <c r="S60" s="80">
        <v>3</v>
      </c>
      <c r="T60" s="49">
        <v>3.675275927614749E-2</v>
      </c>
      <c r="AZ60" s="49">
        <f t="shared" si="33"/>
        <v>70.937658136794198</v>
      </c>
      <c r="BA60" s="49">
        <f t="shared" si="32"/>
        <v>76.095335173020757</v>
      </c>
    </row>
    <row r="61" spans="15:53" x14ac:dyDescent="0.25">
      <c r="R61" s="76" t="s">
        <v>323</v>
      </c>
      <c r="S61" s="80">
        <v>4</v>
      </c>
      <c r="T61" s="49">
        <v>3.5920741033101708E-2</v>
      </c>
      <c r="AZ61" s="49">
        <f t="shared" si="33"/>
        <v>75.693616585107748</v>
      </c>
      <c r="BA61" s="49">
        <f t="shared" si="32"/>
        <v>80.851293621334264</v>
      </c>
    </row>
    <row r="62" spans="15:53" x14ac:dyDescent="0.25">
      <c r="R62" s="76" t="s">
        <v>324</v>
      </c>
      <c r="S62" s="80">
        <v>5</v>
      </c>
      <c r="T62" s="49">
        <v>3.0198684521917277E-2</v>
      </c>
      <c r="AM62" t="s">
        <v>198</v>
      </c>
      <c r="AZ62" s="49">
        <f t="shared" si="33"/>
        <v>80.449575033421297</v>
      </c>
      <c r="BA62" s="49">
        <f t="shared" si="32"/>
        <v>85.607252069648013</v>
      </c>
    </row>
    <row r="63" spans="15:53" x14ac:dyDescent="0.25">
      <c r="R63" s="76" t="s">
        <v>325</v>
      </c>
      <c r="S63" s="80">
        <v>6</v>
      </c>
      <c r="T63" s="49">
        <v>3.5796300794179975E-2</v>
      </c>
      <c r="AM63" s="73">
        <v>1</v>
      </c>
      <c r="AN63" s="73" t="s">
        <v>264</v>
      </c>
      <c r="AO63" s="73"/>
      <c r="AP63" s="73"/>
      <c r="AQ63" s="73"/>
      <c r="AR63" s="73"/>
      <c r="AS63" s="73"/>
      <c r="AT63" s="73" t="str">
        <f>LEFT(AN63,17)</f>
        <v>0.131947098207342</v>
      </c>
      <c r="AU63" s="73" t="str">
        <f>RIGHT(AN63,22)</f>
        <v xml:space="preserve"> + 223.712664681996000</v>
      </c>
      <c r="AV63" s="73"/>
      <c r="AW63" s="73"/>
      <c r="AZ63" s="49">
        <f t="shared" si="33"/>
        <v>85.205533481734847</v>
      </c>
      <c r="BA63" s="49">
        <f t="shared" si="32"/>
        <v>90.363210517961519</v>
      </c>
    </row>
    <row r="64" spans="15:53" x14ac:dyDescent="0.25">
      <c r="R64" s="76" t="s">
        <v>326</v>
      </c>
      <c r="S64" s="80">
        <v>7</v>
      </c>
      <c r="T64" s="49">
        <v>3.0476653506367218E-2</v>
      </c>
      <c r="AM64" s="73">
        <v>2</v>
      </c>
      <c r="AN64" s="73" t="s">
        <v>265</v>
      </c>
      <c r="AO64" s="73"/>
      <c r="AP64" s="73"/>
      <c r="AQ64" s="73"/>
      <c r="AR64" s="73"/>
      <c r="AS64" s="73"/>
      <c r="AT64" s="73" t="str">
        <f>LEFT(AN64,17)</f>
        <v>0.106363253914283</v>
      </c>
      <c r="AU64" s="73" t="str">
        <f>RIGHT(AN64,22)</f>
        <v xml:space="preserve"> + 241.878567319069000</v>
      </c>
      <c r="AV64" s="73"/>
      <c r="AW64" s="73"/>
      <c r="AZ64" s="49">
        <f t="shared" si="33"/>
        <v>89.961491930048396</v>
      </c>
      <c r="BA64" s="49">
        <f t="shared" si="32"/>
        <v>95.119168966275268</v>
      </c>
    </row>
    <row r="65" spans="16:53" x14ac:dyDescent="0.25">
      <c r="R65" s="76" t="s">
        <v>327</v>
      </c>
      <c r="S65" s="80">
        <v>8</v>
      </c>
      <c r="T65" s="49">
        <v>2.7896131455985438E-2</v>
      </c>
      <c r="AM65" s="73">
        <v>3</v>
      </c>
      <c r="AN65" s="73" t="s">
        <v>266</v>
      </c>
      <c r="AO65" s="73"/>
      <c r="AP65" s="73"/>
      <c r="AQ65" s="73"/>
      <c r="AR65" s="73"/>
      <c r="AS65" s="73"/>
      <c r="AT65" s="73" t="str">
        <f>LEFT(AN65,17)</f>
        <v>0.158660046690167</v>
      </c>
      <c r="AU65" s="73" t="str">
        <f>RIGHT(AN65,22)</f>
        <v xml:space="preserve"> + 176.109308544352000</v>
      </c>
      <c r="AV65" s="73"/>
      <c r="AW65" s="73"/>
      <c r="AZ65" s="49">
        <f t="shared" si="33"/>
        <v>94.717450378361946</v>
      </c>
      <c r="BA65" s="49">
        <f t="shared" si="32"/>
        <v>99.875127414588775</v>
      </c>
    </row>
    <row r="66" spans="16:53" x14ac:dyDescent="0.25">
      <c r="U66" s="49"/>
      <c r="V66"/>
      <c r="AK66" s="64"/>
      <c r="AL66" s="73">
        <v>4</v>
      </c>
      <c r="AM66" s="73" t="s">
        <v>267</v>
      </c>
      <c r="AN66" s="73"/>
      <c r="AO66" s="73"/>
      <c r="AP66" s="73"/>
      <c r="AQ66" s="73"/>
      <c r="AR66" s="73"/>
      <c r="AS66" s="73" t="str">
        <f>LEFT(AM66,17)</f>
        <v>0.072410625061040</v>
      </c>
      <c r="AT66" s="73" t="str">
        <f>RIGHT(AM66,22)</f>
        <v xml:space="preserve"> + 195.442812055721000</v>
      </c>
      <c r="AU66" s="73"/>
      <c r="AV66" s="73"/>
      <c r="AY66" s="49"/>
    </row>
    <row r="67" spans="16:53" x14ac:dyDescent="0.25">
      <c r="U67" t="s">
        <v>319</v>
      </c>
      <c r="AM67" s="73">
        <v>5</v>
      </c>
      <c r="AN67" s="73" t="s">
        <v>268</v>
      </c>
      <c r="AO67" s="73"/>
      <c r="AP67" s="73"/>
      <c r="AQ67" s="73"/>
      <c r="AR67" s="73"/>
      <c r="AS67" s="73"/>
      <c r="AT67" s="73" t="str">
        <f>LEFT(AN67,17)</f>
        <v>2.441277855795490</v>
      </c>
      <c r="AU67" s="73" t="str">
        <f>RIGHT(AN67,21)</f>
        <v>- 325.472596204063000</v>
      </c>
      <c r="AV67" s="73"/>
      <c r="AW67" s="73"/>
      <c r="AZ67" s="49"/>
    </row>
    <row r="68" spans="16:53" x14ac:dyDescent="0.25">
      <c r="U68" s="73" t="str">
        <f>CONCATENATE(U67,R58,W70,R59,W71,R60,W72,R61,W73,R62,W74,R63,W75,R64,W76,R65,W77)</f>
        <v>SVWC_F=struct('S1',(MH2O_1a)./(S1_H20_Corr')./(SV.SV1).*100,'S2',(MH2O_2a)./(S2_H20_Corr')./(SV.SV2).*100,'S3',(MH2O_3a)./(S3_H20_Corr')./(SV.SV3).*100,'S4',(MH2O_4a)./(S4_H20_Corr')./(SV.SV4).*100,'S5',(MH2O_5a)./(S5_H20_Corr')./(SV.SV5).*100,'S6',(MH2O_6a)./(S6_H20_Corr')./(SV.SV6).*100,'S7',(MH2O_7a)./(S7_H20_Corr')./(SV.SV7).*100,'S8',(MH2O_8a)./(S8_H20_Corr')./(SV.SV8).*100);</v>
      </c>
      <c r="AM68" s="73">
        <v>6</v>
      </c>
      <c r="AN68" s="74" t="s">
        <v>269</v>
      </c>
      <c r="AO68" s="73"/>
      <c r="AP68" s="73"/>
      <c r="AQ68" s="73"/>
      <c r="AR68" s="73"/>
      <c r="AS68" s="73"/>
      <c r="AT68" s="73" t="str">
        <f>LEFT(AN68,17)</f>
        <v>0.067424161973295</v>
      </c>
      <c r="AU68" s="73" t="str">
        <f>RIGHT(AN68,22)</f>
        <v xml:space="preserve"> + 199.894324106874000</v>
      </c>
      <c r="AV68" s="73"/>
      <c r="AW68" s="73"/>
      <c r="AZ68" s="49"/>
    </row>
    <row r="69" spans="16:53" x14ac:dyDescent="0.25">
      <c r="AM69" s="73">
        <v>7</v>
      </c>
      <c r="AN69" s="73" t="s">
        <v>270</v>
      </c>
      <c r="AO69" s="73"/>
      <c r="AP69" s="73"/>
      <c r="AQ69" s="73"/>
      <c r="AR69" s="73"/>
      <c r="AS69" s="73"/>
      <c r="AT69" s="73" t="str">
        <f>LEFT(AN69,17)</f>
        <v>0.221962408359595</v>
      </c>
      <c r="AU69" s="73" t="str">
        <f>RIGHT(AN69,21)</f>
        <v>+ 179.279017685021000</v>
      </c>
      <c r="AV69" s="73"/>
      <c r="AW69" s="73"/>
      <c r="AZ69" s="49"/>
    </row>
    <row r="70" spans="16:53" x14ac:dyDescent="0.25">
      <c r="P70" t="s">
        <v>311</v>
      </c>
      <c r="Q70" t="s">
        <v>295</v>
      </c>
      <c r="R70" s="76" t="s">
        <v>286</v>
      </c>
      <c r="S70" t="s">
        <v>276</v>
      </c>
      <c r="T70" s="49" t="s">
        <v>303</v>
      </c>
      <c r="U70" t="str">
        <f>CONCATENATE(P70,"=","(",S70,")","./","(",T70,")","./","(",Q70,")",".*","100")</f>
        <v>SVWC1=(MH2O_1a)./(S1_H20_Corr')./(SV.SV1).*100</v>
      </c>
      <c r="W70" t="str">
        <f>CONCATENATE(X70,$S$80)</f>
        <v>(MH2O_1a)./(S1_H20_Corr')./(SV.SV1).*100,</v>
      </c>
      <c r="X70" t="str">
        <f>RIGHT(U70,40)</f>
        <v>(MH2O_1a)./(S1_H20_Corr')./(SV.SV1).*100</v>
      </c>
      <c r="AM70" s="73">
        <v>8</v>
      </c>
      <c r="AN70" s="73" t="s">
        <v>271</v>
      </c>
      <c r="AO70" s="73"/>
      <c r="AP70" s="73"/>
      <c r="AQ70" s="73"/>
      <c r="AR70" s="73"/>
      <c r="AS70" s="73"/>
      <c r="AT70" s="73" t="str">
        <f>LEFT(AN70,17)</f>
        <v>0.674221220324884</v>
      </c>
      <c r="AU70" s="73" t="str">
        <f>RIGHT(AN70,21)</f>
        <v xml:space="preserve"> + 76.788384319397700</v>
      </c>
      <c r="AV70" s="73"/>
      <c r="AW70" s="73"/>
      <c r="AZ70" s="49"/>
    </row>
    <row r="71" spans="16:53" x14ac:dyDescent="0.25">
      <c r="P71" s="49" t="s">
        <v>312</v>
      </c>
      <c r="Q71" s="49" t="s">
        <v>296</v>
      </c>
      <c r="R71" s="76" t="s">
        <v>287</v>
      </c>
      <c r="S71" s="49" t="s">
        <v>277</v>
      </c>
      <c r="T71" s="49" t="s">
        <v>304</v>
      </c>
      <c r="U71" s="49" t="str">
        <f>CONCATENATE(P71,"=","(",S71,")","./","(",T71,")","./","(",Q71,")",".*","100")</f>
        <v>SVWC2=(MH2O_2a)./(S2_H20_Corr')./(SV.SV2).*100</v>
      </c>
      <c r="W71" s="49" t="str">
        <f t="shared" ref="W71:W77" si="36">CONCATENATE(X71,$S$80)</f>
        <v>(MH2O_2a)./(S2_H20_Corr')./(SV.SV2).*100,</v>
      </c>
      <c r="X71" s="49" t="str">
        <f t="shared" ref="X71:X77" si="37">RIGHT(U71,40)</f>
        <v>(MH2O_2a)./(S2_H20_Corr')./(SV.SV2).*100</v>
      </c>
      <c r="AZ71" s="49"/>
    </row>
    <row r="72" spans="16:53" x14ac:dyDescent="0.25">
      <c r="P72" s="49" t="s">
        <v>313</v>
      </c>
      <c r="Q72" s="49" t="s">
        <v>297</v>
      </c>
      <c r="R72" s="76" t="s">
        <v>288</v>
      </c>
      <c r="S72" s="49" t="s">
        <v>278</v>
      </c>
      <c r="T72" s="49" t="s">
        <v>305</v>
      </c>
      <c r="U72" s="49" t="str">
        <f t="shared" ref="U72:U77" si="38">CONCATENATE(P72,"=","(",S72,")","./","(",T72,")","./","(",Q72,")",".*","100")</f>
        <v>SVWC3=(MH2O_3a)./(S3_H20_Corr')./(SV.SV3).*100</v>
      </c>
      <c r="W72" s="49" t="str">
        <f t="shared" si="36"/>
        <v>(MH2O_3a)./(S3_H20_Corr')./(SV.SV3).*100,</v>
      </c>
      <c r="X72" s="49" t="str">
        <f t="shared" si="37"/>
        <v>(MH2O_3a)./(S3_H20_Corr')./(SV.SV3).*100</v>
      </c>
      <c r="AZ72" s="49"/>
    </row>
    <row r="73" spans="16:53" x14ac:dyDescent="0.25">
      <c r="P73" s="49" t="s">
        <v>314</v>
      </c>
      <c r="Q73" s="49" t="s">
        <v>298</v>
      </c>
      <c r="R73" s="76" t="s">
        <v>289</v>
      </c>
      <c r="S73" s="49" t="s">
        <v>279</v>
      </c>
      <c r="T73" s="49" t="s">
        <v>306</v>
      </c>
      <c r="U73" s="49" t="str">
        <f t="shared" si="38"/>
        <v>SVWC4=(MH2O_4a)./(S4_H20_Corr')./(SV.SV4).*100</v>
      </c>
      <c r="W73" s="49" t="str">
        <f t="shared" si="36"/>
        <v>(MH2O_4a)./(S4_H20_Corr')./(SV.SV4).*100,</v>
      </c>
      <c r="X73" s="49" t="str">
        <f t="shared" si="37"/>
        <v>(MH2O_4a)./(S4_H20_Corr')./(SV.SV4).*100</v>
      </c>
      <c r="AZ73" s="49"/>
    </row>
    <row r="74" spans="16:53" x14ac:dyDescent="0.25">
      <c r="P74" s="49" t="s">
        <v>315</v>
      </c>
      <c r="Q74" s="49" t="s">
        <v>299</v>
      </c>
      <c r="R74" s="76" t="s">
        <v>290</v>
      </c>
      <c r="S74" s="49" t="s">
        <v>280</v>
      </c>
      <c r="T74" s="49" t="s">
        <v>307</v>
      </c>
      <c r="U74" s="49" t="str">
        <f t="shared" si="38"/>
        <v>SVWC5=(MH2O_5a)./(S5_H20_Corr')./(SV.SV5).*100</v>
      </c>
      <c r="W74" s="49" t="str">
        <f t="shared" si="36"/>
        <v>(MH2O_5a)./(S5_H20_Corr')./(SV.SV5).*100,</v>
      </c>
      <c r="X74" s="49" t="str">
        <f t="shared" si="37"/>
        <v>(MH2O_5a)./(S5_H20_Corr')./(SV.SV5).*100</v>
      </c>
      <c r="AZ74" s="49"/>
    </row>
    <row r="75" spans="16:53" x14ac:dyDescent="0.25">
      <c r="P75" s="49" t="s">
        <v>316</v>
      </c>
      <c r="Q75" s="49" t="s">
        <v>300</v>
      </c>
      <c r="R75" s="76" t="s">
        <v>291</v>
      </c>
      <c r="S75" s="49" t="s">
        <v>281</v>
      </c>
      <c r="T75" s="49" t="s">
        <v>308</v>
      </c>
      <c r="U75" s="49" t="str">
        <f t="shared" si="38"/>
        <v>SVWC6=(MH2O_6a)./(S6_H20_Corr')./(SV.SV6).*100</v>
      </c>
      <c r="W75" s="49" t="str">
        <f t="shared" si="36"/>
        <v>(MH2O_6a)./(S6_H20_Corr')./(SV.SV6).*100,</v>
      </c>
      <c r="X75" s="49" t="str">
        <f t="shared" si="37"/>
        <v>(MH2O_6a)./(S6_H20_Corr')./(SV.SV6).*100</v>
      </c>
      <c r="AZ75" s="49"/>
    </row>
    <row r="76" spans="16:53" x14ac:dyDescent="0.25">
      <c r="P76" s="49" t="s">
        <v>317</v>
      </c>
      <c r="Q76" s="49" t="s">
        <v>301</v>
      </c>
      <c r="R76" s="76" t="s">
        <v>292</v>
      </c>
      <c r="S76" s="49" t="s">
        <v>282</v>
      </c>
      <c r="T76" s="49" t="s">
        <v>309</v>
      </c>
      <c r="U76" s="49" t="str">
        <f t="shared" si="38"/>
        <v>SVWC7=(MH2O_7a)./(S7_H20_Corr')./(SV.SV7).*100</v>
      </c>
      <c r="W76" s="49" t="str">
        <f t="shared" si="36"/>
        <v>(MH2O_7a)./(S7_H20_Corr')./(SV.SV7).*100,</v>
      </c>
      <c r="X76" s="49" t="str">
        <f t="shared" si="37"/>
        <v>(MH2O_7a)./(S7_H20_Corr')./(SV.SV7).*100</v>
      </c>
      <c r="AZ76" s="49"/>
    </row>
    <row r="77" spans="16:53" x14ac:dyDescent="0.25">
      <c r="P77" s="49" t="s">
        <v>318</v>
      </c>
      <c r="Q77" s="49" t="s">
        <v>302</v>
      </c>
      <c r="R77" s="76" t="s">
        <v>293</v>
      </c>
      <c r="S77" s="49" t="s">
        <v>283</v>
      </c>
      <c r="T77" s="49" t="s">
        <v>310</v>
      </c>
      <c r="U77" s="49" t="str">
        <f t="shared" si="38"/>
        <v>SVWC8=(MH2O_8a)./(S8_H20_Corr')./(SV.SV8).*100</v>
      </c>
      <c r="W77" s="49" t="str">
        <f>CONCATENATE(X77,")",";")</f>
        <v>(MH2O_8a)./(S8_H20_Corr')./(SV.SV8).*100);</v>
      </c>
      <c r="X77" s="49" t="str">
        <f t="shared" si="37"/>
        <v>(MH2O_8a)./(S8_H20_Corr')./(SV.SV8).*100</v>
      </c>
      <c r="AZ77" s="49"/>
    </row>
    <row r="78" spans="16:53" x14ac:dyDescent="0.25">
      <c r="S78" t="s">
        <v>284</v>
      </c>
      <c r="AZ78" s="49"/>
    </row>
    <row r="79" spans="16:53" x14ac:dyDescent="0.25">
      <c r="S79" t="s">
        <v>294</v>
      </c>
      <c r="AZ79" s="49"/>
    </row>
    <row r="80" spans="16:53" x14ac:dyDescent="0.25">
      <c r="S80" t="s">
        <v>328</v>
      </c>
      <c r="AZ80" s="49"/>
    </row>
    <row r="81" spans="19:52" x14ac:dyDescent="0.25">
      <c r="S81" t="s">
        <v>285</v>
      </c>
      <c r="AZ81" s="49"/>
    </row>
    <row r="82" spans="19:52" x14ac:dyDescent="0.25">
      <c r="AZ82" s="49"/>
    </row>
    <row r="83" spans="19:52" x14ac:dyDescent="0.25">
      <c r="AZ83" s="49"/>
    </row>
    <row r="84" spans="19:52" x14ac:dyDescent="0.25">
      <c r="AZ84" s="49"/>
    </row>
    <row r="85" spans="19:52" x14ac:dyDescent="0.25">
      <c r="AZ85" s="49"/>
    </row>
    <row r="86" spans="19:52" x14ac:dyDescent="0.25">
      <c r="AZ86" s="49"/>
    </row>
    <row r="87" spans="19:52" x14ac:dyDescent="0.25">
      <c r="AZ87" s="49"/>
    </row>
    <row r="88" spans="19:52" x14ac:dyDescent="0.25">
      <c r="AZ88" s="49"/>
    </row>
    <row r="89" spans="19:52" x14ac:dyDescent="0.25">
      <c r="AZ89" s="49"/>
    </row>
    <row r="90" spans="19:52" x14ac:dyDescent="0.25">
      <c r="AZ90" s="49"/>
    </row>
    <row r="91" spans="19:52" x14ac:dyDescent="0.25">
      <c r="AZ91" s="49"/>
    </row>
    <row r="92" spans="19:52" x14ac:dyDescent="0.25">
      <c r="AZ92" s="49"/>
    </row>
    <row r="93" spans="19:52" x14ac:dyDescent="0.25">
      <c r="AZ93" s="49"/>
    </row>
    <row r="94" spans="19:52" x14ac:dyDescent="0.25">
      <c r="AZ94" s="49"/>
    </row>
    <row r="95" spans="19:52" x14ac:dyDescent="0.25">
      <c r="AZ95" s="49"/>
    </row>
    <row r="96" spans="19:52" x14ac:dyDescent="0.25">
      <c r="AZ96" s="49"/>
    </row>
    <row r="97" spans="52:52" x14ac:dyDescent="0.25">
      <c r="AZ97" s="49"/>
    </row>
    <row r="98" spans="52:52" x14ac:dyDescent="0.25">
      <c r="AZ98" s="49"/>
    </row>
    <row r="99" spans="52:52" x14ac:dyDescent="0.25">
      <c r="AZ99" s="49"/>
    </row>
    <row r="100" spans="52:52" x14ac:dyDescent="0.25">
      <c r="AZ100" s="49"/>
    </row>
    <row r="101" spans="52:52" x14ac:dyDescent="0.25">
      <c r="AZ101" s="49"/>
    </row>
    <row r="102" spans="52:52" x14ac:dyDescent="0.25">
      <c r="AZ102" s="49"/>
    </row>
    <row r="103" spans="52:52" x14ac:dyDescent="0.25">
      <c r="AZ103" s="49"/>
    </row>
    <row r="104" spans="52:52" x14ac:dyDescent="0.25">
      <c r="AZ104" s="49"/>
    </row>
    <row r="105" spans="52:52" x14ac:dyDescent="0.25">
      <c r="AZ105" s="49"/>
    </row>
    <row r="106" spans="52:52" x14ac:dyDescent="0.25">
      <c r="AZ106" s="49"/>
    </row>
    <row r="107" spans="52:52" x14ac:dyDescent="0.25">
      <c r="AZ107" s="49"/>
    </row>
    <row r="108" spans="52:52" x14ac:dyDescent="0.25">
      <c r="AZ108" s="49"/>
    </row>
    <row r="109" spans="52:52" x14ac:dyDescent="0.25">
      <c r="AZ109" s="49"/>
    </row>
    <row r="110" spans="52:52" x14ac:dyDescent="0.25">
      <c r="AZ110" s="49"/>
    </row>
    <row r="111" spans="52:52" x14ac:dyDescent="0.25">
      <c r="AZ111" s="49"/>
    </row>
    <row r="112" spans="52:52" x14ac:dyDescent="0.25">
      <c r="AZ112" s="49"/>
    </row>
    <row r="113" spans="52:52" x14ac:dyDescent="0.25">
      <c r="AZ113" s="49"/>
    </row>
    <row r="114" spans="52:52" x14ac:dyDescent="0.25">
      <c r="AZ114" s="49"/>
    </row>
    <row r="115" spans="52:52" x14ac:dyDescent="0.25">
      <c r="AZ115" s="49"/>
    </row>
    <row r="116" spans="52:52" x14ac:dyDescent="0.25">
      <c r="AZ116" s="49"/>
    </row>
    <row r="117" spans="52:52" x14ac:dyDescent="0.25">
      <c r="AZ117" s="49"/>
    </row>
    <row r="118" spans="52:52" x14ac:dyDescent="0.25">
      <c r="AZ118" s="49"/>
    </row>
    <row r="119" spans="52:52" x14ac:dyDescent="0.25">
      <c r="AZ119" s="49"/>
    </row>
    <row r="120" spans="52:52" x14ac:dyDescent="0.25">
      <c r="AZ120" s="49"/>
    </row>
    <row r="121" spans="52:52" x14ac:dyDescent="0.25">
      <c r="AZ121" s="49"/>
    </row>
    <row r="122" spans="52:52" x14ac:dyDescent="0.25">
      <c r="AZ122" s="49"/>
    </row>
    <row r="123" spans="52:52" x14ac:dyDescent="0.25">
      <c r="AZ123" s="4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C9"/>
    </sheetView>
  </sheetViews>
  <sheetFormatPr defaultRowHeight="15" x14ac:dyDescent="0.25"/>
  <sheetData>
    <row r="1" spans="1:15" x14ac:dyDescent="0.25">
      <c r="A1" s="49" t="s">
        <v>179</v>
      </c>
      <c r="B1" s="49" t="s">
        <v>180</v>
      </c>
      <c r="C1" s="49" t="s">
        <v>27</v>
      </c>
      <c r="G1" s="49"/>
      <c r="H1" s="65"/>
      <c r="I1" s="65"/>
      <c r="J1" s="65"/>
      <c r="K1" s="65"/>
      <c r="L1" s="65"/>
      <c r="M1" s="65"/>
      <c r="N1" s="65"/>
      <c r="O1" s="65"/>
    </row>
    <row r="2" spans="1:15" x14ac:dyDescent="0.25">
      <c r="A2" s="65">
        <v>4.7759713363821996</v>
      </c>
      <c r="B2" s="65">
        <v>-1230.85271865395</v>
      </c>
      <c r="C2" s="60">
        <v>0.99580967165440626</v>
      </c>
      <c r="G2" s="49"/>
      <c r="H2" s="65"/>
      <c r="I2" s="65"/>
      <c r="J2" s="65"/>
      <c r="K2" s="65"/>
      <c r="L2" s="65"/>
      <c r="M2" s="65"/>
      <c r="N2" s="65"/>
      <c r="O2" s="65"/>
    </row>
    <row r="3" spans="1:15" x14ac:dyDescent="0.25">
      <c r="A3" s="65">
        <v>3.4713375626440999</v>
      </c>
      <c r="B3" s="65">
        <v>-939.57881657284599</v>
      </c>
      <c r="C3" s="60">
        <v>0.96305210629644922</v>
      </c>
      <c r="G3" s="49"/>
      <c r="H3" s="60"/>
      <c r="I3" s="60"/>
      <c r="J3" s="60"/>
      <c r="K3" s="60"/>
      <c r="L3" s="60"/>
      <c r="M3" s="60"/>
      <c r="N3" s="60"/>
      <c r="O3" s="60"/>
    </row>
    <row r="4" spans="1:15" x14ac:dyDescent="0.25">
      <c r="A4" s="65">
        <v>1.93292125698807</v>
      </c>
      <c r="B4" s="65">
        <v>-404.599145327271</v>
      </c>
      <c r="C4" s="60">
        <v>1.1406271656905715</v>
      </c>
    </row>
    <row r="5" spans="1:15" x14ac:dyDescent="0.25">
      <c r="A5" s="65">
        <v>0.87638662786857902</v>
      </c>
      <c r="B5" s="65">
        <v>-184.65440811020201</v>
      </c>
      <c r="C5" s="60">
        <v>0.91483941624109577</v>
      </c>
    </row>
    <row r="6" spans="1:15" x14ac:dyDescent="0.25">
      <c r="A6" s="65">
        <v>25.819388807645701</v>
      </c>
      <c r="B6" s="65">
        <v>-5830.5922579889302</v>
      </c>
      <c r="C6" s="60">
        <v>1.2995315180145941</v>
      </c>
    </row>
    <row r="7" spans="1:15" x14ac:dyDescent="0.25">
      <c r="A7" s="65">
        <v>0.75126769370718305</v>
      </c>
      <c r="B7" s="65">
        <v>-161.03156626349099</v>
      </c>
      <c r="C7" s="60">
        <v>0.86483573086368304</v>
      </c>
    </row>
    <row r="8" spans="1:15" x14ac:dyDescent="0.25">
      <c r="A8" s="65">
        <v>2.6333961051862902</v>
      </c>
      <c r="B8" s="65">
        <v>-606.799301198232</v>
      </c>
      <c r="C8" s="60">
        <v>1.131778738677252</v>
      </c>
    </row>
    <row r="9" spans="1:15" x14ac:dyDescent="0.25">
      <c r="A9" s="65">
        <v>7.8197941945054801</v>
      </c>
      <c r="B9" s="65">
        <v>-1843.1813223224899</v>
      </c>
      <c r="C9" s="60">
        <v>1.2186956403725577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C2" sqref="C2"/>
    </sheetView>
  </sheetViews>
  <sheetFormatPr defaultRowHeight="15" x14ac:dyDescent="0.25"/>
  <cols>
    <col min="2" max="2" width="9.140625" style="49"/>
    <col min="4" max="4" width="11.140625" style="59" customWidth="1"/>
    <col min="17" max="17" width="27.140625" bestFit="1" customWidth="1"/>
  </cols>
  <sheetData>
    <row r="1" spans="1:24" x14ac:dyDescent="0.25">
      <c r="A1" t="s">
        <v>63</v>
      </c>
      <c r="B1" s="49" t="s">
        <v>162</v>
      </c>
      <c r="C1" t="s">
        <v>163</v>
      </c>
      <c r="D1" s="59" t="s">
        <v>164</v>
      </c>
      <c r="E1" t="s">
        <v>160</v>
      </c>
      <c r="F1" t="s">
        <v>161</v>
      </c>
      <c r="H1" t="s">
        <v>165</v>
      </c>
      <c r="J1" s="49"/>
      <c r="K1" s="49"/>
      <c r="L1" s="49"/>
      <c r="M1" s="49"/>
      <c r="N1" s="49"/>
      <c r="O1" s="49"/>
      <c r="P1" s="49" t="s">
        <v>166</v>
      </c>
      <c r="Q1" s="49" t="s">
        <v>167</v>
      </c>
      <c r="R1" s="49" t="s">
        <v>168</v>
      </c>
      <c r="S1" s="49" t="s">
        <v>169</v>
      </c>
      <c r="T1" s="49"/>
      <c r="U1" s="49"/>
      <c r="V1" s="49"/>
      <c r="W1" s="49"/>
      <c r="X1" s="49"/>
    </row>
    <row r="2" spans="1:24" x14ac:dyDescent="0.25">
      <c r="A2">
        <v>1</v>
      </c>
      <c r="B2" s="49">
        <v>0.113267386368</v>
      </c>
      <c r="C2">
        <v>257.71777759167298</v>
      </c>
      <c r="D2" s="59">
        <f>C2/0.45359237</f>
        <v>568.17044253119377</v>
      </c>
      <c r="E2">
        <v>1.190625</v>
      </c>
      <c r="F2" s="49">
        <v>2.8575E-2</v>
      </c>
      <c r="H2" s="49">
        <v>288.02257154519566</v>
      </c>
      <c r="J2" s="49">
        <f>E2+F2</f>
        <v>1.2192000000000001</v>
      </c>
      <c r="K2" s="49">
        <f>CONVERT(J2,"m","ft")</f>
        <v>4</v>
      </c>
      <c r="L2" s="49"/>
      <c r="M2" s="49"/>
      <c r="N2" s="49"/>
      <c r="O2" s="49">
        <v>1</v>
      </c>
      <c r="P2" s="49">
        <v>33.360599999999998</v>
      </c>
      <c r="Q2" s="62">
        <f t="shared" ref="Q2:Q9" si="0">C2-P2</f>
        <v>224.35717759167298</v>
      </c>
      <c r="R2" s="49"/>
    </row>
    <row r="3" spans="1:24" x14ac:dyDescent="0.25">
      <c r="A3">
        <v>2</v>
      </c>
      <c r="B3" s="49">
        <v>0.113267386368</v>
      </c>
      <c r="C3">
        <v>270.66766040959902</v>
      </c>
      <c r="D3" s="59">
        <f t="shared" ref="D3:D9" si="1">C3/0.45359237</f>
        <v>596.72004714188427</v>
      </c>
      <c r="E3">
        <v>1.1795125</v>
      </c>
      <c r="F3" s="49">
        <v>3.9687500000000001E-2</v>
      </c>
      <c r="H3" s="49">
        <v>288.02257154519566</v>
      </c>
      <c r="J3" s="49">
        <f t="shared" ref="J3:J9" si="2">E3+F3</f>
        <v>1.2192000000000001</v>
      </c>
      <c r="K3" s="49">
        <f t="shared" ref="K3:K9" si="3">CONVERT(J3,"m","ft")</f>
        <v>4</v>
      </c>
      <c r="L3" s="49"/>
      <c r="M3" s="49"/>
      <c r="N3" s="49">
        <v>111.02</v>
      </c>
      <c r="O3" s="49">
        <v>2</v>
      </c>
      <c r="P3" s="49">
        <v>-33.438800000000001</v>
      </c>
      <c r="Q3" s="62">
        <f t="shared" si="0"/>
        <v>304.10646040959904</v>
      </c>
      <c r="R3" s="49"/>
    </row>
    <row r="4" spans="1:24" x14ac:dyDescent="0.25">
      <c r="A4">
        <v>3</v>
      </c>
      <c r="B4" s="49">
        <v>0.113267386368</v>
      </c>
      <c r="C4">
        <v>209.320035083958</v>
      </c>
      <c r="D4" s="59">
        <f t="shared" si="1"/>
        <v>461.47168455227319</v>
      </c>
      <c r="E4">
        <v>1.184275</v>
      </c>
      <c r="F4" s="49">
        <v>3.4924999999999998E-2</v>
      </c>
      <c r="J4" s="49">
        <f t="shared" si="2"/>
        <v>1.2192000000000001</v>
      </c>
      <c r="K4" s="49">
        <f t="shared" si="3"/>
        <v>4</v>
      </c>
      <c r="L4" s="49"/>
      <c r="M4" s="49"/>
      <c r="N4" s="49">
        <v>73.36</v>
      </c>
      <c r="O4" s="49">
        <v>3</v>
      </c>
      <c r="P4" s="49">
        <v>98.922700000000006</v>
      </c>
      <c r="Q4" s="62">
        <f t="shared" si="0"/>
        <v>110.397335083958</v>
      </c>
      <c r="R4" s="49"/>
    </row>
    <row r="5" spans="1:24" x14ac:dyDescent="0.25">
      <c r="A5">
        <v>4</v>
      </c>
      <c r="B5" s="49">
        <v>0.113267386368</v>
      </c>
      <c r="C5">
        <v>210.699709738032</v>
      </c>
      <c r="D5" s="59">
        <f t="shared" si="1"/>
        <v>464.51334650543612</v>
      </c>
      <c r="E5">
        <v>1.1938</v>
      </c>
      <c r="F5" s="49">
        <v>2.5399999999999999E-2</v>
      </c>
      <c r="J5" s="49">
        <f t="shared" si="2"/>
        <v>1.2192000000000001</v>
      </c>
      <c r="K5" s="49">
        <f t="shared" si="3"/>
        <v>4</v>
      </c>
      <c r="L5" s="49"/>
      <c r="M5" s="49"/>
      <c r="N5" s="49">
        <f>GEOMEAN(N3:N4)</f>
        <v>90.246480263775382</v>
      </c>
      <c r="O5" s="49">
        <v>4</v>
      </c>
      <c r="P5" s="49">
        <v>-51.184199999999997</v>
      </c>
      <c r="Q5" s="62">
        <f t="shared" si="0"/>
        <v>261.883909738032</v>
      </c>
      <c r="R5" s="49">
        <v>-324.80459999999999</v>
      </c>
      <c r="S5">
        <f>C5-R5</f>
        <v>535.50430973803202</v>
      </c>
    </row>
    <row r="6" spans="1:24" x14ac:dyDescent="0.25">
      <c r="A6">
        <v>5</v>
      </c>
      <c r="B6" s="49">
        <v>0.113267386368</v>
      </c>
      <c r="C6">
        <v>225.82224162728801</v>
      </c>
      <c r="D6" s="59">
        <f t="shared" si="1"/>
        <v>497.85282240811944</v>
      </c>
      <c r="E6">
        <v>1.1874499999999999</v>
      </c>
      <c r="F6" s="49">
        <v>3.175E-2</v>
      </c>
      <c r="J6" s="49">
        <f t="shared" si="2"/>
        <v>1.2191999999999998</v>
      </c>
      <c r="K6" s="49">
        <f t="shared" si="3"/>
        <v>3.9999999999999996</v>
      </c>
      <c r="N6" s="49">
        <f>GEOMEAN(N3:N4)</f>
        <v>90.246480263775382</v>
      </c>
      <c r="O6" s="49">
        <v>5</v>
      </c>
      <c r="P6">
        <v>31.8809</v>
      </c>
      <c r="Q6" s="62">
        <f t="shared" si="0"/>
        <v>193.94134162728801</v>
      </c>
    </row>
    <row r="7" spans="1:24" x14ac:dyDescent="0.25">
      <c r="A7">
        <v>6</v>
      </c>
      <c r="B7" s="49">
        <v>0.113267386368</v>
      </c>
      <c r="C7">
        <v>214.34645414987699</v>
      </c>
      <c r="D7" s="59">
        <f t="shared" si="1"/>
        <v>472.55304173189018</v>
      </c>
      <c r="E7">
        <v>1.1922124999999999</v>
      </c>
      <c r="F7" s="49">
        <v>2.6987500000000001E-2</v>
      </c>
      <c r="J7" s="49">
        <f t="shared" si="2"/>
        <v>1.2191999999999998</v>
      </c>
      <c r="K7" s="49">
        <f t="shared" si="3"/>
        <v>3.9999999999999996</v>
      </c>
      <c r="N7" s="49"/>
      <c r="O7" s="49">
        <v>6</v>
      </c>
      <c r="P7">
        <v>-243.13399999999999</v>
      </c>
      <c r="Q7" s="62">
        <f t="shared" si="0"/>
        <v>457.480454149877</v>
      </c>
      <c r="R7">
        <v>21.4346</v>
      </c>
      <c r="S7">
        <f>C7-R7</f>
        <v>192.911854149877</v>
      </c>
    </row>
    <row r="8" spans="1:24" x14ac:dyDescent="0.25">
      <c r="A8">
        <v>7</v>
      </c>
      <c r="B8" s="49">
        <v>0.113267386368</v>
      </c>
      <c r="C8">
        <v>230.42462165231501</v>
      </c>
      <c r="D8" s="59">
        <f t="shared" si="1"/>
        <v>507.99933352563892</v>
      </c>
      <c r="E8">
        <v>1.1922124999999999</v>
      </c>
      <c r="F8" s="49">
        <v>2.6987499999999998E-2</v>
      </c>
      <c r="J8" s="49">
        <f t="shared" si="2"/>
        <v>1.2191999999999998</v>
      </c>
      <c r="K8" s="49">
        <f t="shared" si="3"/>
        <v>3.9999999999999996</v>
      </c>
      <c r="N8" s="49"/>
      <c r="O8" s="49">
        <v>7</v>
      </c>
      <c r="P8">
        <v>50.578000000000003</v>
      </c>
      <c r="Q8" s="62">
        <f t="shared" si="0"/>
        <v>179.84662165231501</v>
      </c>
    </row>
    <row r="9" spans="1:24" x14ac:dyDescent="0.25">
      <c r="A9">
        <v>8</v>
      </c>
      <c r="B9" s="49">
        <v>0.113267386368</v>
      </c>
      <c r="C9">
        <v>235.70713966073399</v>
      </c>
      <c r="D9" s="59">
        <f t="shared" si="1"/>
        <v>519.6452922273229</v>
      </c>
      <c r="E9">
        <v>1.1636375000000001</v>
      </c>
      <c r="F9" s="49">
        <v>5.5562500000000001E-2</v>
      </c>
      <c r="J9" s="49">
        <f t="shared" si="2"/>
        <v>1.2192000000000001</v>
      </c>
      <c r="K9" s="49">
        <f t="shared" si="3"/>
        <v>4</v>
      </c>
      <c r="N9" s="49"/>
      <c r="O9" s="49">
        <v>8</v>
      </c>
      <c r="P9">
        <v>53.2149</v>
      </c>
      <c r="Q9" s="62">
        <f t="shared" si="0"/>
        <v>182.49223966073399</v>
      </c>
    </row>
    <row r="10" spans="1:24" x14ac:dyDescent="0.25">
      <c r="N10" s="49"/>
    </row>
    <row r="11" spans="1:24" x14ac:dyDescent="0.25">
      <c r="N11" s="49"/>
    </row>
    <row r="12" spans="1:24" x14ac:dyDescent="0.25">
      <c r="E12" s="49"/>
      <c r="F12" s="49"/>
      <c r="N12" s="49"/>
    </row>
    <row r="13" spans="1:24" x14ac:dyDescent="0.25">
      <c r="E13" s="49"/>
      <c r="F13" s="49"/>
      <c r="N13" s="49"/>
      <c r="R13" s="49">
        <v>-24.313400000000001</v>
      </c>
      <c r="S13">
        <f>C7-R13</f>
        <v>238.65985414987699</v>
      </c>
    </row>
    <row r="14" spans="1:24" x14ac:dyDescent="0.25">
      <c r="E14" s="49"/>
      <c r="F14" s="49"/>
      <c r="N14" s="49"/>
    </row>
    <row r="15" spans="1:24" x14ac:dyDescent="0.25">
      <c r="E15" s="49"/>
      <c r="F15" s="49">
        <v>33.360599999999998</v>
      </c>
      <c r="I15" s="49"/>
      <c r="N15" s="49"/>
    </row>
    <row r="16" spans="1:24" x14ac:dyDescent="0.25">
      <c r="E16" s="49"/>
      <c r="F16" s="49"/>
      <c r="I16" s="49"/>
      <c r="N16" s="49"/>
    </row>
    <row r="17" spans="5:14" x14ac:dyDescent="0.25">
      <c r="E17" s="49"/>
      <c r="F17" s="49"/>
      <c r="I17" s="49"/>
      <c r="N17" s="49"/>
    </row>
    <row r="18" spans="5:14" x14ac:dyDescent="0.25">
      <c r="E18" s="49"/>
      <c r="F18" s="49"/>
      <c r="I18" s="49"/>
      <c r="N18" s="49"/>
    </row>
    <row r="19" spans="5:14" x14ac:dyDescent="0.25">
      <c r="E19" s="49"/>
      <c r="F19" s="49"/>
      <c r="I19" s="49"/>
      <c r="N19" s="49"/>
    </row>
    <row r="20" spans="5:14" x14ac:dyDescent="0.25">
      <c r="F20" s="49"/>
      <c r="I20" s="49"/>
      <c r="N20" s="49"/>
    </row>
    <row r="21" spans="5:14" x14ac:dyDescent="0.25">
      <c r="F21" s="49"/>
      <c r="I21" s="49"/>
      <c r="N21" s="49"/>
    </row>
    <row r="22" spans="5:14" x14ac:dyDescent="0.25">
      <c r="F22" s="49"/>
      <c r="I22" s="49"/>
    </row>
    <row r="23" spans="5:14" x14ac:dyDescent="0.25">
      <c r="F23" s="49"/>
    </row>
    <row r="24" spans="5:14" x14ac:dyDescent="0.25">
      <c r="F24" s="49"/>
    </row>
    <row r="25" spans="5:14" x14ac:dyDescent="0.25">
      <c r="F25" s="49"/>
    </row>
    <row r="26" spans="5:14" x14ac:dyDescent="0.25">
      <c r="F26" s="49"/>
    </row>
    <row r="27" spans="5:14" x14ac:dyDescent="0.25">
      <c r="F27" s="4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6"/>
  <sheetViews>
    <sheetView topLeftCell="A52" zoomScale="55" zoomScaleNormal="55" workbookViewId="0">
      <selection activeCell="F73" sqref="F73"/>
    </sheetView>
  </sheetViews>
  <sheetFormatPr defaultRowHeight="15" x14ac:dyDescent="0.25"/>
  <cols>
    <col min="2" max="2" width="14" customWidth="1"/>
    <col min="3" max="3" width="18.85546875" bestFit="1" customWidth="1"/>
    <col min="4" max="4" width="14.42578125" customWidth="1"/>
    <col min="5" max="5" width="14.28515625" customWidth="1"/>
    <col min="6" max="6" width="44.28515625" customWidth="1"/>
    <col min="12" max="12" width="11.140625" customWidth="1"/>
  </cols>
  <sheetData>
    <row r="2" spans="2:11" x14ac:dyDescent="0.25">
      <c r="B2" s="56" t="s">
        <v>147</v>
      </c>
      <c r="C2" s="56" t="s">
        <v>148</v>
      </c>
      <c r="D2" s="56" t="s">
        <v>149</v>
      </c>
      <c r="E2" s="56" t="s">
        <v>150</v>
      </c>
      <c r="F2" s="56" t="s">
        <v>151</v>
      </c>
      <c r="G2" s="56" t="s">
        <v>152</v>
      </c>
    </row>
    <row r="3" spans="2:11" ht="45" x14ac:dyDescent="0.25">
      <c r="B3" s="57" t="s">
        <v>153</v>
      </c>
      <c r="C3" s="58">
        <v>22.453569999999999</v>
      </c>
      <c r="D3" s="58">
        <v>22.42755</v>
      </c>
      <c r="E3" s="58">
        <v>22.480139999999999</v>
      </c>
      <c r="F3" s="58">
        <v>22.63064</v>
      </c>
      <c r="G3" s="58">
        <v>22.497974999999997</v>
      </c>
      <c r="H3">
        <f>AVERAGE(C3:F3)</f>
        <v>22.497974999999997</v>
      </c>
    </row>
    <row r="4" spans="2:11" ht="45" x14ac:dyDescent="0.25">
      <c r="B4" s="57" t="s">
        <v>154</v>
      </c>
      <c r="C4" s="58">
        <v>22.557449999999999</v>
      </c>
      <c r="D4" s="58">
        <v>22.495899999999999</v>
      </c>
      <c r="E4" s="58">
        <v>22.5184</v>
      </c>
      <c r="F4" s="58">
        <v>22.63064</v>
      </c>
      <c r="G4" s="58">
        <v>22.553362499999999</v>
      </c>
    </row>
    <row r="5" spans="2:11" ht="45" x14ac:dyDescent="0.25">
      <c r="B5" s="57" t="s">
        <v>155</v>
      </c>
      <c r="C5" s="58">
        <v>22.580860000000001</v>
      </c>
      <c r="D5" s="58">
        <v>22.56223</v>
      </c>
      <c r="E5" s="58">
        <v>22.577929999999999</v>
      </c>
      <c r="F5" s="58">
        <v>22.63064</v>
      </c>
      <c r="G5" s="58">
        <v>22.6013275</v>
      </c>
    </row>
    <row r="6" spans="2:11" x14ac:dyDescent="0.25">
      <c r="K6" t="s">
        <v>221</v>
      </c>
    </row>
    <row r="7" spans="2:11" x14ac:dyDescent="0.25">
      <c r="K7" t="str">
        <f>CONCATENATE(K17,";",K18,";",K19,";",K20,";",K21,";",K22,";",K23,";",K24,";")</f>
        <v>ST1_A=((Thermo.P1T1_COR+Thermo.P1T2_COR+Thermo.P1T3_COR+Thermo.P1T4_COR)/4);ST2_A=((Thermo.P2T1_COR+Thermo.P2T2_COR+Thermo.P2T3_COR+Thermo.P2T4_COR)/4);ST3_A=((Thermo.P3T1_COR+Thermo.P3T2_COR+Thermo.P3T3_COR+Thermo.P3T4_COR)/4);ST4_A=((Thermo.P4T1_COR+Thermo.P4T2_COR+Thermo.P4T3_COR+Thermo.P4T4_COR)/4);ST5_A=((Thermo.P5T1_COR+Thermo.P5T2_COR+Thermo.P5T3_COR+Thermo.P5T4_COR)/4);ST6_A=((Thermo.P6T1_COR+Thermo.P6T2_COR+Thermo.P6T3_COR+Thermo.P6T4_COR)/4);ST7_A=((Thermo.P7T1_COR+Thermo.P7T2_COR+Thermo.P7T3_COR+Thermo.P7T4_COR)/4);ST8_A=((Thermo.P8T1_COR+Thermo.P8T2_COR+Thermo.P8T3_COR+Thermo.P8T4_COR)/4);</v>
      </c>
    </row>
    <row r="10" spans="2:11" x14ac:dyDescent="0.25">
      <c r="D10">
        <v>1</v>
      </c>
      <c r="E10">
        <v>0.45400000000000001</v>
      </c>
      <c r="F10">
        <f>D10*E10</f>
        <v>0.45400000000000001</v>
      </c>
      <c r="G10">
        <f>CONVERT(D10,"lbm","kg")</f>
        <v>0.45359237000000002</v>
      </c>
    </row>
    <row r="11" spans="2:11" x14ac:dyDescent="0.25">
      <c r="D11">
        <v>2</v>
      </c>
      <c r="E11" s="49">
        <v>0.45400000000000001</v>
      </c>
      <c r="F11" s="49">
        <f>D11*E11</f>
        <v>0.90800000000000003</v>
      </c>
      <c r="G11" s="49">
        <f>CONVERT(D11,"lbm","kg")</f>
        <v>0.90718474000000004</v>
      </c>
    </row>
    <row r="12" spans="2:11" x14ac:dyDescent="0.25">
      <c r="D12">
        <v>3</v>
      </c>
      <c r="E12" s="49">
        <v>0.45400000000000001</v>
      </c>
      <c r="F12" s="49">
        <f>D12*E12</f>
        <v>1.3620000000000001</v>
      </c>
      <c r="G12" s="49">
        <f>CONVERT(D12,"lbm","kg")</f>
        <v>1.3607771100000001</v>
      </c>
    </row>
    <row r="13" spans="2:11" x14ac:dyDescent="0.25">
      <c r="K13" t="s">
        <v>212</v>
      </c>
    </row>
    <row r="14" spans="2:11" x14ac:dyDescent="0.25">
      <c r="E14" t="s">
        <v>156</v>
      </c>
    </row>
    <row r="17" spans="2:17" x14ac:dyDescent="0.25">
      <c r="C17" t="s">
        <v>222</v>
      </c>
      <c r="D17" s="49"/>
      <c r="E17" t="s">
        <v>210</v>
      </c>
      <c r="F17">
        <v>1</v>
      </c>
      <c r="G17" t="s">
        <v>211</v>
      </c>
      <c r="H17">
        <v>1</v>
      </c>
      <c r="I17" t="s">
        <v>223</v>
      </c>
      <c r="K17" t="str">
        <f>CONCATENATE(B21,"=",Q17)</f>
        <v>ST1_A=((Thermo.P1T1_COR+Thermo.P1T2_COR+Thermo.P1T3_COR+Thermo.P1T4_COR)/4)</v>
      </c>
      <c r="N17" t="str">
        <f>CONCATENATE(C17,".",E17,F17,G17,H17,I17)</f>
        <v>Thermo.P1T1_COR</v>
      </c>
      <c r="Q17" t="str">
        <f>CONCATENATE("(","(",N17,"+",N18,"+",N19,"+",N20,")","/","4",")")</f>
        <v>((Thermo.P1T1_COR+Thermo.P1T2_COR+Thermo.P1T3_COR+Thermo.P1T4_COR)/4)</v>
      </c>
    </row>
    <row r="18" spans="2:17" x14ac:dyDescent="0.25">
      <c r="C18" s="49" t="s">
        <v>222</v>
      </c>
      <c r="E18" s="49" t="s">
        <v>210</v>
      </c>
      <c r="F18" s="49">
        <v>1</v>
      </c>
      <c r="G18" s="49" t="s">
        <v>211</v>
      </c>
      <c r="H18">
        <v>2</v>
      </c>
      <c r="I18" s="49" t="s">
        <v>223</v>
      </c>
      <c r="K18" s="49" t="str">
        <f t="shared" ref="K18:K25" si="0">CONCATENATE(B22,"=",Q18)</f>
        <v>ST2_A=((Thermo.P2T1_COR+Thermo.P2T2_COR+Thermo.P2T3_COR+Thermo.P2T4_COR)/4)</v>
      </c>
      <c r="N18" s="49" t="str">
        <f t="shared" ref="N18:N48" si="1">CONCATENATE(C18,".",E18,F18,G18,H18,I18)</f>
        <v>Thermo.P1T2_COR</v>
      </c>
      <c r="Q18" s="49" t="str">
        <f>CONCATENATE("(","(",N21,"+",N22,"+",N23,"+",N24,")","/","4",")")</f>
        <v>((Thermo.P2T1_COR+Thermo.P2T2_COR+Thermo.P2T3_COR+Thermo.P2T4_COR)/4)</v>
      </c>
    </row>
    <row r="19" spans="2:17" x14ac:dyDescent="0.25">
      <c r="C19" s="49" t="s">
        <v>222</v>
      </c>
      <c r="E19" s="49" t="s">
        <v>210</v>
      </c>
      <c r="F19" s="49">
        <v>1</v>
      </c>
      <c r="G19" s="49" t="s">
        <v>211</v>
      </c>
      <c r="H19">
        <v>3</v>
      </c>
      <c r="I19" s="49" t="s">
        <v>223</v>
      </c>
      <c r="K19" s="49" t="str">
        <f t="shared" si="0"/>
        <v>ST3_A=((Thermo.P3T1_COR+Thermo.P3T2_COR+Thermo.P3T3_COR+Thermo.P3T4_COR)/4)</v>
      </c>
      <c r="N19" s="49" t="str">
        <f t="shared" si="1"/>
        <v>Thermo.P1T3_COR</v>
      </c>
      <c r="Q19" s="49" t="str">
        <f>CONCATENATE("(","(",N25,"+",N26,"+",N27,"+",N28,")","/","4",")")</f>
        <v>((Thermo.P3T1_COR+Thermo.P3T2_COR+Thermo.P3T3_COR+Thermo.P3T4_COR)/4)</v>
      </c>
    </row>
    <row r="20" spans="2:17" x14ac:dyDescent="0.25">
      <c r="C20" s="49" t="s">
        <v>222</v>
      </c>
      <c r="E20" s="49" t="s">
        <v>210</v>
      </c>
      <c r="F20" s="49">
        <v>1</v>
      </c>
      <c r="G20" s="49" t="s">
        <v>211</v>
      </c>
      <c r="H20">
        <v>4</v>
      </c>
      <c r="I20" s="49" t="s">
        <v>223</v>
      </c>
      <c r="K20" s="49" t="str">
        <f t="shared" si="0"/>
        <v>ST4_A=((Thermo.P4T1_COR+Thermo.P4T2_COR+Thermo.P4T3_COR+Thermo.P4T4_COR)/4)</v>
      </c>
      <c r="N20" s="49" t="str">
        <f t="shared" si="1"/>
        <v>Thermo.P1T4_COR</v>
      </c>
      <c r="Q20" s="49" t="str">
        <f>CONCATENATE("(","(",N29,"+",N30,"+",N31,"+",N32,")","/","4",")")</f>
        <v>((Thermo.P4T1_COR+Thermo.P4T2_COR+Thermo.P4T3_COR+Thermo.P4T4_COR)/4)</v>
      </c>
    </row>
    <row r="21" spans="2:17" x14ac:dyDescent="0.25">
      <c r="B21" s="49" t="s">
        <v>213</v>
      </c>
      <c r="C21" s="49" t="s">
        <v>222</v>
      </c>
      <c r="E21" s="49" t="s">
        <v>210</v>
      </c>
      <c r="F21">
        <v>2</v>
      </c>
      <c r="G21" s="49" t="s">
        <v>211</v>
      </c>
      <c r="H21" s="49">
        <v>1</v>
      </c>
      <c r="I21" s="49" t="s">
        <v>223</v>
      </c>
      <c r="K21" s="49" t="str">
        <f t="shared" si="0"/>
        <v>ST5_A=((Thermo.P5T1_COR+Thermo.P5T2_COR+Thermo.P5T3_COR+Thermo.P5T4_COR)/4)</v>
      </c>
      <c r="N21" s="49" t="str">
        <f t="shared" si="1"/>
        <v>Thermo.P2T1_COR</v>
      </c>
      <c r="Q21" s="49" t="str">
        <f>CONCATENATE("(","(",N33,"+",N34,"+",N35,"+",N36,")","/","4",")")</f>
        <v>((Thermo.P5T1_COR+Thermo.P5T2_COR+Thermo.P5T3_COR+Thermo.P5T4_COR)/4)</v>
      </c>
    </row>
    <row r="22" spans="2:17" x14ac:dyDescent="0.25">
      <c r="B22" t="s">
        <v>214</v>
      </c>
      <c r="C22" s="49" t="s">
        <v>222</v>
      </c>
      <c r="E22" s="49" t="s">
        <v>210</v>
      </c>
      <c r="F22">
        <v>2</v>
      </c>
      <c r="G22" s="49" t="s">
        <v>211</v>
      </c>
      <c r="H22" s="49">
        <v>2</v>
      </c>
      <c r="I22" s="49" t="s">
        <v>223</v>
      </c>
      <c r="K22" s="49" t="str">
        <f t="shared" si="0"/>
        <v>ST6_A=((Thermo.P6T1_COR+Thermo.P6T2_COR+Thermo.P6T3_COR+Thermo.P6T4_COR)/4)</v>
      </c>
      <c r="N22" s="49" t="str">
        <f t="shared" si="1"/>
        <v>Thermo.P2T2_COR</v>
      </c>
      <c r="Q22" s="49" t="str">
        <f>CONCATENATE("(","(",N37,"+",N38,"+",N39,"+",N40,")","/","4",")")</f>
        <v>((Thermo.P6T1_COR+Thermo.P6T2_COR+Thermo.P6T3_COR+Thermo.P6T4_COR)/4)</v>
      </c>
    </row>
    <row r="23" spans="2:17" x14ac:dyDescent="0.25">
      <c r="B23" s="49" t="s">
        <v>215</v>
      </c>
      <c r="C23" s="49" t="s">
        <v>222</v>
      </c>
      <c r="E23" s="49" t="s">
        <v>210</v>
      </c>
      <c r="F23">
        <v>2</v>
      </c>
      <c r="G23" s="49" t="s">
        <v>211</v>
      </c>
      <c r="H23" s="49">
        <v>3</v>
      </c>
      <c r="I23" s="49" t="s">
        <v>223</v>
      </c>
      <c r="K23" s="49" t="str">
        <f t="shared" si="0"/>
        <v>ST7_A=((Thermo.P7T1_COR+Thermo.P7T2_COR+Thermo.P7T3_COR+Thermo.P7T4_COR)/4)</v>
      </c>
      <c r="N23" s="49" t="str">
        <f t="shared" si="1"/>
        <v>Thermo.P2T3_COR</v>
      </c>
      <c r="Q23" s="49" t="str">
        <f>CONCATENATE("(","(",N41,"+",N42,"+",N43,"+",N44,")","/","4",")")</f>
        <v>((Thermo.P7T1_COR+Thermo.P7T2_COR+Thermo.P7T3_COR+Thermo.P7T4_COR)/4)</v>
      </c>
    </row>
    <row r="24" spans="2:17" x14ac:dyDescent="0.25">
      <c r="B24" s="49" t="s">
        <v>216</v>
      </c>
      <c r="C24" s="49" t="s">
        <v>222</v>
      </c>
      <c r="E24" s="49" t="s">
        <v>210</v>
      </c>
      <c r="F24">
        <v>2</v>
      </c>
      <c r="G24" s="49" t="s">
        <v>211</v>
      </c>
      <c r="H24" s="49">
        <v>4</v>
      </c>
      <c r="I24" s="49" t="s">
        <v>223</v>
      </c>
      <c r="K24" s="49" t="str">
        <f t="shared" si="0"/>
        <v>ST8_A=((Thermo.P8T1_COR+Thermo.P8T2_COR+Thermo.P8T3_COR+Thermo.P8T4_COR)/4)</v>
      </c>
      <c r="N24" s="49" t="str">
        <f t="shared" si="1"/>
        <v>Thermo.P2T4_COR</v>
      </c>
      <c r="Q24" s="49" t="str">
        <f>CONCATENATE("(","(",N45,"+",N46,"+",N47,"+",N48,")","/","4",")")</f>
        <v>((Thermo.P8T1_COR+Thermo.P8T2_COR+Thermo.P8T3_COR+Thermo.P8T4_COR)/4)</v>
      </c>
    </row>
    <row r="25" spans="2:17" x14ac:dyDescent="0.25">
      <c r="B25" s="49" t="s">
        <v>217</v>
      </c>
      <c r="C25" s="49" t="s">
        <v>222</v>
      </c>
      <c r="E25" s="49" t="s">
        <v>210</v>
      </c>
      <c r="F25">
        <v>3</v>
      </c>
      <c r="G25" s="49" t="s">
        <v>211</v>
      </c>
      <c r="H25" s="49">
        <v>1</v>
      </c>
      <c r="I25" s="49" t="s">
        <v>223</v>
      </c>
      <c r="K25" s="49"/>
      <c r="N25" s="49" t="str">
        <f t="shared" si="1"/>
        <v>Thermo.P3T1_COR</v>
      </c>
      <c r="Q25" s="49"/>
    </row>
    <row r="26" spans="2:17" x14ac:dyDescent="0.25">
      <c r="B26" s="49" t="s">
        <v>218</v>
      </c>
      <c r="C26" s="49" t="s">
        <v>222</v>
      </c>
      <c r="E26" s="49" t="s">
        <v>210</v>
      </c>
      <c r="F26">
        <v>3</v>
      </c>
      <c r="G26" s="49" t="s">
        <v>211</v>
      </c>
      <c r="H26" s="49">
        <v>2</v>
      </c>
      <c r="I26" s="49" t="s">
        <v>223</v>
      </c>
      <c r="N26" s="49" t="str">
        <f t="shared" si="1"/>
        <v>Thermo.P3T2_COR</v>
      </c>
      <c r="Q26" s="49"/>
    </row>
    <row r="27" spans="2:17" x14ac:dyDescent="0.25">
      <c r="B27" s="49" t="s">
        <v>219</v>
      </c>
      <c r="C27" s="49" t="s">
        <v>222</v>
      </c>
      <c r="E27" s="49" t="s">
        <v>210</v>
      </c>
      <c r="F27">
        <v>3</v>
      </c>
      <c r="G27" s="49" t="s">
        <v>211</v>
      </c>
      <c r="H27" s="49">
        <v>3</v>
      </c>
      <c r="I27" s="49" t="s">
        <v>223</v>
      </c>
      <c r="N27" s="49" t="str">
        <f t="shared" si="1"/>
        <v>Thermo.P3T3_COR</v>
      </c>
      <c r="Q27" s="49"/>
    </row>
    <row r="28" spans="2:17" x14ac:dyDescent="0.25">
      <c r="B28" s="49" t="s">
        <v>220</v>
      </c>
      <c r="C28" s="49" t="s">
        <v>222</v>
      </c>
      <c r="E28" s="49" t="s">
        <v>210</v>
      </c>
      <c r="F28">
        <v>3</v>
      </c>
      <c r="G28" s="49" t="s">
        <v>211</v>
      </c>
      <c r="H28" s="49">
        <v>4</v>
      </c>
      <c r="I28" s="49" t="s">
        <v>223</v>
      </c>
      <c r="N28" s="49" t="str">
        <f t="shared" si="1"/>
        <v>Thermo.P3T4_COR</v>
      </c>
    </row>
    <row r="29" spans="2:17" x14ac:dyDescent="0.25">
      <c r="C29" s="49" t="s">
        <v>222</v>
      </c>
      <c r="E29" s="49" t="s">
        <v>210</v>
      </c>
      <c r="F29">
        <v>4</v>
      </c>
      <c r="G29" s="49" t="s">
        <v>211</v>
      </c>
      <c r="H29" s="49">
        <v>1</v>
      </c>
      <c r="I29" s="49" t="s">
        <v>223</v>
      </c>
      <c r="N29" s="49" t="str">
        <f t="shared" si="1"/>
        <v>Thermo.P4T1_COR</v>
      </c>
    </row>
    <row r="30" spans="2:17" x14ac:dyDescent="0.25">
      <c r="C30" s="49" t="s">
        <v>222</v>
      </c>
      <c r="E30" s="49" t="s">
        <v>210</v>
      </c>
      <c r="F30">
        <v>4</v>
      </c>
      <c r="G30" s="49" t="s">
        <v>211</v>
      </c>
      <c r="H30" s="49">
        <v>2</v>
      </c>
      <c r="I30" s="49" t="s">
        <v>223</v>
      </c>
      <c r="N30" s="49" t="str">
        <f t="shared" si="1"/>
        <v>Thermo.P4T2_COR</v>
      </c>
    </row>
    <row r="31" spans="2:17" x14ac:dyDescent="0.25">
      <c r="C31" s="49" t="s">
        <v>222</v>
      </c>
      <c r="E31" s="49" t="s">
        <v>210</v>
      </c>
      <c r="F31">
        <v>4</v>
      </c>
      <c r="G31" s="49" t="s">
        <v>211</v>
      </c>
      <c r="H31" s="49">
        <v>3</v>
      </c>
      <c r="I31" s="49" t="s">
        <v>223</v>
      </c>
      <c r="N31" s="49" t="str">
        <f t="shared" si="1"/>
        <v>Thermo.P4T3_COR</v>
      </c>
    </row>
    <row r="32" spans="2:17" x14ac:dyDescent="0.25">
      <c r="C32" s="49" t="s">
        <v>222</v>
      </c>
      <c r="E32" s="49" t="s">
        <v>210</v>
      </c>
      <c r="F32">
        <v>4</v>
      </c>
      <c r="G32" s="49" t="s">
        <v>211</v>
      </c>
      <c r="H32" s="49">
        <v>4</v>
      </c>
      <c r="I32" s="49" t="s">
        <v>223</v>
      </c>
      <c r="N32" s="49" t="str">
        <f t="shared" si="1"/>
        <v>Thermo.P4T4_COR</v>
      </c>
    </row>
    <row r="33" spans="3:14" x14ac:dyDescent="0.25">
      <c r="C33" s="49" t="s">
        <v>222</v>
      </c>
      <c r="E33" s="49" t="s">
        <v>210</v>
      </c>
      <c r="F33">
        <v>5</v>
      </c>
      <c r="G33" s="49" t="s">
        <v>211</v>
      </c>
      <c r="H33" s="49">
        <v>1</v>
      </c>
      <c r="I33" s="49" t="s">
        <v>223</v>
      </c>
      <c r="N33" s="49" t="str">
        <f t="shared" si="1"/>
        <v>Thermo.P5T1_COR</v>
      </c>
    </row>
    <row r="34" spans="3:14" x14ac:dyDescent="0.25">
      <c r="C34" s="49" t="s">
        <v>222</v>
      </c>
      <c r="E34" s="49" t="s">
        <v>210</v>
      </c>
      <c r="F34">
        <v>5</v>
      </c>
      <c r="G34" s="49" t="s">
        <v>211</v>
      </c>
      <c r="H34" s="49">
        <v>2</v>
      </c>
      <c r="I34" s="49" t="s">
        <v>223</v>
      </c>
      <c r="N34" s="49" t="str">
        <f t="shared" si="1"/>
        <v>Thermo.P5T2_COR</v>
      </c>
    </row>
    <row r="35" spans="3:14" x14ac:dyDescent="0.25">
      <c r="C35" s="49" t="s">
        <v>222</v>
      </c>
      <c r="E35" s="49" t="s">
        <v>210</v>
      </c>
      <c r="F35">
        <v>5</v>
      </c>
      <c r="G35" s="49" t="s">
        <v>211</v>
      </c>
      <c r="H35" s="49">
        <v>3</v>
      </c>
      <c r="I35" s="49" t="s">
        <v>223</v>
      </c>
      <c r="N35" s="49" t="str">
        <f t="shared" si="1"/>
        <v>Thermo.P5T3_COR</v>
      </c>
    </row>
    <row r="36" spans="3:14" x14ac:dyDescent="0.25">
      <c r="C36" s="49" t="s">
        <v>222</v>
      </c>
      <c r="E36" s="49" t="s">
        <v>210</v>
      </c>
      <c r="F36">
        <v>5</v>
      </c>
      <c r="G36" s="49" t="s">
        <v>211</v>
      </c>
      <c r="H36" s="49">
        <v>4</v>
      </c>
      <c r="I36" s="49" t="s">
        <v>223</v>
      </c>
      <c r="N36" s="49" t="str">
        <f t="shared" si="1"/>
        <v>Thermo.P5T4_COR</v>
      </c>
    </row>
    <row r="37" spans="3:14" x14ac:dyDescent="0.25">
      <c r="C37" s="49" t="s">
        <v>222</v>
      </c>
      <c r="E37" s="49" t="s">
        <v>210</v>
      </c>
      <c r="F37">
        <v>6</v>
      </c>
      <c r="G37" s="49" t="s">
        <v>211</v>
      </c>
      <c r="H37" s="49">
        <v>1</v>
      </c>
      <c r="I37" s="49" t="s">
        <v>223</v>
      </c>
      <c r="N37" s="49" t="str">
        <f t="shared" si="1"/>
        <v>Thermo.P6T1_COR</v>
      </c>
    </row>
    <row r="38" spans="3:14" x14ac:dyDescent="0.25">
      <c r="C38" s="49" t="s">
        <v>222</v>
      </c>
      <c r="E38" s="49" t="s">
        <v>210</v>
      </c>
      <c r="F38">
        <v>6</v>
      </c>
      <c r="G38" s="49" t="s">
        <v>211</v>
      </c>
      <c r="H38" s="49">
        <v>2</v>
      </c>
      <c r="I38" s="49" t="s">
        <v>223</v>
      </c>
      <c r="N38" s="49" t="str">
        <f t="shared" si="1"/>
        <v>Thermo.P6T2_COR</v>
      </c>
    </row>
    <row r="39" spans="3:14" x14ac:dyDescent="0.25">
      <c r="C39" s="49" t="s">
        <v>222</v>
      </c>
      <c r="E39" s="49" t="s">
        <v>210</v>
      </c>
      <c r="F39">
        <v>6</v>
      </c>
      <c r="G39" s="49" t="s">
        <v>211</v>
      </c>
      <c r="H39" s="49">
        <v>3</v>
      </c>
      <c r="I39" s="49" t="s">
        <v>223</v>
      </c>
      <c r="N39" s="49" t="str">
        <f t="shared" si="1"/>
        <v>Thermo.P6T3_COR</v>
      </c>
    </row>
    <row r="40" spans="3:14" x14ac:dyDescent="0.25">
      <c r="C40" s="49" t="s">
        <v>222</v>
      </c>
      <c r="E40" s="49" t="s">
        <v>210</v>
      </c>
      <c r="F40">
        <v>6</v>
      </c>
      <c r="G40" s="49" t="s">
        <v>211</v>
      </c>
      <c r="H40" s="49">
        <v>4</v>
      </c>
      <c r="I40" s="49" t="s">
        <v>223</v>
      </c>
      <c r="N40" s="49" t="str">
        <f t="shared" si="1"/>
        <v>Thermo.P6T4_COR</v>
      </c>
    </row>
    <row r="41" spans="3:14" x14ac:dyDescent="0.25">
      <c r="C41" s="49" t="s">
        <v>222</v>
      </c>
      <c r="E41" s="49" t="s">
        <v>210</v>
      </c>
      <c r="F41">
        <v>7</v>
      </c>
      <c r="G41" s="49" t="s">
        <v>211</v>
      </c>
      <c r="H41" s="49">
        <v>1</v>
      </c>
      <c r="I41" s="49" t="s">
        <v>223</v>
      </c>
      <c r="N41" s="49" t="str">
        <f t="shared" si="1"/>
        <v>Thermo.P7T1_COR</v>
      </c>
    </row>
    <row r="42" spans="3:14" x14ac:dyDescent="0.25">
      <c r="C42" s="49" t="s">
        <v>222</v>
      </c>
      <c r="E42" s="49" t="s">
        <v>210</v>
      </c>
      <c r="F42">
        <v>7</v>
      </c>
      <c r="G42" s="49" t="s">
        <v>211</v>
      </c>
      <c r="H42" s="49">
        <v>2</v>
      </c>
      <c r="I42" s="49" t="s">
        <v>223</v>
      </c>
      <c r="N42" s="49" t="str">
        <f t="shared" si="1"/>
        <v>Thermo.P7T2_COR</v>
      </c>
    </row>
    <row r="43" spans="3:14" x14ac:dyDescent="0.25">
      <c r="C43" s="49" t="s">
        <v>222</v>
      </c>
      <c r="E43" s="49" t="s">
        <v>210</v>
      </c>
      <c r="F43">
        <v>7</v>
      </c>
      <c r="G43" s="49" t="s">
        <v>211</v>
      </c>
      <c r="H43" s="49">
        <v>3</v>
      </c>
      <c r="I43" s="49" t="s">
        <v>223</v>
      </c>
      <c r="N43" s="49" t="str">
        <f t="shared" si="1"/>
        <v>Thermo.P7T3_COR</v>
      </c>
    </row>
    <row r="44" spans="3:14" x14ac:dyDescent="0.25">
      <c r="C44" s="49" t="s">
        <v>222</v>
      </c>
      <c r="E44" s="49" t="s">
        <v>210</v>
      </c>
      <c r="F44">
        <v>7</v>
      </c>
      <c r="G44" s="49" t="s">
        <v>211</v>
      </c>
      <c r="H44" s="49">
        <v>4</v>
      </c>
      <c r="I44" s="49" t="s">
        <v>223</v>
      </c>
      <c r="N44" s="49" t="str">
        <f t="shared" si="1"/>
        <v>Thermo.P7T4_COR</v>
      </c>
    </row>
    <row r="45" spans="3:14" x14ac:dyDescent="0.25">
      <c r="C45" s="49" t="s">
        <v>222</v>
      </c>
      <c r="E45" s="49" t="s">
        <v>210</v>
      </c>
      <c r="F45">
        <v>8</v>
      </c>
      <c r="G45" s="49" t="s">
        <v>211</v>
      </c>
      <c r="H45" s="49">
        <v>1</v>
      </c>
      <c r="I45" s="49" t="s">
        <v>223</v>
      </c>
      <c r="N45" s="49" t="str">
        <f t="shared" si="1"/>
        <v>Thermo.P8T1_COR</v>
      </c>
    </row>
    <row r="46" spans="3:14" x14ac:dyDescent="0.25">
      <c r="C46" s="49" t="s">
        <v>222</v>
      </c>
      <c r="E46" s="49" t="s">
        <v>210</v>
      </c>
      <c r="F46">
        <v>8</v>
      </c>
      <c r="G46" s="49" t="s">
        <v>211</v>
      </c>
      <c r="H46" s="49">
        <v>2</v>
      </c>
      <c r="I46" s="49" t="s">
        <v>223</v>
      </c>
      <c r="N46" s="49" t="str">
        <f t="shared" si="1"/>
        <v>Thermo.P8T2_COR</v>
      </c>
    </row>
    <row r="47" spans="3:14" x14ac:dyDescent="0.25">
      <c r="C47" s="49" t="s">
        <v>222</v>
      </c>
      <c r="E47" s="49" t="s">
        <v>210</v>
      </c>
      <c r="F47">
        <v>8</v>
      </c>
      <c r="G47" s="49" t="s">
        <v>211</v>
      </c>
      <c r="H47" s="49">
        <v>3</v>
      </c>
      <c r="I47" s="49" t="s">
        <v>223</v>
      </c>
      <c r="N47" s="49" t="str">
        <f t="shared" si="1"/>
        <v>Thermo.P8T3_COR</v>
      </c>
    </row>
    <row r="48" spans="3:14" x14ac:dyDescent="0.25">
      <c r="C48" s="49" t="s">
        <v>222</v>
      </c>
      <c r="E48" s="49" t="s">
        <v>210</v>
      </c>
      <c r="F48">
        <v>8</v>
      </c>
      <c r="G48" s="49" t="s">
        <v>211</v>
      </c>
      <c r="H48" s="49">
        <v>4</v>
      </c>
      <c r="I48" s="49" t="s">
        <v>223</v>
      </c>
      <c r="N48" s="49" t="str">
        <f t="shared" si="1"/>
        <v>Thermo.P8T4_COR</v>
      </c>
    </row>
    <row r="50" spans="1:13" s="64" customFormat="1" x14ac:dyDescent="0.25"/>
    <row r="51" spans="1:13" x14ac:dyDescent="0.25">
      <c r="F51" t="s">
        <v>232</v>
      </c>
    </row>
    <row r="53" spans="1:13" x14ac:dyDescent="0.25">
      <c r="A53" s="76" t="s">
        <v>234</v>
      </c>
      <c r="B53" t="str">
        <f>CONCATENATE("'",A53)</f>
        <v>'((0.00002*((ST1_A.^3)) - (0.0063*(ST1_A.^2)) + (0.0269*(ST1_A)) + 1000)</v>
      </c>
      <c r="C53" s="49" t="s">
        <v>213</v>
      </c>
      <c r="D53" s="49" t="s">
        <v>224</v>
      </c>
      <c r="E53" s="49" t="s">
        <v>200</v>
      </c>
      <c r="F53" s="78" t="str">
        <f>CONCATENATE(D53,"=","(",E53,")","*","(",A53,")",M53)</f>
        <v>SlabMass1_F=(SlabVWC1_F)*(((0.00002*((ST1_A.^3)) - (0.0063*(ST1_A.^2)) + (0.0269*(ST1_A)) + 1000));</v>
      </c>
      <c r="M53" t="s">
        <v>233</v>
      </c>
    </row>
    <row r="54" spans="1:13" x14ac:dyDescent="0.25">
      <c r="A54" s="76" t="s">
        <v>235</v>
      </c>
      <c r="C54" s="49" t="s">
        <v>214</v>
      </c>
      <c r="D54" s="49" t="s">
        <v>225</v>
      </c>
      <c r="E54" s="49" t="s">
        <v>201</v>
      </c>
      <c r="F54" s="78" t="str">
        <f t="shared" ref="F54:F60" si="2">CONCATENATE(D54,"=","(",E54,")","*","(",A54,")",M54)</f>
        <v>SlabMass2_F=(SlabVWC2_F)*(((0.00002*(ST2_A.^3)) - (0.0063*(ST2_A.^2)) + (0.0269*(ST2_A)) + 1000));</v>
      </c>
      <c r="M54" s="49" t="s">
        <v>233</v>
      </c>
    </row>
    <row r="55" spans="1:13" x14ac:dyDescent="0.25">
      <c r="A55" s="76" t="s">
        <v>236</v>
      </c>
      <c r="C55" s="49" t="s">
        <v>215</v>
      </c>
      <c r="D55" s="49" t="s">
        <v>226</v>
      </c>
      <c r="E55" s="49" t="s">
        <v>202</v>
      </c>
      <c r="F55" s="78" t="str">
        <f t="shared" si="2"/>
        <v>SlabMass3_F=(SlabVWC3_F)*(((0.00002*(ST3_A.^3)) - (0.0063*(ST3_A.^2)) + (0.0269*(ST3_A)) + 1000));</v>
      </c>
      <c r="M55" s="49" t="s">
        <v>233</v>
      </c>
    </row>
    <row r="56" spans="1:13" x14ac:dyDescent="0.25">
      <c r="A56" s="76" t="s">
        <v>237</v>
      </c>
      <c r="C56" s="49" t="s">
        <v>216</v>
      </c>
      <c r="D56" s="49" t="s">
        <v>227</v>
      </c>
      <c r="E56" s="49" t="s">
        <v>203</v>
      </c>
      <c r="F56" s="78" t="str">
        <f t="shared" si="2"/>
        <v>SlabMass4_F=(SlabVWC4_F)*(((0.00002*(ST4_A.^3)) - (0.0063*(ST4_A.^2)) + (0.0269*(ST4_A)) + 1000));</v>
      </c>
      <c r="M56" s="49" t="s">
        <v>233</v>
      </c>
    </row>
    <row r="57" spans="1:13" x14ac:dyDescent="0.25">
      <c r="A57" s="76" t="s">
        <v>238</v>
      </c>
      <c r="C57" s="49" t="s">
        <v>217</v>
      </c>
      <c r="D57" s="49" t="s">
        <v>228</v>
      </c>
      <c r="E57" s="49" t="s">
        <v>204</v>
      </c>
      <c r="F57" s="78" t="str">
        <f t="shared" si="2"/>
        <v>SlabMass5_F=(SlabVWC5_F)*(((0.00002*(ST5_A.^3)) - (0.0063*(ST5_A.^2)) + (0.0269*(ST5_A)) + 1000));</v>
      </c>
      <c r="M57" s="49" t="s">
        <v>233</v>
      </c>
    </row>
    <row r="58" spans="1:13" x14ac:dyDescent="0.25">
      <c r="A58" s="76" t="s">
        <v>239</v>
      </c>
      <c r="C58" s="49" t="s">
        <v>218</v>
      </c>
      <c r="D58" s="49" t="s">
        <v>229</v>
      </c>
      <c r="E58" s="49" t="s">
        <v>205</v>
      </c>
      <c r="F58" s="78" t="str">
        <f t="shared" si="2"/>
        <v>SlabMass6_F=(SlabVWC6_F)*(((0.00002*(ST6_A.^3)) - (0.0063*(ST6_A.^2)) + (0.0269*(ST6_A)) + 1000));</v>
      </c>
      <c r="M58" s="49" t="s">
        <v>233</v>
      </c>
    </row>
    <row r="59" spans="1:13" x14ac:dyDescent="0.25">
      <c r="A59" s="76" t="s">
        <v>240</v>
      </c>
      <c r="C59" s="49" t="s">
        <v>219</v>
      </c>
      <c r="D59" s="49" t="s">
        <v>230</v>
      </c>
      <c r="E59" s="49" t="s">
        <v>206</v>
      </c>
      <c r="F59" s="78" t="str">
        <f t="shared" si="2"/>
        <v>SlabMass7_F=(SlabVWC7_F)*(((0.00002*(ST7_A.^3)) - (0.0063*(ST7_A.^2)) + (0.0269*(ST7_A)) + 1000));</v>
      </c>
      <c r="M59" s="49" t="s">
        <v>233</v>
      </c>
    </row>
    <row r="60" spans="1:13" x14ac:dyDescent="0.25">
      <c r="A60" s="76" t="s">
        <v>241</v>
      </c>
      <c r="C60" s="49" t="s">
        <v>220</v>
      </c>
      <c r="D60" s="49" t="s">
        <v>231</v>
      </c>
      <c r="E60" s="49" t="s">
        <v>207</v>
      </c>
      <c r="F60" s="78" t="str">
        <f t="shared" si="2"/>
        <v>SlabMass8_F=(SlabVWC8_F)*(((0.00002*(ST8_A.^3)) - (0.0063*(ST8_A.^2)) + (0.0269*(ST8_A)) + 1000));</v>
      </c>
      <c r="M60" s="49" t="s">
        <v>233</v>
      </c>
    </row>
    <row r="62" spans="1:13" x14ac:dyDescent="0.25">
      <c r="F62" s="70" t="str">
        <f>CONCATENATE(F53,F54,F55,F56,F57,F58,F59,F60)</f>
        <v>SlabMass1_F=(SlabVWC1_F)*(((0.00002*((ST1_A.^3)) - (0.0063*(ST1_A.^2)) + (0.0269*(ST1_A)) + 1000));SlabMass2_F=(SlabVWC2_F)*(((0.00002*(ST2_A.^3)) - (0.0063*(ST2_A.^2)) + (0.0269*(ST2_A)) + 1000));SlabMass3_F=(SlabVWC3_F)*(((0.00002*(ST3_A.^3)) - (0.0063*(ST3_A.^2)) + (0.0269*(ST3_A)) + 1000));SlabMass4_F=(SlabVWC4_F)*(((0.00002*(ST4_A.^3)) - (0.0063*(ST4_A.^2)) + (0.0269*(ST4_A)) + 1000));SlabMass5_F=(SlabVWC5_F)*(((0.00002*(ST5_A.^3)) - (0.0063*(ST5_A.^2)) + (0.0269*(ST5_A)) + 1000));SlabMass6_F=(SlabVWC6_F)*(((0.00002*(ST6_A.^3)) - (0.0063*(ST6_A.^2)) + (0.0269*(ST6_A)) + 1000));SlabMass7_F=(SlabVWC7_F)*(((0.00002*(ST7_A.^3)) - (0.0063*(ST7_A.^2)) + (0.0269*(ST7_A)) + 1000));SlabMass8_F=(SlabVWC8_F)*(((0.00002*(ST8_A.^3)) - (0.0063*(ST8_A.^2)) + (0.0269*(ST8_A)) + 1000));</v>
      </c>
    </row>
    <row r="65" spans="1:7" x14ac:dyDescent="0.25">
      <c r="A65" s="77" t="s">
        <v>234</v>
      </c>
      <c r="F65" t="str">
        <f>CONCATENATE(D53,"=",E53,"*",C76,G65)</f>
        <v>SlabMass1_F=SlabVWC1_F*S1_H20_Corr;</v>
      </c>
      <c r="G65" t="s">
        <v>233</v>
      </c>
    </row>
    <row r="66" spans="1:7" x14ac:dyDescent="0.25">
      <c r="A66" s="77" t="s">
        <v>235</v>
      </c>
      <c r="F66" s="49" t="str">
        <f t="shared" ref="F66:F72" si="3">CONCATENATE(D54,"=",E54,"*",C77,G66)</f>
        <v>SlabMass2_F=SlabVWC2_F*S2_H20_Corr;</v>
      </c>
      <c r="G66" s="49" t="s">
        <v>233</v>
      </c>
    </row>
    <row r="67" spans="1:7" x14ac:dyDescent="0.25">
      <c r="A67" s="77" t="s">
        <v>236</v>
      </c>
      <c r="F67" s="49" t="str">
        <f t="shared" si="3"/>
        <v>SlabMass3_F=SlabVWC3_F*S3_H20_Corr;</v>
      </c>
      <c r="G67" s="49" t="s">
        <v>233</v>
      </c>
    </row>
    <row r="68" spans="1:7" x14ac:dyDescent="0.25">
      <c r="A68" s="77" t="s">
        <v>237</v>
      </c>
      <c r="F68" s="49" t="str">
        <f t="shared" si="3"/>
        <v>SlabMass4_F=SlabVWC4_F*S4_H20_Corr;</v>
      </c>
      <c r="G68" s="49" t="s">
        <v>233</v>
      </c>
    </row>
    <row r="69" spans="1:7" x14ac:dyDescent="0.25">
      <c r="A69" s="77" t="s">
        <v>238</v>
      </c>
      <c r="F69" s="49" t="str">
        <f t="shared" si="3"/>
        <v>SlabMass5_F=SlabVWC5_F*S5_H20_Corr;</v>
      </c>
      <c r="G69" s="49" t="s">
        <v>233</v>
      </c>
    </row>
    <row r="70" spans="1:7" x14ac:dyDescent="0.25">
      <c r="A70" s="77" t="s">
        <v>239</v>
      </c>
      <c r="F70" s="49" t="str">
        <f t="shared" si="3"/>
        <v>SlabMass6_F=SlabVWC6_F*S6_H20_Corr;</v>
      </c>
      <c r="G70" s="49" t="s">
        <v>233</v>
      </c>
    </row>
    <row r="71" spans="1:7" x14ac:dyDescent="0.25">
      <c r="A71" s="77" t="s">
        <v>240</v>
      </c>
      <c r="F71" s="49" t="str">
        <f t="shared" si="3"/>
        <v>SlabMass7_F=SlabVWC7_F*S7_H20_Corr;</v>
      </c>
      <c r="G71" s="49" t="s">
        <v>233</v>
      </c>
    </row>
    <row r="72" spans="1:7" x14ac:dyDescent="0.25">
      <c r="A72" s="77" t="s">
        <v>241</v>
      </c>
      <c r="F72" s="49" t="str">
        <f t="shared" si="3"/>
        <v>SlabMass8_F=SlabVWC8_F*S8_H20_Corr;</v>
      </c>
      <c r="G72" s="49" t="s">
        <v>233</v>
      </c>
    </row>
    <row r="73" spans="1:7" x14ac:dyDescent="0.25">
      <c r="F73" s="70" t="str">
        <f>CONCATENATE(F65,F66,F67,F68,F69,F70,F71,F72)</f>
        <v>SlabMass1_F=SlabVWC1_F*S1_H20_Corr;SlabMass2_F=SlabVWC2_F*S2_H20_Corr;SlabMass3_F=SlabVWC3_F*S3_H20_Corr;SlabMass4_F=SlabVWC4_F*S4_H20_Corr;SlabMass5_F=SlabVWC5_F*S5_H20_Corr;SlabMass6_F=SlabVWC6_F*S6_H20_Corr;SlabMass7_F=SlabVWC7_F*S7_H20_Corr;SlabMass8_F=SlabVWC8_F*S8_H20_Corr;</v>
      </c>
    </row>
    <row r="76" spans="1:7" x14ac:dyDescent="0.25">
      <c r="B76" s="79" t="s">
        <v>224</v>
      </c>
      <c r="C76" t="s">
        <v>242</v>
      </c>
      <c r="D76" s="76" t="str">
        <f>CONCATENATE("(","(",$B$87,"*",C53,$B$88,")","-","(",$B$89,"*",C53,$B$90,")","+","(",$B$91,"*",C53,")","+",$B$92,")")</f>
        <v>((0.00002*ST1_A.^3)-(0.0063*ST1_A.^2)+(0.0269*ST1_A)+1000)</v>
      </c>
      <c r="G76" t="str">
        <f>CONCATENATE(C76,"=",D76)</f>
        <v>S1_H20_Corr=((0.00002*ST1_A.^3)-(0.0063*ST1_A.^2)+(0.0269*ST1_A)+1000)</v>
      </c>
    </row>
    <row r="77" spans="1:7" x14ac:dyDescent="0.25">
      <c r="B77" s="79" t="s">
        <v>225</v>
      </c>
      <c r="C77" s="49" t="s">
        <v>243</v>
      </c>
      <c r="D77" s="76" t="str">
        <f t="shared" ref="D77:D83" si="4">CONCATENATE("(","(",$B$87,"*",C54,$B$88,")","-","(",$B$89,"*",C54,$B$90,")","+","(",$B$91,"*",C54,")","+",$B$92,")")</f>
        <v>((0.00002*ST2_A.^3)-(0.0063*ST2_A.^2)+(0.0269*ST2_A)+1000)</v>
      </c>
      <c r="G77" s="49" t="str">
        <f t="shared" ref="G77:G83" si="5">CONCATENATE(C77,"=",D77)</f>
        <v>S2_H20_Corr=((0.00002*ST2_A.^3)-(0.0063*ST2_A.^2)+(0.0269*ST2_A)+1000)</v>
      </c>
    </row>
    <row r="78" spans="1:7" x14ac:dyDescent="0.25">
      <c r="B78" s="79" t="s">
        <v>226</v>
      </c>
      <c r="C78" s="49" t="s">
        <v>244</v>
      </c>
      <c r="D78" s="76" t="str">
        <f t="shared" si="4"/>
        <v>((0.00002*ST3_A.^3)-(0.0063*ST3_A.^2)+(0.0269*ST3_A)+1000)</v>
      </c>
      <c r="G78" s="49" t="str">
        <f t="shared" si="5"/>
        <v>S3_H20_Corr=((0.00002*ST3_A.^3)-(0.0063*ST3_A.^2)+(0.0269*ST3_A)+1000)</v>
      </c>
    </row>
    <row r="79" spans="1:7" x14ac:dyDescent="0.25">
      <c r="B79" s="79" t="s">
        <v>227</v>
      </c>
      <c r="C79" s="49" t="s">
        <v>245</v>
      </c>
      <c r="D79" s="76" t="str">
        <f t="shared" si="4"/>
        <v>((0.00002*ST4_A.^3)-(0.0063*ST4_A.^2)+(0.0269*ST4_A)+1000)</v>
      </c>
      <c r="G79" s="49" t="str">
        <f t="shared" si="5"/>
        <v>S4_H20_Corr=((0.00002*ST4_A.^3)-(0.0063*ST4_A.^2)+(0.0269*ST4_A)+1000)</v>
      </c>
    </row>
    <row r="80" spans="1:7" x14ac:dyDescent="0.25">
      <c r="B80" s="79" t="s">
        <v>228</v>
      </c>
      <c r="C80" s="49" t="s">
        <v>246</v>
      </c>
      <c r="D80" s="76" t="str">
        <f t="shared" si="4"/>
        <v>((0.00002*ST5_A.^3)-(0.0063*ST5_A.^2)+(0.0269*ST5_A)+1000)</v>
      </c>
      <c r="G80" s="49" t="str">
        <f t="shared" si="5"/>
        <v>S5_H20_Corr=((0.00002*ST5_A.^3)-(0.0063*ST5_A.^2)+(0.0269*ST5_A)+1000)</v>
      </c>
    </row>
    <row r="81" spans="2:7" x14ac:dyDescent="0.25">
      <c r="B81" s="79" t="s">
        <v>229</v>
      </c>
      <c r="C81" s="49" t="s">
        <v>247</v>
      </c>
      <c r="D81" s="76" t="str">
        <f t="shared" si="4"/>
        <v>((0.00002*ST6_A.^3)-(0.0063*ST6_A.^2)+(0.0269*ST6_A)+1000)</v>
      </c>
      <c r="G81" s="49" t="str">
        <f t="shared" si="5"/>
        <v>S6_H20_Corr=((0.00002*ST6_A.^3)-(0.0063*ST6_A.^2)+(0.0269*ST6_A)+1000)</v>
      </c>
    </row>
    <row r="82" spans="2:7" x14ac:dyDescent="0.25">
      <c r="B82" s="79" t="s">
        <v>230</v>
      </c>
      <c r="C82" s="49" t="s">
        <v>248</v>
      </c>
      <c r="D82" s="76" t="str">
        <f t="shared" si="4"/>
        <v>((0.00002*ST7_A.^3)-(0.0063*ST7_A.^2)+(0.0269*ST7_A)+1000)</v>
      </c>
      <c r="G82" s="49" t="str">
        <f t="shared" si="5"/>
        <v>S7_H20_Corr=((0.00002*ST7_A.^3)-(0.0063*ST7_A.^2)+(0.0269*ST7_A)+1000)</v>
      </c>
    </row>
    <row r="83" spans="2:7" x14ac:dyDescent="0.25">
      <c r="B83" s="79" t="s">
        <v>231</v>
      </c>
      <c r="C83" s="49" t="s">
        <v>249</v>
      </c>
      <c r="D83" s="76" t="str">
        <f t="shared" si="4"/>
        <v>((0.00002*ST8_A.^3)-(0.0063*ST8_A.^2)+(0.0269*ST8_A)+1000)</v>
      </c>
      <c r="G83" s="49" t="str">
        <f t="shared" si="5"/>
        <v>S8_H20_Corr=((0.00002*ST8_A.^3)-(0.0063*ST8_A.^2)+(0.0269*ST8_A)+1000)</v>
      </c>
    </row>
    <row r="85" spans="2:7" x14ac:dyDescent="0.25">
      <c r="G85" s="80" t="str">
        <f>CONCATENATE(G76,";",G77,";",G78,";",G79,";",G80,";",G81,";",G82,";",G83,";")</f>
        <v>S1_H20_Corr=((0.00002*ST1_A.^3)-(0.0063*ST1_A.^2)+(0.0269*ST1_A)+1000);S2_H20_Corr=((0.00002*ST2_A.^3)-(0.0063*ST2_A.^2)+(0.0269*ST2_A)+1000);S3_H20_Corr=((0.00002*ST3_A.^3)-(0.0063*ST3_A.^2)+(0.0269*ST3_A)+1000);S4_H20_Corr=((0.00002*ST4_A.^3)-(0.0063*ST4_A.^2)+(0.0269*ST4_A)+1000);S5_H20_Corr=((0.00002*ST5_A.^3)-(0.0063*ST5_A.^2)+(0.0269*ST5_A)+1000);S6_H20_Corr=((0.00002*ST6_A.^3)-(0.0063*ST6_A.^2)+(0.0269*ST6_A)+1000);S7_H20_Corr=((0.00002*ST7_A.^3)-(0.0063*ST7_A.^2)+(0.0269*ST7_A)+1000);S8_H20_Corr=((0.00002*ST8_A.^3)-(0.0063*ST8_A.^2)+(0.0269*ST8_A)+1000);</v>
      </c>
    </row>
    <row r="86" spans="2:7" x14ac:dyDescent="0.25">
      <c r="D86" t="s">
        <v>250</v>
      </c>
    </row>
    <row r="87" spans="2:7" x14ac:dyDescent="0.25">
      <c r="B87">
        <v>2.0000000000000002E-5</v>
      </c>
      <c r="G87" t="s">
        <v>274</v>
      </c>
    </row>
    <row r="88" spans="2:7" x14ac:dyDescent="0.25">
      <c r="B88" t="s">
        <v>251</v>
      </c>
    </row>
    <row r="89" spans="2:7" x14ac:dyDescent="0.25">
      <c r="B89">
        <v>6.3E-3</v>
      </c>
      <c r="D89" s="80"/>
    </row>
    <row r="90" spans="2:7" x14ac:dyDescent="0.25">
      <c r="B90" t="s">
        <v>252</v>
      </c>
    </row>
    <row r="91" spans="2:7" x14ac:dyDescent="0.25">
      <c r="B91">
        <v>2.69E-2</v>
      </c>
    </row>
    <row r="92" spans="2:7" x14ac:dyDescent="0.25">
      <c r="B92">
        <v>1000</v>
      </c>
    </row>
    <row r="96" spans="2:7" x14ac:dyDescent="0.25">
      <c r="C96" s="47">
        <v>5837600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zoomScale="70" zoomScaleNormal="70" workbookViewId="0">
      <selection activeCell="D7" sqref="D7"/>
    </sheetView>
  </sheetViews>
  <sheetFormatPr defaultColWidth="11.42578125" defaultRowHeight="15" x14ac:dyDescent="0.25"/>
  <cols>
    <col min="1" max="1" width="17.85546875" bestFit="1" customWidth="1"/>
    <col min="2" max="2" width="12.140625" bestFit="1" customWidth="1"/>
  </cols>
  <sheetData>
    <row r="1" spans="1:24" ht="45" x14ac:dyDescent="0.25">
      <c r="G1" s="50" t="s">
        <v>134</v>
      </c>
      <c r="H1" s="50" t="s">
        <v>135</v>
      </c>
      <c r="I1" s="53" t="s">
        <v>136</v>
      </c>
      <c r="J1" s="50" t="s">
        <v>137</v>
      </c>
      <c r="K1" s="53" t="s">
        <v>137</v>
      </c>
      <c r="L1" s="50" t="s">
        <v>86</v>
      </c>
      <c r="M1" s="53" t="s">
        <v>86</v>
      </c>
    </row>
    <row r="2" spans="1:24" x14ac:dyDescent="0.25">
      <c r="G2" s="50" t="s">
        <v>138</v>
      </c>
      <c r="H2" s="50" t="s">
        <v>139</v>
      </c>
      <c r="I2" s="53" t="s">
        <v>140</v>
      </c>
      <c r="J2" s="50" t="s">
        <v>141</v>
      </c>
      <c r="K2" s="53" t="s">
        <v>142</v>
      </c>
      <c r="L2" s="50" t="s">
        <v>143</v>
      </c>
      <c r="M2" s="53" t="s">
        <v>144</v>
      </c>
    </row>
    <row r="3" spans="1:24" ht="15.75" thickBot="1" x14ac:dyDescent="0.3">
      <c r="B3" t="s">
        <v>40</v>
      </c>
      <c r="C3" t="s">
        <v>41</v>
      </c>
      <c r="G3" s="51">
        <v>2</v>
      </c>
      <c r="H3" s="51">
        <v>1.6735</v>
      </c>
      <c r="I3" s="51">
        <v>1.6735000000000001E-3</v>
      </c>
      <c r="J3" s="51">
        <v>1.6736</v>
      </c>
      <c r="K3" s="51">
        <v>1.6736E-6</v>
      </c>
      <c r="L3" s="51">
        <v>0.99990000000000001</v>
      </c>
      <c r="M3" s="52">
        <v>999.9</v>
      </c>
    </row>
    <row r="4" spans="1:24" ht="15.75" thickBot="1" x14ac:dyDescent="0.3">
      <c r="A4" t="s">
        <v>199</v>
      </c>
      <c r="B4">
        <v>22.9</v>
      </c>
      <c r="C4" s="7">
        <f>C6+(B4-B6)*((C5-C6)/(B5-B6))</f>
        <v>1.0005195999999998</v>
      </c>
      <c r="G4" s="51">
        <v>3</v>
      </c>
      <c r="H4" s="51">
        <v>1.619</v>
      </c>
      <c r="I4" s="51">
        <v>1.619E-3</v>
      </c>
      <c r="J4" s="51">
        <v>1.6191</v>
      </c>
      <c r="K4" s="51">
        <v>1.6190999999999999E-6</v>
      </c>
      <c r="L4" s="51">
        <v>1</v>
      </c>
      <c r="M4" s="52">
        <v>1000</v>
      </c>
    </row>
    <row r="5" spans="1:24" x14ac:dyDescent="0.25">
      <c r="A5" t="s">
        <v>38</v>
      </c>
      <c r="B5">
        <v>23</v>
      </c>
      <c r="C5" s="9">
        <v>1.0004949999999999</v>
      </c>
      <c r="G5" s="51">
        <v>4</v>
      </c>
      <c r="H5" s="51">
        <v>1.5672999999999999</v>
      </c>
      <c r="I5" s="51">
        <v>1.5673E-3</v>
      </c>
      <c r="J5" s="51">
        <v>1.5673999999999999</v>
      </c>
      <c r="K5" s="51">
        <v>1.5673999999999998E-6</v>
      </c>
      <c r="L5" s="51">
        <v>1</v>
      </c>
      <c r="M5" s="52">
        <v>1000</v>
      </c>
    </row>
    <row r="6" spans="1:24" x14ac:dyDescent="0.25">
      <c r="A6" t="s">
        <v>39</v>
      </c>
      <c r="B6">
        <v>22.5</v>
      </c>
      <c r="C6" s="9">
        <v>1.000618</v>
      </c>
      <c r="G6" s="51">
        <v>5</v>
      </c>
      <c r="H6" s="51">
        <v>1.5182</v>
      </c>
      <c r="I6" s="51">
        <v>1.5181999999999999E-3</v>
      </c>
      <c r="J6" s="51">
        <v>1.5182</v>
      </c>
      <c r="K6" s="51">
        <v>1.5181999999999999E-6</v>
      </c>
      <c r="L6" s="51">
        <v>1</v>
      </c>
      <c r="M6" s="52">
        <v>1000</v>
      </c>
    </row>
    <row r="7" spans="1:24" ht="17.25" x14ac:dyDescent="0.25">
      <c r="D7" t="s">
        <v>145</v>
      </c>
      <c r="G7" s="51">
        <v>6</v>
      </c>
      <c r="H7" s="51">
        <v>1.4715</v>
      </c>
      <c r="I7" s="51">
        <v>1.4714999999999999E-3</v>
      </c>
      <c r="J7" s="51">
        <v>1.4716</v>
      </c>
      <c r="K7" s="51">
        <v>1.4716E-6</v>
      </c>
      <c r="L7" s="51">
        <v>0.99990000000000001</v>
      </c>
      <c r="M7" s="52">
        <v>999.9</v>
      </c>
    </row>
    <row r="8" spans="1:24" x14ac:dyDescent="0.25">
      <c r="D8" s="48" t="s">
        <v>146</v>
      </c>
      <c r="G8" s="51">
        <v>7</v>
      </c>
      <c r="H8" s="51">
        <v>1.4271</v>
      </c>
      <c r="I8" s="51">
        <v>1.4270999999999999E-3</v>
      </c>
      <c r="J8" s="51">
        <v>1.4272</v>
      </c>
      <c r="K8" s="51">
        <v>1.4272000000000001E-6</v>
      </c>
      <c r="L8" s="51">
        <v>0.99990000000000001</v>
      </c>
      <c r="M8" s="52">
        <v>999.9</v>
      </c>
    </row>
    <row r="9" spans="1:24" x14ac:dyDescent="0.25">
      <c r="G9" s="51">
        <v>8</v>
      </c>
      <c r="H9" s="51">
        <v>1.3847</v>
      </c>
      <c r="I9" s="51">
        <v>1.3847E-3</v>
      </c>
      <c r="J9" s="51">
        <v>1.3849</v>
      </c>
      <c r="K9" s="51">
        <v>1.3849000000000001E-6</v>
      </c>
      <c r="L9" s="51">
        <v>0.99990000000000001</v>
      </c>
      <c r="M9" s="52">
        <v>999.9</v>
      </c>
    </row>
    <row r="10" spans="1:24" ht="15.75" thickBot="1" x14ac:dyDescent="0.3">
      <c r="C10" s="75">
        <v>2.0000000000000002E-5</v>
      </c>
      <c r="G10" s="51">
        <v>9</v>
      </c>
      <c r="H10" s="51">
        <v>1.3444</v>
      </c>
      <c r="I10" s="51">
        <v>1.3443999999999999E-3</v>
      </c>
      <c r="J10" s="51">
        <v>1.3447</v>
      </c>
      <c r="K10" s="51">
        <v>1.3447E-6</v>
      </c>
      <c r="L10" s="51">
        <v>0.99980000000000002</v>
      </c>
      <c r="M10" s="52">
        <v>999.80000000000007</v>
      </c>
    </row>
    <row r="11" spans="1:24" ht="30.75" thickTop="1" x14ac:dyDescent="0.25">
      <c r="G11" s="51">
        <v>10</v>
      </c>
      <c r="H11" s="51">
        <v>1.3059000000000001</v>
      </c>
      <c r="I11" s="51">
        <v>1.3059E-3</v>
      </c>
      <c r="J11" s="51">
        <v>1.3063</v>
      </c>
      <c r="K11" s="51">
        <v>1.3063000000000001E-6</v>
      </c>
      <c r="L11" s="51">
        <v>0.99970000000000003</v>
      </c>
      <c r="M11" s="52">
        <v>999.7</v>
      </c>
      <c r="O11" s="32" t="s">
        <v>83</v>
      </c>
      <c r="P11" s="33" t="s">
        <v>86</v>
      </c>
      <c r="Q11" s="34" t="s">
        <v>89</v>
      </c>
      <c r="R11" s="49"/>
      <c r="S11" s="49"/>
      <c r="T11" s="32" t="s">
        <v>83</v>
      </c>
      <c r="U11" s="33" t="s">
        <v>86</v>
      </c>
      <c r="V11" s="66" t="s">
        <v>89</v>
      </c>
      <c r="W11" s="67"/>
      <c r="X11" s="49"/>
    </row>
    <row r="12" spans="1:24" ht="15.75" thickBot="1" x14ac:dyDescent="0.3">
      <c r="G12" s="51">
        <v>11</v>
      </c>
      <c r="H12" s="51">
        <v>1.2692000000000001</v>
      </c>
      <c r="I12" s="51">
        <v>1.2692000000000001E-3</v>
      </c>
      <c r="J12" s="51">
        <v>1.2696000000000001</v>
      </c>
      <c r="K12" s="51">
        <v>1.2696000000000001E-6</v>
      </c>
      <c r="L12" s="51">
        <v>0.99960000000000004</v>
      </c>
      <c r="M12" s="52">
        <v>999.6</v>
      </c>
      <c r="O12" s="35" t="s">
        <v>84</v>
      </c>
      <c r="P12" s="29" t="s">
        <v>87</v>
      </c>
      <c r="Q12" s="36" t="s">
        <v>90</v>
      </c>
      <c r="R12" s="49"/>
      <c r="S12" s="49"/>
      <c r="T12" s="35" t="s">
        <v>84</v>
      </c>
      <c r="U12" s="29" t="s">
        <v>87</v>
      </c>
      <c r="V12" s="68" t="s">
        <v>90</v>
      </c>
      <c r="W12" s="69"/>
      <c r="X12" s="49"/>
    </row>
    <row r="13" spans="1:24" ht="29.25" thickBot="1" x14ac:dyDescent="0.3">
      <c r="G13" s="51">
        <v>12</v>
      </c>
      <c r="H13" s="51">
        <v>1.234</v>
      </c>
      <c r="I13" s="51">
        <v>1.2340000000000001E-3</v>
      </c>
      <c r="J13" s="51">
        <v>1.2346999999999999</v>
      </c>
      <c r="K13" s="51">
        <v>1.2347E-6</v>
      </c>
      <c r="L13" s="51">
        <v>0.99950000000000006</v>
      </c>
      <c r="M13" s="52">
        <v>999.5</v>
      </c>
      <c r="O13" s="37" t="s">
        <v>85</v>
      </c>
      <c r="P13" s="30" t="s">
        <v>88</v>
      </c>
      <c r="Q13" s="38" t="s">
        <v>91</v>
      </c>
      <c r="R13" s="49"/>
      <c r="S13" s="49"/>
      <c r="T13" s="37" t="s">
        <v>93</v>
      </c>
      <c r="U13" s="44" t="s">
        <v>94</v>
      </c>
      <c r="V13" s="45" t="s">
        <v>95</v>
      </c>
      <c r="W13" s="46" t="s">
        <v>96</v>
      </c>
      <c r="X13" s="49"/>
    </row>
    <row r="14" spans="1:24" ht="15.75" thickBot="1" x14ac:dyDescent="0.3">
      <c r="G14" s="51">
        <v>13</v>
      </c>
      <c r="H14" s="51">
        <v>1.2004999999999999</v>
      </c>
      <c r="I14" s="51">
        <v>1.2005E-3</v>
      </c>
      <c r="J14" s="51">
        <v>1.2012</v>
      </c>
      <c r="K14" s="51">
        <v>1.2012E-6</v>
      </c>
      <c r="L14" s="51">
        <v>0.99939999999999996</v>
      </c>
      <c r="M14" s="52">
        <v>999.4</v>
      </c>
      <c r="O14" s="39">
        <v>0</v>
      </c>
      <c r="P14" s="31">
        <v>999.8</v>
      </c>
      <c r="Q14" s="40">
        <v>9.8059999999999992</v>
      </c>
      <c r="R14" s="49"/>
      <c r="S14" s="49"/>
      <c r="T14" s="39">
        <v>32</v>
      </c>
      <c r="U14" s="31">
        <v>1.94</v>
      </c>
      <c r="V14" s="31">
        <v>62.42</v>
      </c>
      <c r="W14" s="40">
        <v>8.3436000000000003</v>
      </c>
      <c r="X14" s="49"/>
    </row>
    <row r="15" spans="1:24" ht="15.75" thickBot="1" x14ac:dyDescent="0.3">
      <c r="G15" s="51">
        <v>14</v>
      </c>
      <c r="H15" s="51">
        <v>1.1682999999999999</v>
      </c>
      <c r="I15" s="51">
        <v>1.1682999999999999E-3</v>
      </c>
      <c r="J15" s="51">
        <v>1.1692</v>
      </c>
      <c r="K15" s="51">
        <v>1.1692E-6</v>
      </c>
      <c r="L15" s="51">
        <v>0.99919999999999998</v>
      </c>
      <c r="M15" s="52">
        <v>999.19999999999993</v>
      </c>
      <c r="O15" s="39">
        <v>4</v>
      </c>
      <c r="P15" s="31">
        <v>1000</v>
      </c>
      <c r="Q15" s="40">
        <v>9.8070000000000004</v>
      </c>
      <c r="R15" s="49"/>
      <c r="S15" s="49"/>
      <c r="T15" s="39">
        <v>40</v>
      </c>
      <c r="U15" s="31">
        <v>1.94</v>
      </c>
      <c r="V15" s="31">
        <v>62.43</v>
      </c>
      <c r="W15" s="40">
        <v>8.3451000000000004</v>
      </c>
      <c r="X15" s="49"/>
    </row>
    <row r="16" spans="1:24" ht="15.75" thickBot="1" x14ac:dyDescent="0.3">
      <c r="G16" s="51">
        <v>15</v>
      </c>
      <c r="H16" s="51">
        <v>1.1375</v>
      </c>
      <c r="I16" s="51">
        <v>1.1375000000000001E-3</v>
      </c>
      <c r="J16" s="51">
        <v>1.1386000000000001</v>
      </c>
      <c r="K16" s="51">
        <v>1.1386E-6</v>
      </c>
      <c r="L16" s="51">
        <v>0.99909999999999999</v>
      </c>
      <c r="M16" s="52">
        <v>999.1</v>
      </c>
      <c r="O16" s="39">
        <v>10</v>
      </c>
      <c r="P16" s="31">
        <v>999.7</v>
      </c>
      <c r="Q16" s="40">
        <v>9.8040000000000003</v>
      </c>
      <c r="R16" s="49"/>
      <c r="S16" s="49"/>
      <c r="T16" s="39">
        <v>50</v>
      </c>
      <c r="U16" s="31">
        <v>1.94</v>
      </c>
      <c r="V16" s="31">
        <v>62.41</v>
      </c>
      <c r="W16" s="40">
        <v>8.343</v>
      </c>
      <c r="X16" s="49"/>
    </row>
    <row r="17" spans="7:24" ht="15.75" thickBot="1" x14ac:dyDescent="0.3">
      <c r="G17" s="54">
        <v>16</v>
      </c>
      <c r="H17" s="54">
        <v>1.1081000000000001</v>
      </c>
      <c r="I17" s="54">
        <v>1.1081000000000001E-3</v>
      </c>
      <c r="J17" s="54">
        <v>1.1092</v>
      </c>
      <c r="K17" s="54">
        <v>1.1091999999999999E-6</v>
      </c>
      <c r="L17" s="54">
        <v>0.99890000000000001</v>
      </c>
      <c r="M17" s="55">
        <v>998.9</v>
      </c>
      <c r="O17" s="39">
        <v>20</v>
      </c>
      <c r="P17" s="31">
        <v>998.2</v>
      </c>
      <c r="Q17" s="40">
        <v>9.7889999999999997</v>
      </c>
      <c r="R17" s="49"/>
      <c r="S17" s="49"/>
      <c r="T17" s="39">
        <v>60</v>
      </c>
      <c r="U17" s="31">
        <v>1.9379999999999999</v>
      </c>
      <c r="V17" s="31">
        <v>62.37</v>
      </c>
      <c r="W17" s="40">
        <v>8.3377999999999997</v>
      </c>
      <c r="X17" s="49"/>
    </row>
    <row r="18" spans="7:24" ht="15.75" thickBot="1" x14ac:dyDescent="0.3">
      <c r="G18" s="54">
        <v>17</v>
      </c>
      <c r="H18" s="54">
        <v>1.0798000000000001</v>
      </c>
      <c r="I18" s="54">
        <v>1.0798000000000001E-3</v>
      </c>
      <c r="J18" s="54">
        <v>1.0810999999999999</v>
      </c>
      <c r="K18" s="54">
        <v>1.0810999999999999E-6</v>
      </c>
      <c r="L18" s="54">
        <v>0.99880000000000002</v>
      </c>
      <c r="M18" s="55">
        <v>998.80000000000007</v>
      </c>
      <c r="O18" s="39">
        <v>30</v>
      </c>
      <c r="P18" s="31">
        <v>995.7</v>
      </c>
      <c r="Q18" s="40">
        <v>9.7650000000000006</v>
      </c>
      <c r="R18" s="49"/>
      <c r="S18" s="49"/>
      <c r="T18" s="39">
        <v>70</v>
      </c>
      <c r="U18" s="31">
        <v>1.9359999999999999</v>
      </c>
      <c r="V18" s="31">
        <v>62.3</v>
      </c>
      <c r="W18" s="40">
        <v>8.3290000000000006</v>
      </c>
      <c r="X18" s="49"/>
    </row>
    <row r="19" spans="7:24" ht="15.75" thickBot="1" x14ac:dyDescent="0.3">
      <c r="G19" s="54">
        <v>18</v>
      </c>
      <c r="H19" s="54">
        <v>1.0526</v>
      </c>
      <c r="I19" s="54">
        <v>1.0525999999999999E-3</v>
      </c>
      <c r="J19" s="54">
        <v>1.0541</v>
      </c>
      <c r="K19" s="54">
        <v>1.0541E-6</v>
      </c>
      <c r="L19" s="54">
        <v>0.99860000000000004</v>
      </c>
      <c r="M19" s="55">
        <v>998.6</v>
      </c>
      <c r="O19" s="39">
        <v>40</v>
      </c>
      <c r="P19" s="31">
        <v>992.2</v>
      </c>
      <c r="Q19" s="40">
        <v>9.7309999999999999</v>
      </c>
      <c r="R19" s="49"/>
      <c r="S19" s="49"/>
      <c r="T19" s="39">
        <v>80</v>
      </c>
      <c r="U19" s="31">
        <v>1.9339999999999999</v>
      </c>
      <c r="V19" s="31">
        <v>62.22</v>
      </c>
      <c r="W19" s="40">
        <v>8.3176000000000005</v>
      </c>
      <c r="X19" s="49"/>
    </row>
    <row r="20" spans="7:24" ht="15.75" thickBot="1" x14ac:dyDescent="0.3">
      <c r="G20" s="54">
        <v>19</v>
      </c>
      <c r="H20" s="54">
        <v>1.0266</v>
      </c>
      <c r="I20" s="54">
        <v>1.0265999999999999E-3</v>
      </c>
      <c r="J20" s="54">
        <v>1.0282</v>
      </c>
      <c r="K20" s="54">
        <v>1.0282E-6</v>
      </c>
      <c r="L20" s="54">
        <v>0.99839999999999995</v>
      </c>
      <c r="M20" s="55">
        <v>998.4</v>
      </c>
      <c r="O20" s="39">
        <v>50</v>
      </c>
      <c r="P20" s="31">
        <v>988.1</v>
      </c>
      <c r="Q20" s="40">
        <v>9.69</v>
      </c>
      <c r="R20" s="49"/>
      <c r="S20" s="49"/>
      <c r="T20" s="39">
        <v>90</v>
      </c>
      <c r="U20" s="31">
        <v>1.931</v>
      </c>
      <c r="V20" s="31">
        <v>62.11</v>
      </c>
      <c r="W20" s="40">
        <v>8.3077000000000005</v>
      </c>
      <c r="X20" s="49"/>
    </row>
    <row r="21" spans="7:24" ht="15.75" thickBot="1" x14ac:dyDescent="0.3">
      <c r="G21" s="54">
        <v>20</v>
      </c>
      <c r="H21" s="54">
        <v>1.0016</v>
      </c>
      <c r="I21" s="54">
        <v>1.0016000000000001E-3</v>
      </c>
      <c r="J21" s="54">
        <v>1.0034000000000001</v>
      </c>
      <c r="K21" s="54">
        <v>1.0034E-6</v>
      </c>
      <c r="L21" s="54">
        <v>0.99819999999999998</v>
      </c>
      <c r="M21" s="55">
        <v>998.19999999999993</v>
      </c>
      <c r="O21" s="39">
        <v>60</v>
      </c>
      <c r="P21" s="31">
        <v>983.2</v>
      </c>
      <c r="Q21" s="40">
        <v>9.6419999999999995</v>
      </c>
      <c r="R21" s="49"/>
      <c r="S21" s="49"/>
      <c r="T21" s="39">
        <v>100</v>
      </c>
      <c r="U21" s="31">
        <v>1.927</v>
      </c>
      <c r="V21" s="31">
        <v>62</v>
      </c>
      <c r="W21" s="40">
        <v>8.2876999999999992</v>
      </c>
      <c r="X21" s="49"/>
    </row>
    <row r="22" spans="7:24" ht="15.75" thickBot="1" x14ac:dyDescent="0.3">
      <c r="G22" s="54">
        <v>21</v>
      </c>
      <c r="H22" s="54">
        <v>0.97750000000000004</v>
      </c>
      <c r="I22" s="54">
        <v>9.7750000000000007E-4</v>
      </c>
      <c r="J22" s="54">
        <v>0.97950000000000004</v>
      </c>
      <c r="K22" s="54">
        <v>9.7950000000000011E-7</v>
      </c>
      <c r="L22" s="54">
        <v>0.998</v>
      </c>
      <c r="M22" s="55">
        <v>998</v>
      </c>
      <c r="O22" s="39">
        <v>70</v>
      </c>
      <c r="P22" s="31">
        <v>977.8</v>
      </c>
      <c r="Q22" s="40">
        <v>9.5890000000000004</v>
      </c>
      <c r="R22" s="49"/>
      <c r="S22" s="49"/>
      <c r="T22" s="39">
        <v>120</v>
      </c>
      <c r="U22" s="31">
        <v>1.9179999999999999</v>
      </c>
      <c r="V22" s="31">
        <v>61.71</v>
      </c>
      <c r="W22" s="40">
        <v>8.2498000000000005</v>
      </c>
      <c r="X22" s="49"/>
    </row>
    <row r="23" spans="7:24" ht="15.75" thickBot="1" x14ac:dyDescent="0.3">
      <c r="G23" s="54">
        <v>22</v>
      </c>
      <c r="H23" s="54">
        <v>0.95440000000000003</v>
      </c>
      <c r="I23" s="54">
        <v>9.544E-4</v>
      </c>
      <c r="J23" s="54">
        <v>0.95650000000000002</v>
      </c>
      <c r="K23" s="54">
        <v>9.5650000000000007E-7</v>
      </c>
      <c r="L23" s="54">
        <v>0.99780000000000002</v>
      </c>
      <c r="M23" s="55">
        <v>997.80000000000007</v>
      </c>
      <c r="O23" s="39">
        <v>80</v>
      </c>
      <c r="P23" s="31">
        <v>971.8</v>
      </c>
      <c r="Q23" s="40">
        <v>9.5299999999999994</v>
      </c>
      <c r="R23" s="49"/>
      <c r="S23" s="49"/>
      <c r="T23" s="39">
        <v>140</v>
      </c>
      <c r="U23" s="31">
        <v>1.9079999999999999</v>
      </c>
      <c r="V23" s="31">
        <v>61.38</v>
      </c>
      <c r="W23" s="40">
        <v>8.2048000000000005</v>
      </c>
      <c r="X23" s="49"/>
    </row>
    <row r="24" spans="7:24" ht="15.75" thickBot="1" x14ac:dyDescent="0.3">
      <c r="G24" s="54">
        <v>23</v>
      </c>
      <c r="H24" s="54">
        <v>0.93210000000000004</v>
      </c>
      <c r="I24" s="54">
        <v>9.3210000000000005E-4</v>
      </c>
      <c r="J24" s="54">
        <v>0.93440000000000001</v>
      </c>
      <c r="K24" s="54">
        <v>9.344E-7</v>
      </c>
      <c r="L24" s="54">
        <v>0.99750000000000005</v>
      </c>
      <c r="M24" s="55">
        <v>997.5</v>
      </c>
      <c r="O24" s="39">
        <v>90</v>
      </c>
      <c r="P24" s="31">
        <v>965.3</v>
      </c>
      <c r="Q24" s="40">
        <v>9.4670000000000005</v>
      </c>
      <c r="R24" s="49"/>
      <c r="S24" s="49"/>
      <c r="T24" s="39">
        <v>160</v>
      </c>
      <c r="U24" s="31">
        <v>1.8959999999999999</v>
      </c>
      <c r="V24" s="31">
        <v>61</v>
      </c>
      <c r="W24" s="40">
        <v>8.1537000000000006</v>
      </c>
      <c r="X24" s="49"/>
    </row>
    <row r="25" spans="7:24" ht="15.75" thickBot="1" x14ac:dyDescent="0.3">
      <c r="G25" s="54">
        <v>24</v>
      </c>
      <c r="H25" s="54">
        <v>0.91069999999999995</v>
      </c>
      <c r="I25" s="54">
        <v>9.1069999999999996E-4</v>
      </c>
      <c r="J25" s="54">
        <v>0.91310000000000002</v>
      </c>
      <c r="K25" s="54">
        <v>9.1309999999999999E-7</v>
      </c>
      <c r="L25" s="54">
        <v>0.99729999999999996</v>
      </c>
      <c r="M25" s="55">
        <v>997.3</v>
      </c>
      <c r="O25" s="41">
        <v>100</v>
      </c>
      <c r="P25" s="42">
        <v>958.4</v>
      </c>
      <c r="Q25" s="43">
        <v>9.3989999999999991</v>
      </c>
      <c r="R25" s="49"/>
      <c r="S25" s="49"/>
      <c r="T25" s="39">
        <v>180</v>
      </c>
      <c r="U25" s="31">
        <v>1.883</v>
      </c>
      <c r="V25" s="31">
        <v>60.58</v>
      </c>
      <c r="W25" s="40">
        <v>8.0968999999999998</v>
      </c>
      <c r="X25" s="49"/>
    </row>
    <row r="26" spans="7:24" ht="16.5" thickTop="1" thickBot="1" x14ac:dyDescent="0.3">
      <c r="G26" s="54">
        <v>25</v>
      </c>
      <c r="H26" s="54">
        <v>0.89</v>
      </c>
      <c r="I26" s="54">
        <v>8.9000000000000006E-4</v>
      </c>
      <c r="J26" s="54">
        <v>0.89259999999999995</v>
      </c>
      <c r="K26" s="54">
        <v>8.9259999999999993E-7</v>
      </c>
      <c r="L26" s="54">
        <v>0.997</v>
      </c>
      <c r="M26" s="55">
        <v>997</v>
      </c>
      <c r="O26" s="49"/>
      <c r="P26" s="49"/>
      <c r="Q26" s="49"/>
      <c r="R26" s="49"/>
      <c r="S26" s="49"/>
      <c r="T26" s="39">
        <v>200</v>
      </c>
      <c r="U26" s="31">
        <v>1.869</v>
      </c>
      <c r="V26" s="31">
        <v>60.12</v>
      </c>
      <c r="W26" s="40">
        <v>8.0350999999999999</v>
      </c>
      <c r="X26" s="49"/>
    </row>
    <row r="27" spans="7:24" ht="15.75" thickBot="1" x14ac:dyDescent="0.3">
      <c r="G27" s="54">
        <v>26</v>
      </c>
      <c r="H27" s="54">
        <v>0.87009999999999998</v>
      </c>
      <c r="I27" s="54">
        <v>8.7009999999999995E-4</v>
      </c>
      <c r="J27" s="54">
        <v>0.87290000000000001</v>
      </c>
      <c r="K27" s="54">
        <v>8.7290000000000004E-7</v>
      </c>
      <c r="L27" s="54">
        <v>0.99680000000000002</v>
      </c>
      <c r="M27" s="55">
        <v>996.80000000000007</v>
      </c>
      <c r="O27" s="49"/>
      <c r="P27" s="49"/>
      <c r="Q27" s="49"/>
      <c r="R27" s="49"/>
      <c r="S27" s="49"/>
      <c r="T27" s="41">
        <v>212</v>
      </c>
      <c r="U27" s="42">
        <v>1.86</v>
      </c>
      <c r="V27" s="42">
        <v>59.83</v>
      </c>
      <c r="W27" s="43">
        <v>7.9957000000000003</v>
      </c>
      <c r="X27" s="49"/>
    </row>
    <row r="28" spans="7:24" ht="15.75" thickTop="1" x14ac:dyDescent="0.25">
      <c r="G28" s="54">
        <v>27</v>
      </c>
      <c r="H28" s="54">
        <v>0.85089999999999999</v>
      </c>
      <c r="I28" s="54">
        <v>8.5090000000000003E-4</v>
      </c>
      <c r="J28" s="54">
        <v>0.85389999999999999</v>
      </c>
      <c r="K28" s="54">
        <v>8.5389999999999999E-7</v>
      </c>
      <c r="L28" s="54">
        <v>0.99650000000000005</v>
      </c>
      <c r="M28" s="55">
        <v>996.5</v>
      </c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spans="7:24" x14ac:dyDescent="0.25">
      <c r="G29" s="54">
        <v>28</v>
      </c>
      <c r="H29" s="54">
        <v>0.83240000000000003</v>
      </c>
      <c r="I29" s="54">
        <v>8.3240000000000007E-4</v>
      </c>
      <c r="J29" s="54">
        <v>0.83550000000000002</v>
      </c>
      <c r="K29" s="54">
        <v>8.3549999999999998E-7</v>
      </c>
      <c r="L29" s="54">
        <v>0.99619999999999997</v>
      </c>
      <c r="M29" s="55">
        <v>996.19999999999993</v>
      </c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7:24" x14ac:dyDescent="0.25">
      <c r="G30" s="54">
        <v>29</v>
      </c>
      <c r="H30" s="54">
        <v>0.8145</v>
      </c>
      <c r="I30" s="54">
        <v>8.1450000000000001E-4</v>
      </c>
      <c r="J30" s="54">
        <v>0.81779999999999997</v>
      </c>
      <c r="K30" s="54">
        <v>8.1779999999999992E-7</v>
      </c>
      <c r="L30" s="54">
        <v>0.99590000000000001</v>
      </c>
      <c r="M30" s="55">
        <v>995.9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7:24" x14ac:dyDescent="0.25">
      <c r="G31" s="54">
        <v>30</v>
      </c>
      <c r="H31" s="54">
        <v>0.79720000000000002</v>
      </c>
      <c r="I31" s="54">
        <v>7.9719999999999997E-4</v>
      </c>
      <c r="J31" s="54">
        <v>0.80069999999999997</v>
      </c>
      <c r="K31" s="54">
        <v>8.0070000000000002E-7</v>
      </c>
      <c r="L31" s="54">
        <v>0.99560000000000004</v>
      </c>
      <c r="M31" s="55">
        <v>995.6</v>
      </c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7:24" x14ac:dyDescent="0.25">
      <c r="G32" s="54">
        <v>31</v>
      </c>
      <c r="H32" s="54">
        <v>0.78049999999999997</v>
      </c>
      <c r="I32" s="54">
        <v>7.8049999999999994E-4</v>
      </c>
      <c r="J32" s="54">
        <v>0.78420000000000001</v>
      </c>
      <c r="K32" s="54">
        <v>7.8420000000000005E-7</v>
      </c>
      <c r="L32" s="54">
        <v>0.99529999999999996</v>
      </c>
      <c r="M32" s="55">
        <v>995.3</v>
      </c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7:13" x14ac:dyDescent="0.25">
      <c r="G33" s="54">
        <v>32</v>
      </c>
      <c r="H33" s="54">
        <v>0.76439999999999997</v>
      </c>
      <c r="I33" s="54">
        <v>7.6439999999999993E-4</v>
      </c>
      <c r="J33" s="54">
        <v>0.76819999999999999</v>
      </c>
      <c r="K33" s="54">
        <v>7.6820000000000001E-7</v>
      </c>
      <c r="L33" s="54">
        <v>0.995</v>
      </c>
      <c r="M33" s="55">
        <v>995</v>
      </c>
    </row>
    <row r="34" spans="7:13" x14ac:dyDescent="0.25">
      <c r="G34" s="54">
        <v>33</v>
      </c>
      <c r="H34" s="54">
        <v>0.74880000000000002</v>
      </c>
      <c r="I34" s="54">
        <v>7.4879999999999999E-4</v>
      </c>
      <c r="J34" s="54">
        <v>0.75280000000000002</v>
      </c>
      <c r="K34" s="54">
        <v>7.5280000000000002E-7</v>
      </c>
      <c r="L34" s="54">
        <v>0.99470000000000003</v>
      </c>
      <c r="M34" s="55">
        <v>994.7</v>
      </c>
    </row>
    <row r="35" spans="7:13" x14ac:dyDescent="0.25">
      <c r="G35" s="54">
        <v>34</v>
      </c>
      <c r="H35" s="54">
        <v>0.73370000000000002</v>
      </c>
      <c r="I35" s="54">
        <v>7.337E-4</v>
      </c>
      <c r="J35" s="54">
        <v>0.7379</v>
      </c>
      <c r="K35" s="54">
        <v>7.3789999999999996E-7</v>
      </c>
      <c r="L35" s="54">
        <v>0.99439999999999995</v>
      </c>
      <c r="M35" s="55">
        <v>994.4</v>
      </c>
    </row>
    <row r="36" spans="7:13" x14ac:dyDescent="0.25">
      <c r="G36" s="54">
        <v>35</v>
      </c>
      <c r="H36" s="54">
        <v>0.71909999999999996</v>
      </c>
      <c r="I36" s="54">
        <v>7.1909999999999997E-4</v>
      </c>
      <c r="J36" s="54">
        <v>0.72340000000000004</v>
      </c>
      <c r="K36" s="54">
        <v>7.2340000000000003E-7</v>
      </c>
      <c r="L36" s="54">
        <v>0.99399999999999999</v>
      </c>
      <c r="M36" s="55">
        <v>994</v>
      </c>
    </row>
    <row r="37" spans="7:13" x14ac:dyDescent="0.25">
      <c r="G37" s="51">
        <v>36</v>
      </c>
      <c r="H37" s="51">
        <v>0.70499999999999996</v>
      </c>
      <c r="I37" s="51">
        <v>7.0500000000000001E-4</v>
      </c>
      <c r="J37" s="51">
        <v>0.70950000000000002</v>
      </c>
      <c r="K37" s="51">
        <v>7.0950000000000005E-7</v>
      </c>
      <c r="L37" s="51">
        <v>0.99370000000000003</v>
      </c>
      <c r="M37" s="52">
        <v>993.7</v>
      </c>
    </row>
    <row r="38" spans="7:13" x14ac:dyDescent="0.25">
      <c r="G38" s="51">
        <v>37</v>
      </c>
      <c r="H38" s="51">
        <v>0.69130000000000003</v>
      </c>
      <c r="I38" s="51">
        <v>6.9130000000000005E-4</v>
      </c>
      <c r="J38" s="51">
        <v>0.69589999999999996</v>
      </c>
      <c r="K38" s="51">
        <v>6.9589999999999998E-7</v>
      </c>
      <c r="L38" s="51">
        <v>0.99329999999999996</v>
      </c>
      <c r="M38" s="52">
        <v>993.3</v>
      </c>
    </row>
    <row r="39" spans="7:13" x14ac:dyDescent="0.25">
      <c r="G39" s="51">
        <v>38</v>
      </c>
      <c r="H39" s="51">
        <v>0.67800000000000005</v>
      </c>
      <c r="I39" s="51">
        <v>6.78E-4</v>
      </c>
      <c r="J39" s="51">
        <v>0.68279999999999996</v>
      </c>
      <c r="K39" s="51">
        <v>6.8279999999999995E-7</v>
      </c>
      <c r="L39" s="51">
        <v>0.99299999999999999</v>
      </c>
      <c r="M39" s="52">
        <v>993</v>
      </c>
    </row>
    <row r="40" spans="7:13" x14ac:dyDescent="0.25">
      <c r="G40" s="51">
        <v>39</v>
      </c>
      <c r="H40" s="51">
        <v>0.66520000000000001</v>
      </c>
      <c r="I40" s="51">
        <v>6.6520000000000001E-4</v>
      </c>
      <c r="J40" s="51">
        <v>0.67020000000000002</v>
      </c>
      <c r="K40" s="51">
        <v>6.7020000000000006E-7</v>
      </c>
      <c r="L40" s="51">
        <v>0.99260000000000004</v>
      </c>
      <c r="M40" s="52">
        <v>992.6</v>
      </c>
    </row>
    <row r="41" spans="7:13" x14ac:dyDescent="0.25">
      <c r="G41" s="51">
        <v>40</v>
      </c>
      <c r="H41" s="51">
        <v>0.65269999999999995</v>
      </c>
      <c r="I41" s="51">
        <v>6.5269999999999998E-4</v>
      </c>
      <c r="J41" s="51">
        <v>0.65790000000000004</v>
      </c>
      <c r="K41" s="51">
        <v>6.5790000000000009E-7</v>
      </c>
      <c r="L41" s="51">
        <v>0.99219999999999997</v>
      </c>
      <c r="M41" s="52">
        <v>992.19999999999993</v>
      </c>
    </row>
    <row r="42" spans="7:13" x14ac:dyDescent="0.25">
      <c r="G42" s="51">
        <v>45</v>
      </c>
      <c r="H42" s="51">
        <v>0.5958</v>
      </c>
      <c r="I42" s="51">
        <v>5.9579999999999995E-4</v>
      </c>
      <c r="J42" s="51">
        <v>0.60170000000000001</v>
      </c>
      <c r="K42" s="51">
        <v>6.0169999999999999E-7</v>
      </c>
      <c r="L42" s="51">
        <v>0.99019999999999997</v>
      </c>
      <c r="M42" s="52">
        <v>990.19999999999993</v>
      </c>
    </row>
    <row r="43" spans="7:13" x14ac:dyDescent="0.25">
      <c r="G43" s="51">
        <v>50</v>
      </c>
      <c r="H43" s="51">
        <v>0.54649999999999999</v>
      </c>
      <c r="I43" s="51">
        <v>5.465E-4</v>
      </c>
      <c r="J43" s="51">
        <v>0.55310000000000004</v>
      </c>
      <c r="K43" s="51">
        <v>5.5310000000000005E-7</v>
      </c>
      <c r="L43" s="51">
        <v>0.98799999999999999</v>
      </c>
      <c r="M43" s="52">
        <v>988</v>
      </c>
    </row>
    <row r="44" spans="7:13" x14ac:dyDescent="0.25">
      <c r="G44" s="51">
        <v>55</v>
      </c>
      <c r="H44" s="51">
        <v>0.50360000000000005</v>
      </c>
      <c r="I44" s="51">
        <v>5.036000000000001E-4</v>
      </c>
      <c r="J44" s="51">
        <v>0.51090000000000002</v>
      </c>
      <c r="K44" s="51">
        <v>5.1090000000000006E-7</v>
      </c>
      <c r="L44" s="51">
        <v>0.98570000000000002</v>
      </c>
      <c r="M44" s="52">
        <v>985.7</v>
      </c>
    </row>
    <row r="45" spans="7:13" x14ac:dyDescent="0.25">
      <c r="G45" s="51">
        <v>60</v>
      </c>
      <c r="H45" s="51">
        <v>0.46600000000000003</v>
      </c>
      <c r="I45" s="51">
        <v>4.6600000000000005E-4</v>
      </c>
      <c r="J45" s="51">
        <v>0.47399999999999998</v>
      </c>
      <c r="K45" s="51">
        <v>4.7399999999999998E-7</v>
      </c>
      <c r="L45" s="51">
        <v>0.98319999999999996</v>
      </c>
      <c r="M45" s="52">
        <v>983.19999999999993</v>
      </c>
    </row>
    <row r="46" spans="7:13" x14ac:dyDescent="0.25">
      <c r="G46" s="51">
        <v>65</v>
      </c>
      <c r="H46" s="51">
        <v>0.43290000000000001</v>
      </c>
      <c r="I46" s="51">
        <v>4.3290000000000001E-4</v>
      </c>
      <c r="J46" s="51">
        <v>0.4415</v>
      </c>
      <c r="K46" s="51">
        <v>4.4150000000000003E-7</v>
      </c>
      <c r="L46" s="51">
        <v>0.98060000000000003</v>
      </c>
      <c r="M46" s="52">
        <v>980.6</v>
      </c>
    </row>
    <row r="47" spans="7:13" x14ac:dyDescent="0.25">
      <c r="G47" s="51">
        <v>70</v>
      </c>
      <c r="H47" s="51">
        <v>0.40350000000000003</v>
      </c>
      <c r="I47" s="51">
        <v>4.0350000000000005E-4</v>
      </c>
      <c r="J47" s="51">
        <v>0.41270000000000001</v>
      </c>
      <c r="K47" s="51">
        <v>4.1270000000000004E-7</v>
      </c>
      <c r="L47" s="51">
        <v>0.9778</v>
      </c>
      <c r="M47" s="52">
        <v>977.8</v>
      </c>
    </row>
    <row r="48" spans="7:13" x14ac:dyDescent="0.25">
      <c r="G48" s="51">
        <v>75</v>
      </c>
      <c r="H48" s="51">
        <v>0.37740000000000001</v>
      </c>
      <c r="I48" s="51">
        <v>3.7740000000000001E-4</v>
      </c>
      <c r="J48" s="51">
        <v>0.38719999999999999</v>
      </c>
      <c r="K48" s="51">
        <v>3.8719999999999997E-7</v>
      </c>
      <c r="L48" s="51">
        <v>0.9748</v>
      </c>
      <c r="M48" s="52">
        <v>974.8</v>
      </c>
    </row>
    <row r="49" spans="7:13" x14ac:dyDescent="0.25">
      <c r="G49" s="51">
        <v>80</v>
      </c>
      <c r="H49" s="51">
        <v>0.35399999999999998</v>
      </c>
      <c r="I49" s="51">
        <v>3.5399999999999999E-4</v>
      </c>
      <c r="J49" s="51">
        <v>0.36430000000000001</v>
      </c>
      <c r="K49" s="51">
        <v>3.643E-7</v>
      </c>
      <c r="L49" s="51">
        <v>0.9718</v>
      </c>
      <c r="M49" s="52">
        <v>971.8</v>
      </c>
    </row>
  </sheetData>
  <mergeCells count="2">
    <mergeCell ref="V11:W11"/>
    <mergeCell ref="V12:W12"/>
  </mergeCells>
  <hyperlinks>
    <hyperlink ref="P11" r:id="rId1" tooltip="Density" display="http://www.engineeringtoolbox.com/density-specific-weight-gravity-d_290.html"/>
    <hyperlink ref="Q11" r:id="rId2" tooltip="Specific weight" display="http://www.engineeringtoolbox.com/density-specific-weight-gravity-d_290.html"/>
    <hyperlink ref="U11" r:id="rId3" tooltip="Density" display="http://www.engineeringtoolbox.com/density-specific-weight-gravity-d_290.html"/>
    <hyperlink ref="U13" r:id="rId4" tooltip="Slugs - mass and weight" display="http://www.engineeringtoolbox.com/mass-weight-d_589.html"/>
    <hyperlink ref="V11" r:id="rId5" tooltip="Specific weight" display="http://www.engineeringtoolbox.com/density-specific-weight-gravity-d_290.html"/>
  </hyperlinks>
  <pageMargins left="0.75" right="0.75" top="1" bottom="1" header="0.5" footer="0.5"/>
  <pageSetup orientation="portrait" horizontalDpi="4294967292" verticalDpi="4294967292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Air-Voids</vt:lpstr>
      <vt:lpstr>Moisture Content Calcs</vt:lpstr>
      <vt:lpstr>Sheet2</vt:lpstr>
      <vt:lpstr>Final input to access</vt:lpstr>
      <vt:lpstr>Sheet1</vt:lpstr>
      <vt:lpstr>Density of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Hencken</dc:creator>
  <cp:lastModifiedBy>RAPL</cp:lastModifiedBy>
  <dcterms:created xsi:type="dcterms:W3CDTF">2016-09-20T16:47:46Z</dcterms:created>
  <dcterms:modified xsi:type="dcterms:W3CDTF">2017-10-15T02:32:05Z</dcterms:modified>
</cp:coreProperties>
</file>