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bl-my.sharepoint.com/personal/mattcalvert_lbl_gov/Documents/Analysis Projects/Module 1 Challenge/Starter_Code/"/>
    </mc:Choice>
  </mc:AlternateContent>
  <xr:revisionPtr revIDLastSave="556" documentId="13_ncr:40009_{11C9D2FE-BDF6-5C46-B9DE-A4DF0C4A6734}" xr6:coauthVersionLast="47" xr6:coauthVersionMax="47" xr10:uidLastSave="{CB66A90D-1F1E-4C9A-ACCC-E00BDA99D93A}"/>
  <bookViews>
    <workbookView xWindow="-110" yWindow="-110" windowWidth="25820" windowHeight="14020" xr2:uid="{00000000-000D-0000-FFFF-FFFF00000000}"/>
  </bookViews>
  <sheets>
    <sheet name="Crowdfunding" sheetId="1" r:id="rId1"/>
    <sheet name="Outcome by cat pivot" sheetId="2" r:id="rId2"/>
    <sheet name="Outcome by sub-cat pivot" sheetId="3" r:id="rId3"/>
    <sheet name="Outcome by month pivot" sheetId="4" r:id="rId4"/>
    <sheet name="Outcomes Based on Goal" sheetId="5" r:id="rId5"/>
    <sheet name="Statistical Analysis" sheetId="6" r:id="rId6"/>
  </sheets>
  <definedNames>
    <definedName name="_xlnm._FilterDatabase" localSheetId="0" hidden="1">Crowdfunding!$A$1:$T$1001</definedName>
    <definedName name="_xlcn.WorksheetConnection_CrowdfundingA1R10011" hidden="1">Crowdfunding!$A$1:$T$1001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6" l="1" a="1"/>
  <c r="C7" i="6" s="1"/>
  <c r="B7" i="6" a="1"/>
  <c r="B7" i="6" s="1"/>
  <c r="C6" i="6" a="1"/>
  <c r="C6" i="6" s="1"/>
  <c r="C5" i="6" a="1"/>
  <c r="C5" i="6" s="1"/>
  <c r="C4" i="6" a="1"/>
  <c r="C4" i="6" s="1"/>
  <c r="C3" i="6" a="1"/>
  <c r="C3" i="6" s="1"/>
  <c r="C2" i="6" a="1"/>
  <c r="C2" i="6" s="1"/>
  <c r="B3" i="6" a="1"/>
  <c r="B3" i="6" s="1"/>
  <c r="B4" i="6" a="1"/>
  <c r="B4" i="6" s="1"/>
  <c r="B5" i="6" a="1"/>
  <c r="B5" i="6" s="1"/>
  <c r="B6" i="6" a="1"/>
  <c r="B6" i="6" s="1"/>
  <c r="B2" i="6" a="1"/>
  <c r="B2" i="6" s="1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B4" i="5"/>
  <c r="B3" i="5"/>
  <c r="B2" i="5"/>
  <c r="B13" i="5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5" l="1"/>
  <c r="E11" i="5"/>
  <c r="G6" i="5"/>
  <c r="E4" i="5"/>
  <c r="G4" i="5" s="1"/>
  <c r="E12" i="5"/>
  <c r="G12" i="5" s="1"/>
  <c r="E2" i="5"/>
  <c r="G2" i="5" s="1"/>
  <c r="E6" i="5"/>
  <c r="H6" i="5" s="1"/>
  <c r="H10" i="5"/>
  <c r="F10" i="5"/>
  <c r="H3" i="5"/>
  <c r="H11" i="5"/>
  <c r="G3" i="5"/>
  <c r="G11" i="5"/>
  <c r="G13" i="5"/>
  <c r="H9" i="5"/>
  <c r="E10" i="5"/>
  <c r="G10" i="5" s="1"/>
  <c r="E9" i="5"/>
  <c r="F9" i="5" s="1"/>
  <c r="E8" i="5"/>
  <c r="G8" i="5" s="1"/>
  <c r="F6" i="5"/>
  <c r="E7" i="5"/>
  <c r="F7" i="5" s="1"/>
  <c r="F11" i="5"/>
  <c r="F3" i="5"/>
  <c r="E13" i="5"/>
  <c r="F13" i="5" s="1"/>
  <c r="E5" i="5"/>
  <c r="H5" i="5" s="1"/>
  <c r="H12" i="5" l="1"/>
  <c r="H2" i="5"/>
  <c r="H4" i="5"/>
  <c r="F4" i="5"/>
  <c r="F12" i="5"/>
  <c r="F2" i="5"/>
  <c r="G9" i="5"/>
  <c r="G5" i="5"/>
  <c r="G7" i="5"/>
  <c r="F5" i="5"/>
  <c r="H7" i="5"/>
  <c r="F8" i="5"/>
  <c r="H8" i="5"/>
  <c r="H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E186E-3F7D-4BBF-A34C-702B6BAA578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33F497B-FFBC-4A36-A658-09EF922C01CF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e].[country].[All]}"/>
    <s v="{[Range].[Parent Category].[All]}"/>
    <s v="{[Range].[Date Created Conversion (Year)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<sst xmlns="http://schemas.openxmlformats.org/spreadsheetml/2006/main" count="8134" uniqueCount="2117">
  <si>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</si>
  <si>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</si>
  <si>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</si>
  <si>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</si>
  <si>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</si>
  <si>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</si>
  <si>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</si>
  <si>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</si>
  <si>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</si>
  <si>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</si>
  <si>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</si>
  <si>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</si>
  <si>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</si>
  <si>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</si>
  <si>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</si>
  <si>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</si>
  <si>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</si>
  <si>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</si>
  <si>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</si>
  <si>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</si>
  <si>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</si>
  <si>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</si>
  <si>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</si>
  <si>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</si>
  <si>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</si>
  <si>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</si>
  <si>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</si>
  <si>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</si>
  <si>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</si>
  <si>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</si>
  <si>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</si>
  <si>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</si>
  <si>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</si>
  <si>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</si>
  <si>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</si>
  <si>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</si>
  <si>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</si>
  <si>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</si>
  <si>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</si>
  <si>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</si>
  <si>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</si>
  <si>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</si>
  <si>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</si>
  <si>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</si>
  <si>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</si>
  <si>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</si>
  <si>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</si>
  <si>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</si>
  <si>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</si>
  <si>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</si>
  <si>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</si>
  <si>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</si>
  <si>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</si>
  <si>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</si>
  <si>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</si>
  <si>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</si>
  <si>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</si>
  <si>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</si>
  <si>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</si>
  <si>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</si>
  <si>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</si>
  <si>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</si>
  <si>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</si>
  <si>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</si>
  <si>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</si>
  <si>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</si>
  <si>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</si>
  <si>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</si>
  <si>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</si>
  <si>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</si>
  <si>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</si>
  <si>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</si>
  <si>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</si>
  <si>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</si>
  <si>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</si>
  <si>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</si>
  <si>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</si>
  <si>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</si>
  <si>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</si>
  <si>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</si>
  <si>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</si>
  <si>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</si>
  <si>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</si>
  <si>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</si>
  <si>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</si>
  <si>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</si>
  <si>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</si>
  <si>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</si>
  <si>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</si>
  <si>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</si>
  <si>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</si>
  <si>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</si>
  <si>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</si>
  <si>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</si>
  <si>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</si>
  <si>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</si>
  <si>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</si>
  <si>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</si>
  <si>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</si>
  <si>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</si>
  <si>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</si>
  <si>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</si>
  <si>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</si>
  <si>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</si>
  <si>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</si>
  <si>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</si>
  <si>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</si>
  <si>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</si>
  <si>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</si>
  <si>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</si>
  <si>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</si>
  <si>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</si>
  <si>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</si>
  <si>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</si>
  <si>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</si>
  <si>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</si>
  <si>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</si>
  <si>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</si>
  <si>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</si>
  <si>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</si>
  <si>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</si>
  <si>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</si>
  <si>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</si>
  <si>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</si>
  <si>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</si>
  <si>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</si>
  <si>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</si>
  <si>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</si>
  <si>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</si>
  <si>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</si>
  <si>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</si>
  <si>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</si>
  <si>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</si>
  <si>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</si>
  <si>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</si>
  <si>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</si>
  <si>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</si>
  <si>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</si>
  <si>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</si>
  <si>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</si>
  <si>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</si>
  <si>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</si>
  <si>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</si>
  <si>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</si>
  <si>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</si>
  <si>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</si>
  <si>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</si>
  <si>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</si>
  <si>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</si>
  <si>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</si>
  <si>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</si>
  <si>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</si>
  <si>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</si>
  <si>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</si>
  <si>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</si>
  <si>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</si>
  <si>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</si>
  <si>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</si>
  <si>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</si>
  <si>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</si>
  <si>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</si>
  <si>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</si>
  <si>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</si>
  <si>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</si>
  <si>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</si>
  <si>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</si>
  <si>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</si>
  <si>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</si>
  <si>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</si>
  <si>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</si>
  <si>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</si>
  <si>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</si>
  <si>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</si>
  <si>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</si>
  <si>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</si>
  <si>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</si>
  <si>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</si>
  <si>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</si>
  <si>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</si>
  <si>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</si>
  <si>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</si>
  <si>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</si>
  <si>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</si>
  <si>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</si>
  <si>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</si>
  <si>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</si>
  <si>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</si>
  <si>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</si>
  <si>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</si>
  <si>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</si>
  <si>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</si>
  <si>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</si>
  <si>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</si>
  <si>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</si>
  <si>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</si>
  <si>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</si>
  <si>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</si>
  <si>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</si>
  <si>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</si>
  <si>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</si>
  <si>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</si>
  <si>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</si>
  <si>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</si>
  <si>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</si>
  <si>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</si>
  <si>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</si>
  <si>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</si>
  <si>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</si>
  <si>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</si>
  <si>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</si>
  <si>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</si>
  <si>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</si>
  <si>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</si>
  <si>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</si>
  <si>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</si>
  <si>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</si>
  <si>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</si>
  <si>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</si>
  <si>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</si>
  <si>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</si>
  <si>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</si>
  <si>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</si>
  <si>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</si>
  <si>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</si>
  <si>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</si>
  <si>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</si>
  <si>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</si>
  <si>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</si>
  <si>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</si>
  <si>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</si>
  <si>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</si>
  <si>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</si>
  <si>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</si>
  <si>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</si>
  <si>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</si>
  <si>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</si>
  <si>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</si>
  <si>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</si>
  <si>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</si>
  <si>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</si>
  <si>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</si>
  <si>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</si>
  <si>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</si>
  <si>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</si>
  <si>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</si>
  <si>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</si>
  <si>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</si>
  <si>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</si>
  <si>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</si>
  <si>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</si>
  <si>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</si>
  <si>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</si>
  <si>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</si>
  <si>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</si>
  <si>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</si>
  <si>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</si>
  <si>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</si>
  <si>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</si>
  <si>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</si>
  <si>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</si>
  <si>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</si>
  <si>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</si>
  <si>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</si>
  <si>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</si>
  <si>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</si>
  <si>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</si>
  <si>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</si>
  <si>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</si>
  <si>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</si>
  <si>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</si>
  <si>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</si>
  <si>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</si>
  <si>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</si>
  <si>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</si>
  <si>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</si>
  <si>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</si>
  <si>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</si>
  <si>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</si>
  <si>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</si>
  <si>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</si>
  <si>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</si>
  <si>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</si>
  <si>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</si>
  <si>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</si>
  <si>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</si>
  <si>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</si>
  <si>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</si>
  <si>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</si>
  <si>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</si>
  <si>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</si>
  <si>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</si>
  <si>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</si>
  <si>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</si>
  <si>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</si>
  <si>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</si>
  <si>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</si>
  <si>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</si>
  <si>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</si>
  <si>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</si>
  <si>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</si>
  <si>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</si>
  <si>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</si>
  <si>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</si>
  <si>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</si>
  <si>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</si>
  <si>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</si>
  <si>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</si>
  <si>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</si>
  <si>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</si>
  <si>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</si>
  <si>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</si>
  <si>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</si>
  <si>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</si>
  <si>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</si>
  <si>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</si>
  <si>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</si>
  <si>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</si>
  <si>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</si>
  <si>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</si>
  <si>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</si>
  <si>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</si>
  <si>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</si>
  <si>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</si>
  <si>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</si>
  <si>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</si>
  <si>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</si>
  <si>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</si>
  <si>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</si>
  <si>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</si>
  <si>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</si>
  <si>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</si>
  <si>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</si>
  <si>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</si>
  <si>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</si>
  <si>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</si>
  <si>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</si>
  <si>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</si>
  <si>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</si>
  <si>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</si>
  <si>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</si>
  <si>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</si>
  <si>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</si>
  <si>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</si>
  <si>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</si>
  <si>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</si>
  <si>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</si>
  <si>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</si>
  <si>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</si>
  <si>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</si>
  <si>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</si>
  <si>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</si>
  <si>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</si>
  <si>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</si>
  <si>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</si>
  <si>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</si>
  <si>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</si>
  <si>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</si>
  <si>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</si>
  <si>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</si>
  <si>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</si>
  <si>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</si>
  <si>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</si>
  <si>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</si>
  <si>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</si>
  <si>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</si>
  <si>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</si>
  <si>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</si>
  <si>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</si>
  <si>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</si>
  <si>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</si>
  <si>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</si>
  <si>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</si>
  <si>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</si>
  <si>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</si>
  <si>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</si>
  <si>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</si>
  <si>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</si>
  <si>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</si>
  <si>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</si>
  <si>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</si>
  <si>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</si>
  <si>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</si>
  <si>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</si>
  <si>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</si>
  <si>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</si>
  <si>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</si>
  <si>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</si>
  <si>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</si>
  <si>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</si>
  <si>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</si>
  <si>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</si>
  <si>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</si>
  <si>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</si>
  <si>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</si>
  <si>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</si>
  <si>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</si>
  <si>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</si>
  <si>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</si>
  <si>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</si>
  <si>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</si>
  <si>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</si>
  <si>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</si>
  <si>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</si>
  <si>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</si>
  <si>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</si>
  <si>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</si>
  <si>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</si>
  <si>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</si>
  <si>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</si>
  <si>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</si>
  <si>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</si>
  <si>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</si>
  <si>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</si>
  <si>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</si>
  <si>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</si>
  <si>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</si>
  <si>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</si>
  <si>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</si>
  <si>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</si>
  <si>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</si>
  <si>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</si>
  <si>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</si>
  <si>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</si>
  <si>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</si>
  <si>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</si>
  <si>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</si>
  <si>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</si>
  <si>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</si>
  <si>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</si>
  <si>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</si>
  <si>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</si>
  <si>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</si>
  <si>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</si>
  <si>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</si>
  <si>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</si>
  <si>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</si>
  <si>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</si>
  <si>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</si>
  <si>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</si>
  <si>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</si>
  <si>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</si>
  <si>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</si>
  <si>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</si>
  <si>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</si>
  <si>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</si>
  <si>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</si>
  <si>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</si>
  <si>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</si>
  <si>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</si>
  <si>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</si>
  <si>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</si>
  <si>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</si>
  <si>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</si>
  <si>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</si>
  <si>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</si>
  <si>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</si>
  <si>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</si>
  <si>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</si>
  <si>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</si>
  <si>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</si>
  <si>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</si>
  <si>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</si>
  <si>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</si>
  <si>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</si>
  <si>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</si>
  <si>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</si>
  <si>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</si>
  <si>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</si>
  <si>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</si>
  <si>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</si>
  <si>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</si>
  <si>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</si>
  <si>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</si>
  <si>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</si>
  <si>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</si>
  <si>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</si>
  <si>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</si>
  <si>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</si>
  <si>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</si>
  <si>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</si>
  <si>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</si>
  <si>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</si>
  <si>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</si>
  <si>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</si>
  <si>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</si>
  <si>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</si>
  <si>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</si>
  <si>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</si>
  <si>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</si>
  <si>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</si>
  <si>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</si>
  <si>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</si>
  <si>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</si>
  <si>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</si>
  <si>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</si>
  <si>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</si>
  <si>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</si>
  <si>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</si>
  <si>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</si>
  <si>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</si>
  <si>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</si>
  <si>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</si>
  <si>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</si>
  <si>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</si>
  <si>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</si>
  <si>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</si>
  <si>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</si>
  <si>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</si>
  <si>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</si>
  <si>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</si>
  <si>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</si>
  <si>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</si>
  <si>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</si>
  <si>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</si>
  <si>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</si>
  <si>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</si>
  <si>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</si>
  <si>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</si>
  <si>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</si>
  <si>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</si>
  <si>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</si>
  <si>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</si>
  <si>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</si>
  <si>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</si>
  <si>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</si>
  <si>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</si>
  <si>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</si>
  <si>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</si>
  <si>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</si>
  <si>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</si>
  <si>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</si>
  <si>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</si>
  <si>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</si>
  <si>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</si>
  <si>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</si>
  <si>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</si>
  <si>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</si>
  <si>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</si>
  <si>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</si>
  <si>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</si>
  <si>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</si>
  <si>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</si>
  <si>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</si>
  <si>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</si>
  <si>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</si>
  <si>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</si>
  <si>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</si>
  <si>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</si>
  <si>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</si>
  <si>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</si>
  <si>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</si>
  <si>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</si>
  <si>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</si>
  <si>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</si>
  <si>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</si>
  <si>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</si>
  <si>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</si>
  <si>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</si>
  <si>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</si>
  <si>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</si>
  <si>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</si>
  <si>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</si>
  <si>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</si>
  <si>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</si>
  <si>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</si>
  <si>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</si>
  <si>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</si>
  <si>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</si>
  <si>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</si>
  <si>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</si>
  <si>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</si>
  <si>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</si>
  <si>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</si>
  <si>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</si>
  <si>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</si>
  <si>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</si>
  <si>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</si>
  <si>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</si>
  <si>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</si>
  <si>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</si>
  <si>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</si>
  <si>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</si>
  <si>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</si>
  <si>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</si>
  <si>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</si>
  <si>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</si>
  <si>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</si>
  <si>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</si>
  <si>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</si>
  <si>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</si>
  <si>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</si>
  <si>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</si>
  <si>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</si>
  <si>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</si>
  <si>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</si>
  <si>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</si>
  <si>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</si>
  <si>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</si>
  <si>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</si>
  <si>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</si>
  <si>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</si>
  <si>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</si>
  <si>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</si>
  <si>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</si>
  <si>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</si>
  <si>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</si>
  <si>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</si>
  <si>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</si>
  <si>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</si>
  <si>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</si>
  <si>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</si>
  <si>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</si>
  <si>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</si>
  <si>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</si>
  <si>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</si>
  <si>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</si>
  <si>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</si>
  <si>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</si>
  <si>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</si>
  <si>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</si>
  <si>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</si>
  <si>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</si>
  <si>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</si>
  <si>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</si>
  <si>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</si>
  <si>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</si>
  <si>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</si>
  <si>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</si>
  <si>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</si>
  <si>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</si>
  <si>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</si>
  <si>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</si>
  <si>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</si>
  <si>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</si>
  <si>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</si>
  <si>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</si>
  <si>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</si>
  <si>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</si>
  <si>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</si>
  <si>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</si>
  <si>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</si>
  <si>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</si>
  <si>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</si>
  <si>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</si>
  <si>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</si>
  <si>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</si>
  <si>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</si>
  <si>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</si>
  <si>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</si>
  <si>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</si>
  <si>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</si>
  <si>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</si>
  <si>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</si>
  <si>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</si>
  <si>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</si>
  <si>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</si>
  <si>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</si>
  <si>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</si>
  <si>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</si>
  <si>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</si>
  <si>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</si>
  <si>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</si>
  <si>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</si>
  <si>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</si>
  <si>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</si>
  <si>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</si>
  <si>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</si>
  <si>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</si>
  <si>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</si>
  <si>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</si>
  <si>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</si>
  <si>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</si>
  <si>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</si>
  <si>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</si>
  <si>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</si>
  <si>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</si>
  <si>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</si>
  <si>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</si>
  <si>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</si>
  <si>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</si>
  <si>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</si>
  <si>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</si>
  <si>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</si>
  <si>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</si>
  <si>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</si>
  <si>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</si>
  <si>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</si>
  <si>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</si>
  <si>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</si>
  <si>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</si>
  <si>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</si>
  <si>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</si>
  <si>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</si>
  <si>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</si>
  <si>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</si>
  <si>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</si>
  <si>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</si>
  <si>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</si>
  <si>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</si>
  <si>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</si>
  <si>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</si>
  <si>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</si>
  <si>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</si>
  <si>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</si>
  <si>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</si>
  <si>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</si>
  <si>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</si>
  <si>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</si>
  <si>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</si>
  <si>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</si>
  <si>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</si>
  <si>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</si>
  <si>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</si>
  <si>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</si>
  <si>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</si>
  <si>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</si>
  <si>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</si>
  <si>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</si>
  <si>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</si>
  <si>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</si>
  <si>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</si>
  <si>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</si>
  <si>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</si>
  <si>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</si>
  <si>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</si>
  <si>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</si>
  <si>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</si>
  <si>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</si>
  <si>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</si>
  <si>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</si>
  <si>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</si>
  <si>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</si>
  <si>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</si>
  <si>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</si>
  <si>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</si>
  <si>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</si>
  <si>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</si>
  <si>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</si>
  <si>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</si>
  <si>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</si>
  <si>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</si>
  <si>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</si>
  <si>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</si>
  <si>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</si>
  <si>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</si>
  <si>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</si>
  <si>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</si>
  <si>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</si>
  <si>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</si>
  <si>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</si>
  <si>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</si>
  <si>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</si>
  <si>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</si>
  <si>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</si>
  <si>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</si>
  <si>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</si>
  <si>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</si>
  <si>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</si>
  <si>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</si>
  <si>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</si>
  <si>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</si>
  <si>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</si>
  <si>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</si>
  <si>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</si>
  <si>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</si>
  <si>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</si>
  <si>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</si>
  <si>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</si>
  <si>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</si>
  <si>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</si>
  <si>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</si>
  <si>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</si>
  <si>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</si>
  <si>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</si>
  <si>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</si>
  <si>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</si>
  <si>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</si>
  <si>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</si>
  <si>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</si>
  <si>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</si>
  <si>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</si>
  <si>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</si>
  <si>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</si>
  <si>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</si>
  <si>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</si>
  <si>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</si>
  <si>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</si>
  <si>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</si>
  <si>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</si>
  <si>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</si>
  <si>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</si>
  <si>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</si>
  <si>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</si>
  <si>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</si>
  <si>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</si>
  <si>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</si>
  <si>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</si>
  <si>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</si>
  <si>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</si>
  <si>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</si>
  <si>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</si>
  <si>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</si>
  <si>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</si>
  <si>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</si>
  <si>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</si>
  <si>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</si>
  <si>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</si>
  <si>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</si>
  <si>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</si>
  <si>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</si>
  <si>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</si>
  <si>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</si>
  <si>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</si>
  <si>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</si>
  <si>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</si>
  <si>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</si>
  <si>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</si>
  <si>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</si>
  <si>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</si>
  <si>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</si>
  <si>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</si>
  <si>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</si>
  <si>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</si>
  <si>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</si>
  <si>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</si>
  <si>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</si>
  <si>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</si>
  <si>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</si>
  <si>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</si>
  <si>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</si>
  <si>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</si>
  <si>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</si>
  <si>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</si>
  <si>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</si>
  <si>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</si>
  <si>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</si>
  <si>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</si>
  <si>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</si>
  <si>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</si>
  <si>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</si>
  <si>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</si>
  <si>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</si>
  <si>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</si>
  <si>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</si>
  <si>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</si>
  <si>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</si>
  <si>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</si>
  <si>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</si>
  <si>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</si>
  <si>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</si>
  <si>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</si>
  <si>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</si>
  <si>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</si>
  <si>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</si>
  <si>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</si>
  <si>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</si>
  <si>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</si>
  <si>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</si>
  <si>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</si>
  <si>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</si>
  <si>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</si>
  <si>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</si>
  <si>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</si>
  <si>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</si>
  <si>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</si>
  <si>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</si>
  <si>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</si>
  <si>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</si>
  <si>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</si>
  <si>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</si>
  <si>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</si>
  <si>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</si>
  <si>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</si>
  <si>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</si>
  <si>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</si>
  <si>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</si>
  <si>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</si>
  <si>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</si>
  <si>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</si>
  <si>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</si>
  <si>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</si>
  <si>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</si>
  <si>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</si>
  <si>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</si>
  <si>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</si>
  <si>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</si>
  <si>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</si>
  <si>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</si>
  <si>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</si>
  <si>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</si>
  <si>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</si>
  <si>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</si>
  <si>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</si>
  <si>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</si>
  <si>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</si>
  <si>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</si>
  <si>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</si>
  <si>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</si>
  <si>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</si>
  <si>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</si>
  <si>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</si>
  <si>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</si>
  <si>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</si>
  <si>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</si>
  <si>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</si>
  <si>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</si>
  <si>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</si>
  <si>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</si>
  <si>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</si>
  <si>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</si>
  <si>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</si>
  <si>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</si>
  <si>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</si>
  <si>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</si>
  <si>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</si>
  <si>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</si>
  <si>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</si>
  <si>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</si>
  <si>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</si>
  <si>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</si>
  <si>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</si>
  <si>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</si>
  <si>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</si>
  <si>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</si>
  <si>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</si>
  <si>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</si>
  <si>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</si>
  <si>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</si>
  <si>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</si>
  <si>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</si>
  <si>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</si>
  <si>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</si>
  <si>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</si>
  <si>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</si>
  <si>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</si>
  <si>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</si>
  <si>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</si>
  <si>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</si>
  <si>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</si>
  <si>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</si>
  <si>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</si>
  <si>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</si>
  <si>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</si>
  <si>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</si>
  <si>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</si>
  <si>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</si>
  <si>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</si>
  <si>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</si>
  <si>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</si>
  <si>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</si>
  <si>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</si>
  <si>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</si>
  <si>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</si>
  <si>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</si>
  <si>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</si>
  <si>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</si>
  <si>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</si>
  <si>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</si>
  <si>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</si>
  <si>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</si>
  <si>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</si>
  <si>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</si>
  <si>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</si>
  <si>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</si>
  <si>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</si>
  <si>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</si>
  <si>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</si>
  <si>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</si>
  <si>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</si>
  <si>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</si>
  <si>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</si>
  <si>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</si>
  <si>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</si>
  <si>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</si>
  <si>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</si>
  <si>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</si>
  <si>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</si>
  <si>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</si>
  <si>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</si>
  <si>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</si>
  <si>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</si>
  <si>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</si>
  <si>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</si>
  <si>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</si>
  <si>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</si>
  <si>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</si>
  <si>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</si>
  <si>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</si>
  <si>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</si>
  <si>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</si>
  <si>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</si>
  <si>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</si>
  <si>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</si>
  <si>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</si>
  <si>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</si>
  <si>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</si>
  <si>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</si>
  <si>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</si>
  <si>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</si>
  <si>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</si>
  <si>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</si>
  <si>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</si>
  <si>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</si>
  <si>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</si>
  <si>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</si>
  <si>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</si>
  <si>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</si>
  <si>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</si>
  <si>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</si>
  <si>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</si>
  <si>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</si>
  <si>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</si>
  <si>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</si>
  <si>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</si>
  <si>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</si>
  <si>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</si>
  <si>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</si>
  <si>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</si>
  <si>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</si>
  <si>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</si>
  <si>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</si>
  <si>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</si>
  <si>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</si>
  <si>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</si>
  <si>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</si>
  <si>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</si>
  <si>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</si>
  <si>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</si>
  <si>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</si>
  <si>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</si>
  <si>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</si>
  <si>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</si>
  <si>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</si>
  <si>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</si>
  <si>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</si>
  <si>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</si>
  <si>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</si>
  <si>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</si>
  <si>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</si>
  <si>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</si>
  <si>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</si>
  <si>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</si>
  <si>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</si>
  <si>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</si>
  <si>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</si>
  <si>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</si>
  <si>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</si>
  <si>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</si>
  <si>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</si>
  <si>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</si>
  <si>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</si>
  <si>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</si>
  <si>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</si>
  <si>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</si>
  <si>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</si>
  <si>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</si>
  <si>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</si>
  <si>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</si>
  <si>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</si>
  <si>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</si>
  <si>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</si>
  <si>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</si>
  <si>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</si>
  <si>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</si>
  <si>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</si>
  <si>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</si>
  <si>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</si>
  <si>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</si>
  <si>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</si>
  <si>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</si>
  <si>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</si>
  <si>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</si>
  <si>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</si>
  <si>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</si>
  <si>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</si>
  <si>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</si>
  <si>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</si>
  <si>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</si>
  <si>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</si>
  <si>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</si>
  <si>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</si>
  <si>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</si>
  <si>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</si>
  <si>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</si>
  <si>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</si>
  <si>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</si>
  <si>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</si>
  <si>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</si>
  <si>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</si>
  <si>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</si>
  <si>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</si>
  <si>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</si>
  <si>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</si>
  <si>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</si>
  <si>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</si>
  <si>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</si>
  <si>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</si>
  <si>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</si>
  <si>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</si>
  <si>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</si>
  <si>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</si>
  <si>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</si>
  <si>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</si>
  <si>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</si>
  <si>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</si>
  <si>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</si>
  <si>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</si>
  <si>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</si>
  <si>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</si>
  <si>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</si>
  <si>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</si>
  <si>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</si>
  <si>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</si>
  <si>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</si>
  <si>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</si>
  <si>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</si>
  <si>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</si>
  <si>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</si>
  <si>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</si>
  <si>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</si>
  <si>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</si>
  <si>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</si>
  <si>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</si>
  <si>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</si>
  <si>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</si>
  <si>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</si>
  <si>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</si>
  <si>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</si>
  <si>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</si>
  <si>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</si>
  <si>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</si>
  <si>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</si>
  <si>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</si>
  <si>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</si>
  <si>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</si>
  <si>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</si>
  <si>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</si>
  <si>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</si>
  <si>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</si>
  <si>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</si>
  <si>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</si>
  <si>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</si>
  <si>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</si>
  <si>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</si>
  <si>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</si>
  <si>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</si>
  <si>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</si>
  <si>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</si>
  <si>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</si>
  <si>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</si>
  <si>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</si>
  <si>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</si>
  <si>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</si>
  <si>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</si>
  <si>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</si>
  <si>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</si>
  <si>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</si>
  <si>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</si>
  <si>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</si>
  <si>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</si>
  <si>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</si>
  <si>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</si>
  <si>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</si>
  <si>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</si>
  <si>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</si>
  <si>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</si>
  <si>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</si>
  <si>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</si>
  <si>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</si>
  <si>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</si>
  <si>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</si>
  <si>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</si>
  <si>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</si>
  <si>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</si>
  <si>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</si>
  <si>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</si>
  <si>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</si>
  <si>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</si>
  <si>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</si>
  <si>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</si>
  <si>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</si>
  <si>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</si>
  <si>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</si>
  <si>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</si>
  <si>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</si>
  <si>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</si>
  <si>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</si>
  <si>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</si>
  <si>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</si>
  <si>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</si>
  <si>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</si>
  <si>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</si>
  <si>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</si>
  <si>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</si>
  <si>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</si>
  <si>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</si>
  <si>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</si>
  <si>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</si>
  <si>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</si>
  <si>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</si>
  <si>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</si>
  <si>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</si>
  <si>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</si>
  <si>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</si>
  <si>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</si>
  <si>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</si>
  <si>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</si>
  <si>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</si>
  <si>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</si>
  <si>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</si>
  <si>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</si>
  <si>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</si>
  <si>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</si>
  <si>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</si>
  <si>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</si>
  <si>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</si>
  <si>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</si>
  <si>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</si>
  <si>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</si>
  <si>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</si>
  <si>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</si>
  <si>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</si>
  <si>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</si>
  <si>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</si>
  <si>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</si>
  <si>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</si>
  <si>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</si>
  <si>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</si>
  <si>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</si>
  <si>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</si>
  <si>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</si>
  <si>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</si>
  <si>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</si>
  <si>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</si>
  <si>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</si>
  <si>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</si>
  <si>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</si>
  <si>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</si>
  <si>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</si>
  <si>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</si>
  <si>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</si>
  <si>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</si>
  <si>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</si>
  <si>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</si>
  <si>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</si>
  <si>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</si>
  <si>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</si>
  <si>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</si>
  <si>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</si>
  <si>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</si>
  <si>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</si>
  <si>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</si>
  <si>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</si>
  <si>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</si>
  <si>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</si>
  <si>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</si>
  <si>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</si>
  <si>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</si>
  <si>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</si>
  <si>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</si>
  <si>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</si>
  <si>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</si>
  <si>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</si>
  <si>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</si>
  <si>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</si>
  <si>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</si>
  <si>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</si>
  <si>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</si>
  <si>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</si>
  <si>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</si>
  <si>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</si>
  <si>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</si>
  <si>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</si>
  <si>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</si>
  <si>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</si>
  <si>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</si>
  <si>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</si>
  <si>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</si>
  <si>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</si>
  <si>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</si>
  <si>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</si>
  <si>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</si>
  <si>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</si>
  <si>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</si>
  <si>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</si>
  <si>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</si>
  <si>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</si>
  <si>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</si>
  <si>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</si>
  <si>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</si>
  <si>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</si>
  <si>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</si>
  <si>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</si>
  <si>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</si>
  <si>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</si>
  <si>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</si>
  <si>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</si>
  <si>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</si>
  <si>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</si>
  <si>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</si>
  <si>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</si>
  <si>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</si>
  <si>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</si>
  <si>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</si>
  <si>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</si>
  <si>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</si>
  <si>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</si>
  <si>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</si>
  <si>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</si>
  <si>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</si>
  <si>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</si>
  <si>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</si>
  <si>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</si>
  <si>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</si>
  <si>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</si>
  <si>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</si>
  <si>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</si>
  <si>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</si>
  <si>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</si>
  <si>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</si>
  <si>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</si>
  <si>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</si>
  <si>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</si>
  <si>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</si>
  <si>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</si>
  <si>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</si>
  <si>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</si>
  <si>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</si>
  <si>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</si>
  <si>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</si>
  <si>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</si>
  <si>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</si>
  <si>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</si>
  <si>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</si>
  <si>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</si>
  <si>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</si>
  <si>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</si>
  <si>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</si>
  <si>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</si>
  <si>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</si>
  <si>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</si>
  <si>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</si>
  <si>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</si>
  <si>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</si>
  <si>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</si>
  <si>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</si>
  <si>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</si>
  <si>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</si>
  <si>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</si>
  <si>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</si>
  <si>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</si>
  <si>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</si>
  <si>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</si>
  <si>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</si>
  <si>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</si>
  <si>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</si>
  <si>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</si>
  <si>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</si>
  <si>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</si>
  <si>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</si>
  <si>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</si>
  <si>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</si>
  <si>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</si>
  <si>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</si>
  <si>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</si>
  <si>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</si>
  <si>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</si>
  <si>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</si>
  <si>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</si>
  <si>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</si>
  <si>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</si>
  <si>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</si>
  <si>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</si>
  <si>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</si>
  <si>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</si>
  <si>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</si>
  <si>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</si>
  <si>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</si>
  <si>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</si>
  <si>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</si>
  <si>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</si>
  <si>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</si>
  <si>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</si>
  <si>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</si>
  <si>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</si>
  <si>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</si>
  <si>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</si>
  <si>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</si>
  <si>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</si>
  <si>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</si>
  <si>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</si>
  <si>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</si>
  <si>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</si>
  <si>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</si>
  <si>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</si>
  <si>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</si>
  <si>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</si>
  <si>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</si>
  <si>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</si>
  <si>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</si>
  <si>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</si>
  <si>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</si>
  <si>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</si>
  <si>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</si>
  <si>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</si>
  <si>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</si>
  <si>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</si>
  <si>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</si>
  <si>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</si>
  <si>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</si>
  <si>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</si>
  <si>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</si>
  <si>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</si>
  <si>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</si>
  <si>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</si>
  <si>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</si>
  <si>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</si>
  <si>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</si>
  <si>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</si>
  <si>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</si>
  <si>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</si>
  <si>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</si>
  <si>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</si>
  <si>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</si>
  <si>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</si>
  <si>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</si>
  <si>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</si>
  <si>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</si>
  <si>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</si>
  <si>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</si>
  <si>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</si>
  <si>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</si>
  <si>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</si>
  <si>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</si>
  <si>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</si>
  <si>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</si>
  <si>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</si>
  <si>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</si>
  <si>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</si>
  <si>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</si>
  <si>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</si>
  <si>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</si>
  <si>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</si>
  <si>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</si>
  <si>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</si>
  <si>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</si>
  <si>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</si>
  <si>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</si>
  <si>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</si>
  <si>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</si>
  <si>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</si>
  <si>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</si>
  <si>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</si>
  <si>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</si>
  <si>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</si>
  <si>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</si>
  <si>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</si>
  <si>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</si>
  <si>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</si>
  <si>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</si>
  <si>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</si>
  <si>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</si>
  <si>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</si>
  <si>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</si>
  <si>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</si>
  <si>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</si>
  <si>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</si>
  <si>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</si>
  <si>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</si>
  <si>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</si>
  <si>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</si>
  <si>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</si>
  <si>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</si>
  <si>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</si>
  <si>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</si>
  <si>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</si>
  <si>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</si>
  <si>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</si>
  <si>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</si>
  <si>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</si>
  <si>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</si>
  <si>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</si>
  <si>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</si>
  <si>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</si>
  <si>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</si>
  <si>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</si>
  <si>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</si>
  <si>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</si>
  <si>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</si>
  <si>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</si>
  <si>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</si>
  <si>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</si>
  <si>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</si>
  <si>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</si>
  <si>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</si>
  <si>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</si>
  <si>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</si>
  <si>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</si>
  <si>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</si>
  <si>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</si>
  <si>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</si>
  <si>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</si>
  <si>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</si>
  <si>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</si>
  <si>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</si>
  <si>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</si>
  <si>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</si>
  <si>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</si>
  <si>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</si>
  <si>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</si>
  <si>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</si>
  <si>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</si>
  <si>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</si>
  <si>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</si>
  <si>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</si>
  <si>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</si>
  <si>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</si>
  <si>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</si>
  <si>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</si>
  <si>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</si>
  <si>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</si>
  <si>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</si>
  <si>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</si>
  <si>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</si>
  <si>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</si>
  <si>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</si>
  <si>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</si>
  <si>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</si>
  <si>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</si>
  <si>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</si>
  <si>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</si>
  <si>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</si>
  <si>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</si>
  <si>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</si>
  <si>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</si>
  <si>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</si>
  <si>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</si>
  <si>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</si>
  <si>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</si>
  <si>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</si>
  <si>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</si>
  <si>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</si>
  <si>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</si>
  <si>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</si>
  <si>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</si>
  <si>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</si>
  <si>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</si>
  <si>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</si>
  <si>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</si>
  <si>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</si>
  <si>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</si>
  <si>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</si>
  <si>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</si>
  <si>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</si>
  <si>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</si>
  <si>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</si>
  <si>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</si>
  <si>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</si>
  <si>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</si>
  <si>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</si>
  <si>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</si>
  <si>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</si>
  <si>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</si>
  <si>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</si>
  <si>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</si>
  <si>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</si>
  <si>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</si>
  <si>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</si>
  <si>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</si>
  <si>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</si>
  <si>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</si>
  <si>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</si>
  <si>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</si>
  <si>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</si>
  <si>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</si>
  <si>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</si>
  <si>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</si>
  <si>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</si>
  <si>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</si>
  <si>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</si>
  <si>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</si>
  <si>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</si>
  <si>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</si>
  <si>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</si>
  <si>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</si>
  <si>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</si>
  <si>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</si>
  <si>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</si>
  <si>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</si>
  <si>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</si>
  <si>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</si>
  <si>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</si>
  <si>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</si>
  <si>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</si>
  <si>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</si>
  <si>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</si>
  <si>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</si>
  <si>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</si>
  <si>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</si>
  <si>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</si>
  <si>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</si>
  <si>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</si>
  <si>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</si>
  <si>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</si>
  <si>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</si>
  <si>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</si>
  <si>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</si>
  <si>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</si>
  <si>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</si>
  <si>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</si>
  <si>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</si>
  <si>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</si>
  <si>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</si>
  <si>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</si>
  <si>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</si>
  <si>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</si>
  <si>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</si>
  <si>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</si>
  <si>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</si>
  <si>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</si>
  <si>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</si>
  <si>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</si>
  <si>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</si>
  <si>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</si>
  <si>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</si>
  <si>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</si>
  <si>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</si>
  <si>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</si>
  <si>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</si>
  <si>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</si>
  <si>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</si>
  <si>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</si>
  <si>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</si>
  <si>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</si>
  <si>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</si>
  <si>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</si>
  <si>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</si>
  <si>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</si>
  <si>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</si>
  <si>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</si>
  <si>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</si>
  <si>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</si>
  <si>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</si>
  <si>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</si>
  <si>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</si>
  <si>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</si>
  <si>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</si>
  <si>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</si>
  <si>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</si>
  <si>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</si>
  <si>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</si>
  <si>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</si>
  <si>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</si>
  <si>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</si>
  <si>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</si>
  <si>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</si>
  <si>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</si>
  <si>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</si>
  <si>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</si>
  <si>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</si>
  <si>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</si>
  <si>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</si>
  <si>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</si>
  <si>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</si>
  <si>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</si>
  <si>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</si>
  <si>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</si>
  <si>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</si>
  <si>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</si>
  <si>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</si>
  <si>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</si>
  <si>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</si>
  <si>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</si>
  <si>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</si>
  <si>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</si>
  <si>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</si>
  <si>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</si>
  <si>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</si>
  <si>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</si>
  <si>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</si>
  <si>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</si>
  <si>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</si>
  <si>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</si>
  <si>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</si>
  <si>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</si>
  <si>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</si>
  <si>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</si>
  <si>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</si>
  <si>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</si>
  <si>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</si>
  <si>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</si>
  <si>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</si>
  <si>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</si>
  <si>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</si>
  <si>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</si>
  <si>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</si>
  <si>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</si>
  <si>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</si>
  <si>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</si>
  <si>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</si>
  <si>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</si>
  <si>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</si>
  <si>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</si>
  <si>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</si>
  <si>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</si>
  <si>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</si>
  <si>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</si>
  <si>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</si>
  <si>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</si>
  <si>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</si>
  <si>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</si>
  <si>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</si>
  <si>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</si>
  <si>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</si>
  <si>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</si>
  <si>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</si>
  <si>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</si>
  <si>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</si>
  <si>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</si>
  <si>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</si>
  <si>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</si>
  <si>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</si>
  <si>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</si>
  <si>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</si>
  <si>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</si>
  <si>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</si>
  <si>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</si>
  <si>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</si>
  <si>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</si>
  <si>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</si>
  <si>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</si>
  <si>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</si>
  <si>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</si>
  <si>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</si>
  <si>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</si>
  <si>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</si>
  <si>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</si>
  <si>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</si>
  <si>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</si>
  <si>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</si>
  <si>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</si>
  <si>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</si>
  <si>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</si>
  <si>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</si>
  <si>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</si>
  <si>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</si>
  <si>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</si>
  <si>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</si>
  <si>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</si>
  <si>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</si>
  <si>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</si>
  <si>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</si>
  <si>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</si>
  <si>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</si>
  <si>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</si>
  <si>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</si>
  <si>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</si>
  <si>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</si>
  <si>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</si>
  <si>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</si>
  <si>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</si>
  <si>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</si>
  <si>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</si>
  <si>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</si>
  <si>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</si>
  <si>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</si>
  <si>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</si>
  <si>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</si>
  <si>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</si>
  <si>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</si>
  <si>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</si>
  <si>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</si>
  <si>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</si>
  <si>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</si>
  <si>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</si>
  <si>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</si>
  <si>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</si>
  <si>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</si>
  <si>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</si>
  <si>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</si>
  <si>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</si>
  <si>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</si>
  <si>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</si>
  <si>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</si>
  <si>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</si>
  <si>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</si>
  <si>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</si>
  <si>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</si>
  <si>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</si>
  <si>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</si>
  <si>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</si>
  <si>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</si>
  <si>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</si>
  <si>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</si>
  <si>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</si>
  <si>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</si>
  <si>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</si>
  <si>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</si>
  <si>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</si>
  <si>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</si>
  <si>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</si>
  <si>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</si>
  <si>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</si>
  <si>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</si>
  <si>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</si>
  <si>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</si>
  <si>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</si>
  <si>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</si>
  <si>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</si>
  <si>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</si>
  <si>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</si>
  <si>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</si>
  <si>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</si>
  <si>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</si>
  <si>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</si>
  <si>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</si>
  <si>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</si>
  <si>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</si>
  <si>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</si>
  <si>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</si>
  <si>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</si>
  <si>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</si>
  <si>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</si>
  <si>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</si>
  <si>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</si>
  <si>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</si>
  <si>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</si>
  <si>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</si>
  <si>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</si>
  <si>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</si>
  <si>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</si>
  <si>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</si>
  <si>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</si>
  <si>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</si>
  <si>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</si>
  <si>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</si>
  <si>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</si>
  <si>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</si>
  <si>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</si>
  <si>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</si>
  <si>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</si>
  <si>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</si>
  <si>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</si>
  <si>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</si>
  <si>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</si>
  <si>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</si>
  <si>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</si>
  <si>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</si>
  <si>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</si>
  <si>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</si>
  <si>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</si>
  <si>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</si>
  <si>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</si>
  <si>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</si>
  <si>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</si>
  <si>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</si>
  <si>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</si>
  <si>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</si>
  <si>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</si>
  <si>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</si>
  <si>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</si>
  <si>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</si>
  <si>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</si>
  <si>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</si>
  <si>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</si>
  <si>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</si>
  <si>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</si>
  <si>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</si>
  <si>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</si>
  <si>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</si>
  <si>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</si>
  <si>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</si>
  <si>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</si>
  <si>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</si>
  <si>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</si>
  <si>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</si>
  <si>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</si>
  <si>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</si>
  <si>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</si>
  <si>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</si>
  <si>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</si>
  <si>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</si>
  <si>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</si>
  <si>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</si>
  <si>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</si>
  <si>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</si>
  <si>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</si>
  <si>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</si>
  <si>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</si>
  <si>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</si>
  <si>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</si>
  <si>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</si>
  <si>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</si>
  <si>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</si>
  <si>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</si>
  <si>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</si>
  <si>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</si>
  <si>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</si>
  <si>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</si>
  <si>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</si>
  <si>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</si>
  <si>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</si>
  <si>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</si>
  <si>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</si>
  <si>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</si>
  <si>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</si>
  <si>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</si>
  <si>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</si>
  <si>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</si>
  <si>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</si>
  <si>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</si>
  <si>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</si>
  <si>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</si>
  <si>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</si>
  <si>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</si>
  <si>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</si>
  <si>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</si>
  <si>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</si>
  <si>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</si>
  <si>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</si>
  <si>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</si>
  <si>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</si>
  <si>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</si>
  <si>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</si>
  <si>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</si>
  <si>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</si>
  <si>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</si>
  <si>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</si>
  <si>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</si>
  <si>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</si>
  <si>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</si>
  <si>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</si>
  <si>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</si>
  <si>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</si>
  <si>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</si>
  <si>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</si>
  <si>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</si>
  <si>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</si>
  <si>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</si>
  <si>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</si>
  <si>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</si>
  <si>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</si>
  <si>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</si>
  <si>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</si>
  <si>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</si>
  <si>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</si>
  <si>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</si>
  <si>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</si>
  <si>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</si>
  <si>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</si>
  <si>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</si>
  <si>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</si>
  <si>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</si>
  <si>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</si>
  <si>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</si>
  <si>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</si>
  <si>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</si>
  <si>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</si>
  <si>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</si>
  <si>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</si>
  <si>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</si>
  <si>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</si>
  <si>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</si>
  <si>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</si>
  <si>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</si>
  <si>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</si>
  <si>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</si>
  <si>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</si>
  <si>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</si>
  <si>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</si>
  <si>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</si>
  <si>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</si>
  <si>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</si>
  <si>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</si>
  <si>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</si>
  <si>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</si>
  <si>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</si>
  <si>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</si>
  <si>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</si>
  <si>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</si>
  <si>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</si>
  <si>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</si>
  <si>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</si>
  <si>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</si>
  <si>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</si>
  <si>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</si>
  <si>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</si>
  <si>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</si>
  <si>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</si>
  <si>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</si>
  <si>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</si>
  <si>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</si>
  <si>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</si>
  <si>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</si>
  <si>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</si>
  <si>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</si>
  <si>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</si>
  <si>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</si>
  <si>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</si>
  <si>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</si>
  <si>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</si>
  <si>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</si>
  <si>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</si>
  <si>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</si>
  <si>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</si>
  <si>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</si>
  <si>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</si>
  <si>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</si>
  <si>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</si>
  <si>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</si>
  <si>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</si>
  <si>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</si>
  <si>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</si>
  <si>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</si>
  <si>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</si>
  <si>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</si>
  <si>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</si>
  <si>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</si>
  <si>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</si>
  <si>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</si>
  <si>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</si>
  <si>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</si>
  <si>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</si>
  <si>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</si>
  <si>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</si>
  <si>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</si>
  <si>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</si>
  <si>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</si>
  <si>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</si>
  <si>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</si>
  <si>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</si>
  <si>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</si>
  <si>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</si>
  <si>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</si>
  <si>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</si>
  <si>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</si>
  <si>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</si>
  <si>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</si>
  <si>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</si>
  <si>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</si>
  <si>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</si>
  <si>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</si>
  <si>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</si>
  <si>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</si>
  <si>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</si>
  <si>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</si>
  <si>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</si>
  <si>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</si>
  <si>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</si>
  <si>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</si>
  <si>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</si>
  <si>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</si>
  <si>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</si>
  <si>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</si>
  <si>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</si>
  <si>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</si>
  <si>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</si>
  <si>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</si>
  <si>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</si>
  <si>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</si>
  <si>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</si>
  <si>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</si>
  <si>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</si>
  <si>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</si>
  <si>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</si>
  <si>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</si>
  <si>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All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</si>
  <si>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</si>
  <si>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</si>
  <si>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</si>
  <si>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</si>
  <si>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</si>
  <si>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</si>
  <si>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</si>
  <si>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</si>
  <si>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</si>
  <si>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</si>
  <si>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</si>
  <si>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</si>
  <si>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</si>
  <si>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</si>
  <si>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</si>
  <si>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</si>
  <si>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</si>
  <si>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</si>
  <si>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</si>
  <si>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</si>
  <si>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</si>
  <si>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</si>
  <si>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</si>
  <si>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</si>
  <si>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</si>
  <si>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</si>
  <si>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</si>
  <si>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</si>
  <si>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</si>
  <si>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</si>
  <si>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</si>
  <si>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</si>
  <si>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</si>
  <si>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</si>
  <si>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</si>
  <si>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</si>
  <si>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</si>
  <si>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</si>
  <si>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</si>
  <si>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measure</t>
  </si>
  <si>
    <t>mean of backers_count</t>
  </si>
  <si>
    <t>median of backers_count</t>
  </si>
  <si>
    <t>minimum of backers_count</t>
  </si>
  <si>
    <t>maximum of backers_count</t>
  </si>
  <si>
    <t>variance of backers_count</t>
  </si>
  <si>
    <t>standard deviation of backers_count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</si>
  <si>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</si>
  <si>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</si>
  <si>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The median better summarizes the data due to the variability in the number of backers in the data sample. The mean is distorted by outliers.</t>
  </si>
  <si>
    <t xml:space="preserve">The variance and standard variation values show more variability with successful campaigns. This makes sense because a succesful campaign could have a small number of backers with large average donations or it could have a large number of backers with modest donations.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</si>
</sst>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00FF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 pivot!PivotTable10</c:name>
    <c:fmtId val="1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A-43F7-8B80-82F15D463BC4}"/>
            </c:ext>
          </c:extLst>
        </c:ser>
        <c:ser>
          <c:idx val="1"/>
          <c:order val="1"/>
          <c:tx>
            <c:strRef>
              <c:f>'Outcome by cat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'Outcome by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A-43F7-8B80-82F15D463BC4}"/>
            </c:ext>
          </c:extLst>
        </c:ser>
        <c:ser>
          <c:idx val="2"/>
          <c:order val="2"/>
          <c:tx>
            <c:strRef>
              <c:f>'Outcome by cat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A-43F7-8B80-82F15D463BC4}"/>
            </c:ext>
          </c:extLst>
        </c:ser>
        <c:ser>
          <c:idx val="3"/>
          <c:order val="3"/>
          <c:tx>
            <c:strRef>
              <c:f>'Outcome by cat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3A-43F7-8B80-82F15D463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60187744"/>
        <c:axId val="2060192064"/>
      </c:barChart>
      <c:catAx>
        <c:axId val="20601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92064"/>
        <c:crosses val="autoZero"/>
        <c:auto val="1"/>
        <c:lblAlgn val="ctr"/>
        <c:lblOffset val="100"/>
        <c:noMultiLvlLbl val="0"/>
      </c:catAx>
      <c:valAx>
        <c:axId val="20601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 pivot!PivotTable10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E-400F-8596-7BCD6778796B}"/>
            </c:ext>
          </c:extLst>
        </c:ser>
        <c:ser>
          <c:idx val="1"/>
          <c:order val="1"/>
          <c:tx>
            <c:strRef>
              <c:f>'Outcome by sub-cat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9999"/>
            </a:solidFill>
            <a:ln>
              <a:noFill/>
            </a:ln>
            <a:effectLst/>
          </c:spPr>
          <c:invertIfNegative val="0"/>
          <c:cat>
            <c:strRef>
              <c:f>'Outcome by sub-cat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E-400F-8596-7BCD6778796B}"/>
            </c:ext>
          </c:extLst>
        </c:ser>
        <c:ser>
          <c:idx val="2"/>
          <c:order val="2"/>
          <c:tx>
            <c:strRef>
              <c:f>'Outcome by sub-cat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3E-400F-8596-7BCD6778796B}"/>
            </c:ext>
          </c:extLst>
        </c:ser>
        <c:ser>
          <c:idx val="3"/>
          <c:order val="3"/>
          <c:tx>
            <c:strRef>
              <c:f>'Outcome by sub-cat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3E-400F-8596-7BCD67787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60187744"/>
        <c:axId val="2060192064"/>
      </c:barChart>
      <c:catAx>
        <c:axId val="206018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92064"/>
        <c:crosses val="autoZero"/>
        <c:auto val="1"/>
        <c:lblAlgn val="ctr"/>
        <c:lblOffset val="100"/>
        <c:noMultiLvlLbl val="0"/>
      </c:catAx>
      <c:valAx>
        <c:axId val="206019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 pivot!PivotTable11</c:name>
    <c:fmtId val="3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9-435E-9941-02E8AC63B477}"/>
            </c:ext>
          </c:extLst>
        </c:ser>
        <c:ser>
          <c:idx val="1"/>
          <c:order val="1"/>
          <c:tx>
            <c:strRef>
              <c:f>'Outcome by month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0-4F4B-B803-A451E9652696}"/>
            </c:ext>
          </c:extLst>
        </c:ser>
        <c:ser>
          <c:idx val="2"/>
          <c:order val="2"/>
          <c:tx>
            <c:strRef>
              <c:f>'Outcome by month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50-4F4B-B803-A451E965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140048"/>
        <c:axId val="474149168"/>
      </c:lineChart>
      <c:catAx>
        <c:axId val="4741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9168"/>
        <c:crosses val="autoZero"/>
        <c:auto val="1"/>
        <c:lblAlgn val="ctr"/>
        <c:lblOffset val="100"/>
        <c:noMultiLvlLbl val="0"/>
      </c:catAx>
      <c:valAx>
        <c:axId val="4741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4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C-4471-AA66-F8DD6A889CD0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C-4471-AA66-F8DD6A889CD0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C-4471-AA66-F8DD6A889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900528"/>
        <c:axId val="311908208"/>
      </c:lineChart>
      <c:catAx>
        <c:axId val="31190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08208"/>
        <c:crosses val="autoZero"/>
        <c:auto val="1"/>
        <c:lblAlgn val="ctr"/>
        <c:lblOffset val="100"/>
        <c:noMultiLvlLbl val="0"/>
      </c:catAx>
      <c:valAx>
        <c:axId val="3119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0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500061</xdr:colOff>
      <xdr:row>0</xdr:row>
      <xdr:rowOff>0</xdr:rowOff>
    </xdr:from>
    <xdr:to>
      <xdr:col>16</xdr:col>
      <xdr:colOff>485775</xdr:colOff>
      <xdr:row>21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EB7B6-F280-FC2C-88C4-099BA2AF0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500060</xdr:colOff>
      <xdr:row>0</xdr:row>
      <xdr:rowOff>0</xdr:rowOff>
    </xdr:from>
    <xdr:to>
      <xdr:col>19</xdr:col>
      <xdr:colOff>571500</xdr:colOff>
      <xdr:row>26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F9FB8-2258-4801-B2A4-0519DE23C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</xdr:row>
      <xdr:rowOff>161925</xdr:rowOff>
    </xdr:from>
    <xdr:to>
      <xdr:col>15</xdr:col>
      <xdr:colOff>200025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32761-98C1-C689-1DBA-613451A78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13</xdr:row>
      <xdr:rowOff>133350</xdr:rowOff>
    </xdr:from>
    <xdr:to>
      <xdr:col>7</xdr:col>
      <xdr:colOff>1209675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41D12-0AB5-B317-F8A7-6508D13BF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lvert, Matt" refreshedDate="45066.425254166665" backgroundQuery="1" createdVersion="8" refreshedVersion="8" minRefreshableVersion="3" recordCount="0" supportSubquery="1" supportAdvancedDrill="1" xr:uid="{7314D197-CD90-4CC6-B421-D3AE2A60DB97}">
  <cacheSource type="external" connectionId="1"/>
  <cacheFields count="4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</cacheFields>
  <cacheHierarchies count="3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ackers_count]" caption="Average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in of backers_count]" caption="Min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ax of backers_count]" caption="Max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Var of backers_count]" caption="Var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tdDev of backers_count]" caption="StdDev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Varp of backers_count]" caption="Varp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lvert, Matt" refreshedDate="45066.425256134258" backgroundQuery="1" createdVersion="8" refreshedVersion="8" minRefreshableVersion="3" recordCount="0" supportSubquery="1" supportAdvancedDrill="1" xr:uid="{E937DC76-AAC0-4EF9-A191-CD71BF16EBD9}">
  <cacheSource type="external" connectionId="1"/>
  <cacheFields count="5">
    <cacheField name="[Range].[country].[country]" caption="country" numFmtId="0" hierarchy="9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Sub-Category].[Sub-Category]" caption="Sub-Category" numFmtId="0" hierarchy="19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</cacheFields>
  <cacheHierarchies count="3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ackers_count]" caption="Average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in of backers_count]" caption="Min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ax of backers_count]" caption="Max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Var of backers_count]" caption="Var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tdDev of backers_count]" caption="StdDev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Varp of backers_count]" caption="Varp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lvert, Matt" refreshedDate="45073.666874074072" backgroundQuery="1" createdVersion="8" refreshedVersion="8" minRefreshableVersion="3" recordCount="0" supportSubquery="1" supportAdvancedDrill="1" xr:uid="{D0C304FD-62AC-44CD-B4A6-E7B4966C9654}">
  <cacheSource type="external" connectionId="1"/>
  <cacheFields count="5"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3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backers_count]" caption="Average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in of backers_count]" caption="Min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Max of backers_count]" caption="Max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Var of backers_count]" caption="Var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tdDev of backers_count]" caption="StdDev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Varp of backers_count]" caption="Varp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910A4-D50D-4E8E-9278-BBC931A2C83A}" name="PivotTable10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A3:F14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9" name="[Range].[country].[All]" cap="All"/>
  </pageFields>
  <dataFields count="1">
    <dataField name="Count of outcome" fld="3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6B2BA-D504-47DC-86F0-96A49932242C}" name="PivotTable10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4:F30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0" hier="9" name="[Range].[country].[All]" cap="All"/>
    <pageField fld="1" hier="18" name="[Range].[Parent Category].[All]" cap="All"/>
  </pageFields>
  <dataFields count="1">
    <dataField name="Count of outcome" fld="3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9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EAF90D-0A00-415C-83B1-0E8D583F237F}" name="PivotTable11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4">
  <location ref="A4:E18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1" hier="20" name="[Range].[Date Created Conversion (Year)].[All]" cap="All"/>
  </pageFields>
  <dataFields count="1">
    <dataField name="Count of outcome" fld="3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5" x14ac:dyDescent="0.35"/>
  <cols>
    <col min="1" max="1" width="4.08203125" bestFit="1" customWidth="1"/>
    <col min="2" max="2" width="30.58203125" bestFit="1" customWidth="1"/>
    <col min="3" max="3" width="33.5" style="3" customWidth="1"/>
    <col min="8" max="8" width="13" bestFit="1" customWidth="1"/>
    <col min="9" max="9" width="13" customWidth="1"/>
    <col min="12" max="13" width="11.08203125" bestFit="1" customWidth="1"/>
    <col min="14" max="14" width="22.33203125" style="10" bestFit="1" customWidth="1"/>
    <col min="15" max="15" width="11.08203125" customWidth="1"/>
    <col min="18" max="18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6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6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6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6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6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6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6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6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6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6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6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6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6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6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6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6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6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2:G1001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5050"/>
        <color theme="9"/>
        <color theme="8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2C57-BDCB-4F12-8016-1B593D2E3FA7}">
  <dimension ref="A1:F14"/>
  <sheetViews>
    <sheetView workbookViewId="0">
      <selection activeCell="B18" sqref="B18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7" t="s">
        <v>6</v>
      </c>
      <c r="B1" t="s" vm="1">
        <v>2066</v>
      </c>
    </row>
    <row r="3" spans="1:6" x14ac:dyDescent="0.35">
      <c r="A3" s="7" t="s">
        <v>2069</v>
      </c>
      <c r="B3" s="7" t="s">
        <v>2070</v>
      </c>
    </row>
    <row r="4" spans="1:6" x14ac:dyDescent="0.35">
      <c r="A4" s="7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2064</v>
      </c>
      <c r="E8">
        <v>4</v>
      </c>
      <c r="F8">
        <v>4</v>
      </c>
    </row>
    <row r="9" spans="1:6" x14ac:dyDescent="0.3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8293-03DE-4D64-88BE-1353F2D9CF51}">
  <dimension ref="A1:F30"/>
  <sheetViews>
    <sheetView workbookViewId="0">
      <selection activeCell="M35" sqref="M35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7" t="s">
        <v>6</v>
      </c>
      <c r="B1" t="s" vm="1">
        <v>2066</v>
      </c>
    </row>
    <row r="2" spans="1:6" x14ac:dyDescent="0.35">
      <c r="A2" s="7" t="s">
        <v>2031</v>
      </c>
      <c r="B2" t="s" vm="2">
        <v>2066</v>
      </c>
    </row>
    <row r="4" spans="1:6" x14ac:dyDescent="0.35">
      <c r="A4" s="7" t="s">
        <v>2069</v>
      </c>
      <c r="B4" s="7" t="s">
        <v>2070</v>
      </c>
    </row>
    <row r="5" spans="1:6" x14ac:dyDescent="0.35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2065</v>
      </c>
      <c r="E7">
        <v>4</v>
      </c>
      <c r="F7">
        <v>4</v>
      </c>
    </row>
    <row r="8" spans="1:6" x14ac:dyDescent="0.3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2043</v>
      </c>
      <c r="C10">
        <v>8</v>
      </c>
      <c r="E10">
        <v>10</v>
      </c>
      <c r="F10">
        <v>18</v>
      </c>
    </row>
    <row r="11" spans="1:6" x14ac:dyDescent="0.3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2057</v>
      </c>
      <c r="C15">
        <v>3</v>
      </c>
      <c r="E15">
        <v>4</v>
      </c>
      <c r="F15">
        <v>7</v>
      </c>
    </row>
    <row r="16" spans="1:6" x14ac:dyDescent="0.3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2056</v>
      </c>
      <c r="C20">
        <v>4</v>
      </c>
      <c r="E20">
        <v>4</v>
      </c>
      <c r="F20">
        <v>8</v>
      </c>
    </row>
    <row r="21" spans="1:6" x14ac:dyDescent="0.3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2063</v>
      </c>
      <c r="C22">
        <v>9</v>
      </c>
      <c r="E22">
        <v>5</v>
      </c>
      <c r="F22">
        <v>14</v>
      </c>
    </row>
    <row r="23" spans="1:6" x14ac:dyDescent="0.3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2059</v>
      </c>
      <c r="C25">
        <v>7</v>
      </c>
      <c r="E25">
        <v>14</v>
      </c>
      <c r="F25">
        <v>21</v>
      </c>
    </row>
    <row r="26" spans="1:6" x14ac:dyDescent="0.3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2062</v>
      </c>
      <c r="E29">
        <v>3</v>
      </c>
      <c r="F29">
        <v>3</v>
      </c>
    </row>
    <row r="30" spans="1:6" x14ac:dyDescent="0.35">
      <c r="A30" s="8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D7B0-0EA5-4F84-806C-AE646CD5F183}">
  <dimension ref="A1:E18"/>
  <sheetViews>
    <sheetView workbookViewId="0">
      <selection activeCell="B1" sqref="B1"/>
    </sheetView>
  </sheetViews>
  <sheetFormatPr defaultRowHeight="15.5" x14ac:dyDescent="0.35"/>
  <cols>
    <col min="1" max="1" width="27" bestFit="1" customWidth="1"/>
    <col min="2" max="2" width="15.25" bestFit="1" customWidth="1"/>
    <col min="3" max="3" width="5.58203125" bestFit="1" customWidth="1"/>
    <col min="4" max="4" width="9.25" bestFit="1" customWidth="1"/>
    <col min="5" max="5" width="11" bestFit="1" customWidth="1"/>
  </cols>
  <sheetData>
    <row r="1" spans="1:5" x14ac:dyDescent="0.35">
      <c r="A1" s="7" t="s">
        <v>2031</v>
      </c>
      <c r="B1" t="s" vm="2">
        <v>2066</v>
      </c>
    </row>
    <row r="2" spans="1:5" x14ac:dyDescent="0.35">
      <c r="A2" s="7" t="s">
        <v>2085</v>
      </c>
      <c r="B2" t="s" vm="3">
        <v>2066</v>
      </c>
    </row>
    <row r="4" spans="1:5" x14ac:dyDescent="0.35">
      <c r="A4" s="7" t="s">
        <v>2069</v>
      </c>
      <c r="B4" s="7" t="s">
        <v>2070</v>
      </c>
    </row>
    <row r="5" spans="1:5" x14ac:dyDescent="0.35">
      <c r="A5" s="7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8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956F-9608-448C-992A-D2AA39209196}">
  <dimension ref="A1:H13"/>
  <sheetViews>
    <sheetView workbookViewId="0">
      <selection activeCell="J38" sqref="J38"/>
    </sheetView>
  </sheetViews>
  <sheetFormatPr defaultRowHeight="15.5" x14ac:dyDescent="0.35"/>
  <cols>
    <col min="1" max="1" width="26.33203125" bestFit="1" customWidth="1"/>
    <col min="2" max="2" width="17.25" bestFit="1" customWidth="1"/>
    <col min="3" max="3" width="13.5" bestFit="1" customWidth="1"/>
    <col min="4" max="4" width="16.0820312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3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35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2" si="0">C2/$E2</f>
        <v>0.39215686274509803</v>
      </c>
      <c r="H2" s="4">
        <f t="shared" si="0"/>
        <v>1.9607843137254902E-2</v>
      </c>
    </row>
    <row r="3" spans="1:8" x14ac:dyDescent="0.35">
      <c r="A3" t="s">
        <v>2095</v>
      </c>
      <c r="B3">
        <f>COUNTIFS(Crowdfunding!$G$2:$G$1001,"successful",Crowdfunding!$D$2:$D$1001,"&gt;=1000",Crowdfunding!$D$2:$D$1001,"&lt;4999")</f>
        <v>191</v>
      </c>
      <c r="C3">
        <f>COUNTIFS(Crowdfunding!$G$2:$G$1001,"failed",Crowdfunding!$D$2:$D$1001,"&gt;=1000",Crowdfunding!$D$2:$D$1001,"&lt;4999")</f>
        <v>38</v>
      </c>
      <c r="D3">
        <f>COUNTIFS(Crowdfunding!$G$2:$G$1001,"canceled",Crowdfunding!$D$2:$D$1001,"&gt;=1000",Crowdfunding!$D$2:$D$1001,"&lt;4999")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ref="G3:G13" si="3">C3/$E3</f>
        <v>0.16450216450216451</v>
      </c>
      <c r="H3" s="4">
        <f t="shared" ref="H3:H13" si="4">D3/$E3</f>
        <v>8.658008658008658E-3</v>
      </c>
    </row>
    <row r="4" spans="1:8" x14ac:dyDescent="0.35">
      <c r="A4" t="s">
        <v>2096</v>
      </c>
      <c r="B4">
        <f>COUNTIFS(Crowdfunding!$G$2:$G$1001,"successful",Crowdfunding!$D$2:$D$1001,"&gt;=5000",Crowdfunding!$D$2:$D$1001,"&lt;9999")</f>
        <v>164</v>
      </c>
      <c r="C4">
        <f>COUNTIFS(Crowdfunding!$G$2:$G$1001,"failed",Crowdfunding!$D$2:$D$1001,"&gt;=5000",Crowdfunding!$D$2:$D$1001,"&lt;9999")</f>
        <v>126</v>
      </c>
      <c r="D4">
        <f>COUNTIFS(Crowdfunding!$G$2:$G$1001,"canceled",Crowdfunding!$D$2:$D$1001,"&gt;=5000",Crowdfunding!$D$2:$D$1001,"&lt;9999")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35">
      <c r="A5" t="s">
        <v>2097</v>
      </c>
      <c r="B5">
        <f>COUNTIFS(Crowdfunding!$G$2:$G$1001,"successful",Crowdfunding!$D$2:$D$1001,"&gt;=10000",Crowdfunding!$D$2:$D$1001,"&lt;14999")</f>
        <v>4</v>
      </c>
      <c r="C5">
        <f>COUNTIFS(Crowdfunding!$G$2:$G$1001,"failed",Crowdfunding!$D$2:$D$1001,"&gt;=10000",Crowdfunding!$D$2:$D$1001,"&lt;14999")</f>
        <v>5</v>
      </c>
      <c r="D5">
        <f>COUNTIFS(Crowdfunding!$G$2:$G$1001,"canceled",Crowdfunding!$D$2:$D$1001,"&gt;=10000",Crowdfunding!$D$2:$D$1001,"&lt;14999")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35">
      <c r="A6" t="s">
        <v>2098</v>
      </c>
      <c r="B6">
        <f>COUNTIFS(Crowdfunding!$G$2:$G$1001,"successful",Crowdfunding!$D$2:$D$1001,"&gt;=15000",Crowdfunding!$D$2:$D$1001,"&lt;19999")</f>
        <v>10</v>
      </c>
      <c r="C6">
        <f>COUNTIFS(Crowdfunding!$G$2:$G$1001,"failed",Crowdfunding!$D$2:$D$1001,"&gt;=15000",Crowdfunding!$D$2:$D$1001,"&lt;19999")</f>
        <v>0</v>
      </c>
      <c r="D6">
        <f>COUNTIFS(Crowdfunding!$G$2:$G$1001,"canceled",Crowdfunding!$D$2:$D$1001,"&gt;=15000",Crowdfunding!$D$2:$D$1001,"&lt;19999")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35">
      <c r="A7" t="s">
        <v>2099</v>
      </c>
      <c r="B7">
        <f>COUNTIFS(Crowdfunding!$G$2:$G$1001,"successful",Crowdfunding!$D$2:$D$1001,"&gt;=20000",Crowdfunding!$D$2:$D$1001,"&lt;24999")</f>
        <v>7</v>
      </c>
      <c r="C7">
        <f>COUNTIFS(Crowdfunding!$G$2:$G$1001,"failed",Crowdfunding!$D$2:$D$1001,"&gt;=20000",Crowdfunding!$D$2:$D$1001,"&lt;24999")</f>
        <v>0</v>
      </c>
      <c r="D7">
        <f>COUNTIFS(Crowdfunding!$G$2:$G$1001,"canceled",Crowdfunding!$D$2:$D$1001,"&gt;=20000",Crowdfunding!$D$2:$D$1001,"&lt;24999")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35">
      <c r="A8" t="s">
        <v>2100</v>
      </c>
      <c r="B8">
        <f>COUNTIFS(Crowdfunding!$G$2:$G$1001,"successful",Crowdfunding!$D$2:$D$1001,"&gt;=25000",Crowdfunding!$D$2:$D$1001,"&lt;29999")</f>
        <v>11</v>
      </c>
      <c r="C8">
        <f>COUNTIFS(Crowdfunding!$G$2:$G$1001,"failed",Crowdfunding!$D$2:$D$1001,"&gt;=25000",Crowdfunding!$D$2:$D$1001,"&lt;29999")</f>
        <v>3</v>
      </c>
      <c r="D8">
        <f>COUNTIFS(Crowdfunding!$G$2:$G$1001,"canceled",Crowdfunding!$D$2:$D$1001,"&gt;=25000",Crowdfunding!$D$2:$D$1001,"&lt;29999")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35">
      <c r="A9" t="s">
        <v>2101</v>
      </c>
      <c r="B9">
        <f>COUNTIFS(Crowdfunding!$G$2:$G$1001,"successful",Crowdfunding!$D$2:$D$1001,"&gt;=30000",Crowdfunding!$D$2:$D$1001,"&lt;34999")</f>
        <v>7</v>
      </c>
      <c r="C9">
        <f>COUNTIFS(Crowdfunding!$G$2:$G$1001,"failed",Crowdfunding!$D$2:$D$1001,"&gt;=30000",Crowdfunding!$D$2:$D$1001,"&lt;34999")</f>
        <v>0</v>
      </c>
      <c r="D9">
        <f>COUNTIFS(Crowdfunding!$G$2:$G$1001,"canceled",Crowdfunding!$D$2:$D$1001,"&gt;=30000",Crowdfunding!$D$2:$D$1001,"&lt;34999")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35">
      <c r="A10" t="s">
        <v>2102</v>
      </c>
      <c r="B10">
        <f>COUNTIFS(Crowdfunding!$G$2:$G$1001,"successful",Crowdfunding!$D$2:$D$1001,"&gt;=35000",Crowdfunding!$D$2:$D$1001,"&lt;39999")</f>
        <v>8</v>
      </c>
      <c r="C10">
        <f>COUNTIFS(Crowdfunding!$G$2:$G$1001,"failed",Crowdfunding!$D$2:$D$1001,"&gt;=35000",Crowdfunding!$D$2:$D$1001,"&lt;39999")</f>
        <v>3</v>
      </c>
      <c r="D10">
        <f>COUNTIFS(Crowdfunding!$G$2:$G$1001,"canceled",Crowdfunding!$D$2:$D$1001,"&gt;=35000",Crowdfunding!$D$2:$D$1001,"&lt;39999")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35">
      <c r="A11" t="s">
        <v>2103</v>
      </c>
      <c r="B11">
        <f>COUNTIFS(Crowdfunding!$G$2:$G$1001,"successful",Crowdfunding!$D$2:$D$1001,"&gt;=40000",Crowdfunding!$D$2:$D$1001,"&lt;44999")</f>
        <v>11</v>
      </c>
      <c r="C11">
        <f>COUNTIFS(Crowdfunding!$G$2:$G$1001,"failed",Crowdfunding!$D$2:$D$1001,"&gt;=40000",Crowdfunding!$D$2:$D$1001,"&lt;44999")</f>
        <v>3</v>
      </c>
      <c r="D11">
        <f>COUNTIFS(Crowdfunding!$G$2:$G$1001,"canceled",Crowdfunding!$D$2:$D$1001,"&gt;=40000",Crowdfunding!$D$2:$D$1001,"&lt;44999")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35">
      <c r="A12" t="s">
        <v>2104</v>
      </c>
      <c r="B12">
        <f>COUNTIFS(Crowdfunding!$G$2:$G$1001,"successful",Crowdfunding!$D$2:$D$1001,"&gt;=45000",Crowdfunding!$D$2:$D$1001,"&lt;49999")</f>
        <v>8</v>
      </c>
      <c r="C12">
        <f>COUNTIFS(Crowdfunding!$G$2:$G$1001,"failed",Crowdfunding!$D$2:$D$1001,"&gt;=45000",Crowdfunding!$D$2:$D$1001,"&lt;49999")</f>
        <v>3</v>
      </c>
      <c r="D12">
        <f>COUNTIFS(Crowdfunding!$G$2:$G$1001,"canceled",Crowdfunding!$D$2:$D$1001,"&gt;=45000",Crowdfunding!$D$2:$D$1001,"&lt;49999")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35">
      <c r="A13" t="s">
        <v>2105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pageMargins left="0.7" right="0.7" top="0.75" bottom="0.75" header="0.3" footer="0.3"/>
  <ignoredErrors>
    <ignoredError sqref="B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853C-6BA8-48C8-B459-F47B5C853AB2}">
  <dimension ref="A1:J16"/>
  <sheetViews>
    <sheetView workbookViewId="0">
      <selection activeCell="A17" sqref="A17"/>
    </sheetView>
  </sheetViews>
  <sheetFormatPr defaultRowHeight="15.5" x14ac:dyDescent="0.35"/>
  <cols>
    <col min="1" max="1" width="23.5" bestFit="1" customWidth="1"/>
    <col min="3" max="3" width="7.75" bestFit="1" customWidth="1"/>
    <col min="5" max="5" width="11.83203125" bestFit="1" customWidth="1"/>
    <col min="8" max="8" width="15.25" bestFit="1" customWidth="1"/>
    <col min="9" max="9" width="10.08203125" bestFit="1" customWidth="1"/>
  </cols>
  <sheetData>
    <row r="1" spans="1:10" x14ac:dyDescent="0.35">
      <c r="A1" s="11" t="s">
        <v>2106</v>
      </c>
      <c r="B1" s="11" t="s">
        <v>20</v>
      </c>
      <c r="C1" s="11" t="s">
        <v>14</v>
      </c>
    </row>
    <row r="2" spans="1:10" x14ac:dyDescent="0.35">
      <c r="A2" t="s">
        <v>2107</v>
      </c>
      <c r="B2" s="12">
        <f t="array" ref="B2">AVERAGE(IF(Crowdfunding!$G$2:$G$1001="successful",Crowdfunding!$H$2:$H$1001))</f>
        <v>851.14690265486729</v>
      </c>
      <c r="C2" s="12">
        <f t="array" ref="C2">AVERAGE(IF(Crowdfunding!$G$2:$G$1001="failed",Crowdfunding!$H$2:$H$1001))</f>
        <v>585.61538461538464</v>
      </c>
    </row>
    <row r="3" spans="1:10" x14ac:dyDescent="0.35">
      <c r="A3" t="s">
        <v>2108</v>
      </c>
      <c r="B3" s="12" cm="1">
        <f t="array" ref="B3">MEDIAN(IF(Crowdfunding!$G$2:$G$1001="successful",Crowdfunding!$H$2:$H$1001))</f>
        <v>201</v>
      </c>
      <c r="C3" s="12" cm="1">
        <f t="array" ref="C3">MEDIAN(IF(Crowdfunding!$G$2:$G$1001="failed",Crowdfunding!$H$2:$H$1001))</f>
        <v>114.5</v>
      </c>
    </row>
    <row r="4" spans="1:10" x14ac:dyDescent="0.35">
      <c r="A4" t="s">
        <v>2109</v>
      </c>
      <c r="B4" s="12" cm="1">
        <f t="array" ref="B4">MIN(IF(Crowdfunding!$G$2:$G$1001="successful",Crowdfunding!$H$2:$H$1001))</f>
        <v>16</v>
      </c>
      <c r="C4" s="12" cm="1">
        <f t="array" ref="C4">MIN(IF(Crowdfunding!$G$2:$G$1001="failed",Crowdfunding!$H$2:$H$1001))</f>
        <v>0</v>
      </c>
    </row>
    <row r="5" spans="1:10" x14ac:dyDescent="0.35">
      <c r="A5" t="s">
        <v>2110</v>
      </c>
      <c r="B5" s="12" cm="1">
        <f t="array" ref="B5">MAX(IF(Crowdfunding!$G$2:$G$1001="successful",Crowdfunding!$H$2:$H$1001))</f>
        <v>7295</v>
      </c>
      <c r="C5" s="12" cm="1">
        <f t="array" ref="C5">MAX(IF(Crowdfunding!$G$2:$G$1001="failed",Crowdfunding!$H$2:$H$1001))</f>
        <v>6080</v>
      </c>
    </row>
    <row r="6" spans="1:10" x14ac:dyDescent="0.35">
      <c r="A6" t="s">
        <v>2111</v>
      </c>
      <c r="B6" s="12" cm="1">
        <f t="array" ref="B6">_xlfn.VAR.S(IF(Crowdfunding!$G$2:$G$1001="successful",Crowdfunding!$H$2:$H$1001))</f>
        <v>1606216.5936295739</v>
      </c>
      <c r="C6" s="12" cm="1">
        <f t="array" ref="C6">_xlfn.VAR.S(IF(Crowdfunding!$G$2:$G$1001="failed",Crowdfunding!$H$2:$H$1001))</f>
        <v>924113.45496927318</v>
      </c>
    </row>
    <row r="7" spans="1:10" x14ac:dyDescent="0.35">
      <c r="A7" t="s">
        <v>2112</v>
      </c>
      <c r="B7" s="12" cm="1">
        <f t="array" ref="B7">_xlfn.STDEV.S(IF(Crowdfunding!$G$2:$G$1001="successful",Crowdfunding!$H$2:$H$1001))</f>
        <v>1267.366006183523</v>
      </c>
      <c r="C7" s="12" cm="1">
        <f t="array" ref="C7">_xlfn.STDEV.S(IF(Crowdfunding!$G$2:$G$1001="failed",Crowdfunding!$H$2:$H$1001))</f>
        <v>961.30819978260524</v>
      </c>
    </row>
    <row r="10" spans="1:10" x14ac:dyDescent="0.35">
      <c r="A10" s="13" t="s">
        <v>2113</v>
      </c>
    </row>
    <row r="11" spans="1:10" x14ac:dyDescent="0.35">
      <c r="A11" s="14" t="s">
        <v>2115</v>
      </c>
    </row>
    <row r="13" spans="1:10" x14ac:dyDescent="0.35">
      <c r="A13" s="13" t="s">
        <v>2114</v>
      </c>
    </row>
    <row r="14" spans="1:10" ht="15.75" customHeight="1" x14ac:dyDescent="0.35">
      <c r="A14" s="15" t="s">
        <v>2116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21" customHeight="1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1">
    <mergeCell ref="A14:J16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9AFA7-C2C8-4BB1-AA91-D3E721BC6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 pivot</vt:lpstr>
      <vt:lpstr>Outcome by sub-cat pivot</vt:lpstr>
      <vt:lpstr>Outcome by month pivot</vt:lpstr>
      <vt:lpstr>Outcomes Based on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Matt Calvert</cp:lastModifiedBy>
  <dcterms:created xsi:type="dcterms:W3CDTF">2021-09-29T18:52:28Z</dcterms:created>
  <dcterms:modified xsi:type="dcterms:W3CDTF">2023-05-28T00:40:58Z</dcterms:modified>
</cp:coreProperties>
</file>