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2CF7E59-E9C7-405F-B1F8-8D78D44812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8" l="1"/>
  <c r="J70" i="18" s="1"/>
  <c r="D70" i="18"/>
  <c r="E70" i="18"/>
  <c r="F70" i="18"/>
  <c r="H70" i="18"/>
  <c r="K70" i="18"/>
  <c r="L70" i="18"/>
  <c r="B70" i="17"/>
  <c r="C70" i="17" s="1"/>
  <c r="C74" i="15"/>
  <c r="D74" i="15" s="1"/>
  <c r="J74" i="15" s="1"/>
  <c r="E74" i="15"/>
  <c r="H74" i="15"/>
  <c r="F74" i="15" s="1"/>
  <c r="C70" i="16"/>
  <c r="D70" i="16" s="1"/>
  <c r="G70" i="16"/>
  <c r="E70" i="16" s="1"/>
  <c r="C70" i="9"/>
  <c r="D70" i="9" s="1"/>
  <c r="H70" i="9"/>
  <c r="J70" i="9" s="1"/>
  <c r="R70" i="13"/>
  <c r="T70" i="13" s="1"/>
  <c r="B70" i="13"/>
  <c r="C70" i="13" s="1"/>
  <c r="D70" i="13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G70" i="9" l="1"/>
  <c r="I70" i="9" s="1"/>
  <c r="G70" i="18"/>
  <c r="I70" i="18" s="1"/>
  <c r="E70" i="17"/>
  <c r="D70" i="17"/>
  <c r="G74" i="15"/>
  <c r="I74" i="15"/>
  <c r="H70" i="16"/>
  <c r="I70" i="16" s="1"/>
  <c r="F70" i="16"/>
  <c r="E70" i="9"/>
  <c r="K70" i="9"/>
  <c r="U70" i="13"/>
  <c r="AA70" i="13"/>
  <c r="W70" i="13"/>
  <c r="Z70" i="13"/>
  <c r="V70" i="13"/>
  <c r="Y70" i="13"/>
  <c r="AB70" i="13"/>
  <c r="X70" i="13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C69" i="18" l="1"/>
  <c r="D69" i="18"/>
  <c r="E69" i="18"/>
  <c r="G69" i="18" s="1"/>
  <c r="I69" i="18" s="1"/>
  <c r="F69" i="18"/>
  <c r="H69" i="18"/>
  <c r="J69" i="18"/>
  <c r="K69" i="18"/>
  <c r="L69" i="18"/>
  <c r="B69" i="17"/>
  <c r="C69" i="17" s="1"/>
  <c r="C73" i="15"/>
  <c r="D73" i="15"/>
  <c r="E73" i="15"/>
  <c r="F73" i="15"/>
  <c r="G73" i="15" s="1"/>
  <c r="H73" i="15"/>
  <c r="J73" i="15"/>
  <c r="C69" i="16"/>
  <c r="D69" i="16"/>
  <c r="G69" i="16"/>
  <c r="E69" i="16" s="1"/>
  <c r="C69" i="9"/>
  <c r="D69" i="9" s="1"/>
  <c r="G69" i="9"/>
  <c r="I69" i="9" s="1"/>
  <c r="H69" i="9"/>
  <c r="J69" i="9" s="1"/>
  <c r="R69" i="13"/>
  <c r="T69" i="13" s="1"/>
  <c r="B69" i="13"/>
  <c r="C69" i="13" s="1"/>
  <c r="D69" i="13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73" i="15"/>
  <c r="F69" i="16"/>
  <c r="H69" i="16"/>
  <c r="I69" i="16" s="1"/>
  <c r="E69" i="9"/>
  <c r="K69" i="9"/>
  <c r="W69" i="13"/>
  <c r="V69" i="13"/>
  <c r="Y69" i="13"/>
  <c r="U69" i="13"/>
  <c r="AA69" i="13"/>
  <c r="Z69" i="13"/>
  <c r="AB69" i="13"/>
  <c r="X69" i="13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L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L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L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L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L22" i="18" s="1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58" i="16"/>
  <c r="G48" i="16"/>
  <c r="G32" i="16"/>
  <c r="G104" i="16"/>
  <c r="G96" i="16"/>
  <c r="G88" i="16"/>
  <c r="G80" i="16"/>
  <c r="G72" i="16"/>
  <c r="G56" i="16"/>
  <c r="G44" i="16"/>
  <c r="G28" i="16"/>
  <c r="G4" i="16"/>
  <c r="E4" i="16" s="1"/>
  <c r="G110" i="16"/>
  <c r="G102" i="16"/>
  <c r="G94" i="16"/>
  <c r="G86" i="16"/>
  <c r="G78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5" i="15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71" i="16" l="1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<sst xmlns="http://schemas.openxmlformats.org/spreadsheetml/2006/main" count="219" uniqueCount="69">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</sst>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Casi_totali!$B$3:$B$73</c:f>
              <c:numCache>
                <c:formatCode>General</c:formatCode>
                <c:ptCount val="7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Ospedalizzati!$B$3:$B$65</c:f>
              <c:numCache>
                <c:formatCode>General</c:formatCode>
                <c:ptCount val="63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  <c:pt idx="60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Positivi!$B$3:$B$71</c:f>
              <c:numCache>
                <c:formatCode>General</c:formatCode>
                <c:ptCount val="6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Positivi!$B$3:$B$77</c:f>
              <c:numCache>
                <c:formatCode>General</c:formatCode>
                <c:ptCount val="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Quarantena!$B$3:$B$77</c:f>
              <c:numCache>
                <c:formatCode>General</c:formatCode>
                <c:ptCount val="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Quarantena!$C$3:$C$77</c:f>
              <c:numCache>
                <c:formatCode>General</c:formatCode>
                <c:ptCount val="7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'Nuovi positivi'!$B$3:$B$74</c:f>
              <c:numCache>
                <c:formatCode>General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positivi'!$A$4:$A$72</c:f>
              <c:numCache>
                <c:formatCode>d/m;@</c:formatCode>
                <c:ptCount val="6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</c:numCache>
            </c:numRef>
          </c:xVal>
          <c:yVal>
            <c:numRef>
              <c:f>'Nuovi positivi'!$C$4:$C$72</c:f>
              <c:numCache>
                <c:formatCode>General</c:formatCode>
                <c:ptCount val="69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Casi_totali!$C$3:$C$74</c:f>
              <c:numCache>
                <c:formatCode>General</c:formatCode>
                <c:ptCount val="72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Tamponi!$A$3:$A$77</c:f>
              <c:numCache>
                <c:formatCode>d/m;@</c:formatCode>
                <c:ptCount val="7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Tamponi!$C$3:$C$77</c:f>
              <c:numCache>
                <c:formatCode>General</c:formatCode>
                <c:ptCount val="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Tamponi!$D$3:$D$76</c:f>
              <c:numCache>
                <c:formatCode>General</c:formatCode>
                <c:ptCount val="74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4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Tamponi!$A$3:$A$74</c:f>
              <c:numCache>
                <c:formatCode>d/m;@</c:formatCode>
                <c:ptCount val="7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Tamponi!$I$3:$I$74</c:f>
              <c:numCache>
                <c:formatCode>0.0</c:formatCode>
                <c:ptCount val="72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Tamponi!$A$2:$A$73</c:f>
              <c:numCache>
                <c:formatCode>d/m;@</c:formatCode>
                <c:ptCount val="72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</c:numCache>
            </c:numRef>
          </c:xVal>
          <c:yVal>
            <c:numRef>
              <c:f>Tamponi!$J$2:$J$73</c:f>
              <c:numCache>
                <c:formatCode>0.0</c:formatCode>
                <c:ptCount val="72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Tamponi!$A$4:$A$71</c:f>
              <c:numCache>
                <c:formatCode>d/m;@</c:formatCode>
                <c:ptCount val="6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</c:numCache>
            </c:numRef>
          </c:xVal>
          <c:yVal>
            <c:numRef>
              <c:f>Tamponi!$K$4:$K$71</c:f>
              <c:numCache>
                <c:formatCode>0.00</c:formatCode>
                <c:ptCount val="68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4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(2)'!$B$3:$B$74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'Analisi-nuovi-pos (2)'!$C$3:$C$74</c:f>
              <c:numCache>
                <c:formatCode>0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Casi_totali!$B$3:$B$77</c:f>
              <c:numCache>
                <c:formatCode>General</c:formatCode>
                <c:ptCount val="75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Bilog!$B$10:$B$69</c:f>
              <c:numCache>
                <c:formatCode>General</c:formatCode>
                <c:ptCount val="60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Bilog!$B$7:$B$70</c:f>
              <c:numCache>
                <c:formatCode>General</c:formatCode>
                <c:ptCount val="64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</c:numCache>
            </c:numRef>
          </c:xVal>
          <c:yVal>
            <c:numRef>
              <c:f>Bilog!$E$7:$E$70</c:f>
              <c:numCache>
                <c:formatCode>0</c:formatCode>
                <c:ptCount val="64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R0!$AB$15:$AB$68</c:f>
              <c:numCache>
                <c:formatCode>0</c:formatCode>
                <c:ptCount val="54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</c:numCache>
            </c:numRef>
          </c:xVal>
          <c:yVal>
            <c:numRef>
              <c:f>R0!$Y$4:$Y$57</c:f>
              <c:numCache>
                <c:formatCode>General</c:formatCode>
                <c:ptCount val="54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R0!$AB$16:$AB$68</c:f>
              <c:numCache>
                <c:formatCode>0</c:formatCode>
                <c:ptCount val="53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R0!$Y$4:$Y$56</c:f>
              <c:numCache>
                <c:formatCode>General</c:formatCode>
                <c:ptCount val="53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R0!$AL$16:$AL$70</c:f>
              <c:numCache>
                <c:formatCode>0</c:formatCode>
                <c:ptCount val="55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R0!$AB$14:$AB$68</c:f>
              <c:numCache>
                <c:formatCode>0</c:formatCode>
                <c:ptCount val="55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</c:numCache>
            </c:numRef>
          </c:xVal>
          <c:yVal>
            <c:numRef>
              <c:f>R0!$Y$4:$Y$58</c:f>
              <c:numCache>
                <c:formatCode>General</c:formatCode>
                <c:ptCount val="55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xVal>
          <c:yVal>
            <c:numRef>
              <c:f>R0!$AL$16:$AL$69</c:f>
              <c:numCache>
                <c:formatCode>0</c:formatCode>
                <c:ptCount val="5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Terapia_inten!$B$3:$B$75</c:f>
              <c:numCache>
                <c:formatCode>General</c:formatCode>
                <c:ptCount val="7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Terapia_inten!$C$3:$C$75</c:f>
              <c:numCache>
                <c:formatCode>General</c:formatCode>
                <c:ptCount val="7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Guariti!$B$3:$B$78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Guariti!$C$3:$C$76</c:f>
              <c:numCache>
                <c:formatCode>General</c:formatCode>
                <c:ptCount val="7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27</c:v>
                </c:pt>
                <c:pt idx="1">
                  <c:v>16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cat>
          <c:val>
            <c:numRef>
              <c:f>Deceduti!$C$3:$C$72</c:f>
              <c:numCache>
                <c:formatCode>General</c:formatCode>
                <c:ptCount val="7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Deceduti!$B$3:$B$75</c:f>
              <c:numCache>
                <c:formatCode>General</c:formatCode>
                <c:ptCount val="7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Deceduti!$C$3:$C$74</c:f>
              <c:numCache>
                <c:formatCode>General</c:formatCode>
                <c:ptCount val="72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1" topLeftCell="A47" activePane="bottomLeft" state="frozen"/>
      <selection pane="bottomLeft" activeCell="C70" sqref="C7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</row>
    <row r="72" spans="1:14">
      <c r="A72" s="2">
        <v>43954</v>
      </c>
      <c r="B72" s="3" t="s">
        <v>12</v>
      </c>
    </row>
    <row r="73" spans="1:14">
      <c r="A73" s="2">
        <v>43955</v>
      </c>
      <c r="B73" s="3" t="s">
        <v>12</v>
      </c>
    </row>
    <row r="74" spans="1:14">
      <c r="A74" s="2">
        <v>43956</v>
      </c>
      <c r="B74" s="3" t="s">
        <v>12</v>
      </c>
    </row>
    <row r="75" spans="1:14">
      <c r="A75" s="2">
        <v>43957</v>
      </c>
      <c r="B7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0"/>
  <sheetViews>
    <sheetView workbookViewId="0">
      <pane ySplit="1" topLeftCell="A68" activePane="bottomLeft" state="frozen"/>
      <selection pane="bottomLeft" activeCell="A70" sqref="A70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62" activePane="bottomLeft" state="frozen"/>
      <selection pane="bottomLeft" activeCell="C70" sqref="C7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/>
      <c r="E71" s="11">
        <f t="shared" ref="E70:E117" si="91">E70+G71</f>
        <v>212079.4941445388</v>
      </c>
      <c r="F71" s="11">
        <f t="shared" ref="F70:F117" si="92">(E71-E70)*10</f>
        <v>11646.284634491894</v>
      </c>
      <c r="G71" s="11">
        <f t="shared" ref="G70:G99" si="93">$L$4*B71^$L$5*EXP(-B71/$L$6)</f>
        <v>1164.6284634491976</v>
      </c>
      <c r="I71" s="11"/>
    </row>
    <row r="72" spans="1:9">
      <c r="A72" s="2">
        <v>43954</v>
      </c>
      <c r="B72" s="10">
        <v>70</v>
      </c>
      <c r="C72" s="10"/>
      <c r="E72" s="11">
        <f t="shared" si="91"/>
        <v>213159.84622062842</v>
      </c>
      <c r="F72" s="11">
        <f t="shared" si="92"/>
        <v>10803.520760896208</v>
      </c>
      <c r="G72" s="11">
        <f t="shared" si="93"/>
        <v>1080.3520760896256</v>
      </c>
      <c r="I72" s="11"/>
    </row>
    <row r="73" spans="1:9">
      <c r="A73" s="2">
        <v>43955</v>
      </c>
      <c r="B73" s="10">
        <v>71</v>
      </c>
      <c r="C73" s="10"/>
      <c r="E73" s="11">
        <f t="shared" si="91"/>
        <v>214160.99821949046</v>
      </c>
      <c r="F73" s="11">
        <f t="shared" si="92"/>
        <v>10011.519988620421</v>
      </c>
      <c r="G73" s="11">
        <f t="shared" si="93"/>
        <v>1001.1519988620305</v>
      </c>
      <c r="I73" s="11"/>
    </row>
    <row r="74" spans="1:9">
      <c r="A74" s="2">
        <v>43956</v>
      </c>
      <c r="B74" s="10">
        <v>72</v>
      </c>
      <c r="C74" s="10"/>
      <c r="E74" s="11">
        <f t="shared" si="91"/>
        <v>215087.83641239742</v>
      </c>
      <c r="F74" s="11">
        <f t="shared" si="92"/>
        <v>9268.3819290695828</v>
      </c>
      <c r="G74" s="11">
        <f t="shared" si="93"/>
        <v>926.83819290695089</v>
      </c>
      <c r="I74" s="11"/>
    </row>
    <row r="75" spans="1:9">
      <c r="A75" s="2">
        <v>43957</v>
      </c>
      <c r="B75" s="10">
        <v>73</v>
      </c>
      <c r="C75" s="10"/>
      <c r="E75" s="11">
        <f t="shared" si="91"/>
        <v>215945.04972025621</v>
      </c>
      <c r="F75" s="11">
        <f t="shared" si="92"/>
        <v>8572.13307858794</v>
      </c>
      <c r="G75" s="11">
        <f t="shared" si="93"/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91"/>
        <v>216737.12483172337</v>
      </c>
      <c r="F76" s="11">
        <f t="shared" si="92"/>
        <v>7920.7511146715842</v>
      </c>
      <c r="G76" s="11">
        <f t="shared" si="93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91"/>
        <v>217468.34346514504</v>
      </c>
      <c r="F77" s="11">
        <f t="shared" si="92"/>
        <v>7312.1863342166762</v>
      </c>
      <c r="G77" s="11">
        <f t="shared" si="93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91"/>
        <v>218142.78150689171</v>
      </c>
      <c r="F78" s="11">
        <f t="shared" si="92"/>
        <v>6744.3804174667457</v>
      </c>
      <c r="G78" s="11">
        <f t="shared" si="93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91"/>
        <v>218764.30977754187</v>
      </c>
      <c r="F79" s="11">
        <f t="shared" si="92"/>
        <v>6215.2827065016027</v>
      </c>
      <c r="G79" s="11">
        <f t="shared" si="93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91"/>
        <v>219336.59619640771</v>
      </c>
      <c r="F80" s="11">
        <f t="shared" si="92"/>
        <v>5722.8641886584228</v>
      </c>
      <c r="G80" s="11">
        <f t="shared" si="93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91"/>
        <v>219863.10913378882</v>
      </c>
      <c r="F81" s="11">
        <f t="shared" si="92"/>
        <v>5265.1293738110689</v>
      </c>
      <c r="G81" s="11">
        <f t="shared" si="93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91"/>
        <v>220347.1217588438</v>
      </c>
      <c r="F82" s="11">
        <f t="shared" si="92"/>
        <v>4840.1262505498016</v>
      </c>
      <c r="G82" s="11">
        <f t="shared" si="93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91"/>
        <v>220791.71720889027</v>
      </c>
      <c r="F83" s="11">
        <f t="shared" si="92"/>
        <v>4445.9545004647225</v>
      </c>
      <c r="G83" s="11">
        <f t="shared" si="93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91"/>
        <v>221199.79442313313</v>
      </c>
      <c r="F84" s="11">
        <f t="shared" si="92"/>
        <v>4080.7721424286137</v>
      </c>
      <c r="G84" s="11">
        <f t="shared" si="93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91"/>
        <v>221574.07450016687</v>
      </c>
      <c r="F85" s="11">
        <f t="shared" si="92"/>
        <v>3742.8007703373441</v>
      </c>
      <c r="G85" s="11">
        <f t="shared" si="93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91"/>
        <v>221917.10745402196</v>
      </c>
      <c r="F86" s="11">
        <f t="shared" si="92"/>
        <v>3430.3295385508682</v>
      </c>
      <c r="G86" s="11">
        <f t="shared" si="93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91"/>
        <v>222231.27925797825</v>
      </c>
      <c r="F87" s="11">
        <f t="shared" si="92"/>
        <v>3141.7180395629839</v>
      </c>
      <c r="G87" s="11">
        <f t="shared" si="93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91"/>
        <v>222518.81907882018</v>
      </c>
      <c r="F88" s="11">
        <f t="shared" si="92"/>
        <v>2875.3982084192103</v>
      </c>
      <c r="G88" s="11">
        <f t="shared" si="93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91"/>
        <v>222781.80661665546</v>
      </c>
      <c r="F89" s="11">
        <f t="shared" si="92"/>
        <v>2629.8753783528809</v>
      </c>
      <c r="G89" s="11">
        <f t="shared" si="93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91"/>
        <v>223022.17947686554</v>
      </c>
      <c r="F90" s="11">
        <f t="shared" si="92"/>
        <v>2403.7286021007458</v>
      </c>
      <c r="G90" s="11">
        <f t="shared" si="93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91"/>
        <v>223241.74051122516</v>
      </c>
      <c r="F91" s="11">
        <f t="shared" si="92"/>
        <v>2195.6103435961995</v>
      </c>
      <c r="G91" s="11">
        <f t="shared" si="93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91"/>
        <v>223442.165074752</v>
      </c>
      <c r="F92" s="11">
        <f t="shared" si="92"/>
        <v>2004.245635268453</v>
      </c>
      <c r="G92" s="11">
        <f t="shared" si="93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91"/>
        <v>223625.00815346136</v>
      </c>
      <c r="F93" s="11">
        <f t="shared" si="92"/>
        <v>1828.4307870935299</v>
      </c>
      <c r="G93" s="11">
        <f t="shared" si="93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91"/>
        <v>223791.71132595371</v>
      </c>
      <c r="F94" s="11">
        <f t="shared" si="92"/>
        <v>1667.0317249235814</v>
      </c>
      <c r="G94" s="11">
        <f t="shared" si="93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91"/>
        <v>223943.60952870079</v>
      </c>
      <c r="F95" s="11">
        <f t="shared" si="92"/>
        <v>1518.9820274707745</v>
      </c>
      <c r="G95" s="11">
        <f t="shared" si="93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91"/>
        <v>224081.93760106948</v>
      </c>
      <c r="F96" s="11">
        <f t="shared" si="92"/>
        <v>1383.2807236869121</v>
      </c>
      <c r="G96" s="11">
        <f t="shared" si="93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91"/>
        <v>224207.83659158752</v>
      </c>
      <c r="F97" s="11">
        <f t="shared" si="92"/>
        <v>1258.9899051803513</v>
      </c>
      <c r="G97" s="11">
        <f t="shared" si="93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91"/>
        <v>224322.35981175999</v>
      </c>
      <c r="F98" s="11">
        <f t="shared" si="92"/>
        <v>1145.2322017247207</v>
      </c>
      <c r="G98" s="11">
        <f t="shared" si="93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91"/>
        <v>224426.47862794541</v>
      </c>
      <c r="F99" s="11">
        <f t="shared" si="92"/>
        <v>1041.1881618542247</v>
      </c>
      <c r="G99" s="11">
        <f t="shared" si="93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91"/>
        <v>224521.08798544525</v>
      </c>
      <c r="F100" s="11">
        <f t="shared" si="92"/>
        <v>946.09357499837643</v>
      </c>
      <c r="G100" s="11">
        <f t="shared" ref="G100:G117" si="94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91"/>
        <v>224607.01166209957</v>
      </c>
      <c r="F101" s="11">
        <f t="shared" si="92"/>
        <v>859.23676654318115</v>
      </c>
      <c r="G101" s="11">
        <f t="shared" si="94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91"/>
        <v>224685.00725136281</v>
      </c>
      <c r="F102" s="11">
        <f t="shared" si="92"/>
        <v>779.95589263242437</v>
      </c>
      <c r="G102" s="11">
        <f t="shared" si="94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91"/>
        <v>224755.77087710105</v>
      </c>
      <c r="F103" s="11">
        <f t="shared" si="92"/>
        <v>707.6362573824008</v>
      </c>
      <c r="G103" s="11">
        <f t="shared" si="94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91"/>
        <v>224819.94164424794</v>
      </c>
      <c r="F104" s="11">
        <f t="shared" si="92"/>
        <v>641.70767146890284</v>
      </c>
      <c r="G104" s="11">
        <f t="shared" si="94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91"/>
        <v>224878.10583102168</v>
      </c>
      <c r="F105" s="11">
        <f t="shared" si="92"/>
        <v>581.641867737344</v>
      </c>
      <c r="G105" s="11">
        <f t="shared" si="94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91"/>
        <v>224930.80082967514</v>
      </c>
      <c r="F106" s="11">
        <f t="shared" si="92"/>
        <v>526.94998653460061</v>
      </c>
      <c r="G106" s="11">
        <f t="shared" si="94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91"/>
        <v>224978.51884376057</v>
      </c>
      <c r="F107" s="11">
        <f t="shared" si="92"/>
        <v>477.18014085432515</v>
      </c>
      <c r="G107" s="11">
        <f t="shared" si="94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91"/>
        <v>225021.71035067103</v>
      </c>
      <c r="F108" s="11">
        <f t="shared" si="92"/>
        <v>431.91506910457974</v>
      </c>
      <c r="G108" s="11">
        <f t="shared" si="94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91"/>
        <v>225060.78733880052</v>
      </c>
      <c r="F109" s="11">
        <f t="shared" si="92"/>
        <v>390.76988129498204</v>
      </c>
      <c r="G109" s="11">
        <f t="shared" si="94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91"/>
        <v>225096.12632907118</v>
      </c>
      <c r="F110" s="11">
        <f t="shared" si="92"/>
        <v>353.38990270654904</v>
      </c>
      <c r="G110" s="11">
        <f t="shared" si="94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91"/>
        <v>225128.07119083172</v>
      </c>
      <c r="F111" s="11">
        <f t="shared" si="92"/>
        <v>319.44861760537606</v>
      </c>
      <c r="G111" s="11">
        <f t="shared" si="94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91"/>
        <v>225156.93576225889</v>
      </c>
      <c r="F112" s="11">
        <f t="shared" si="92"/>
        <v>288.64571427169722</v>
      </c>
      <c r="G112" s="11">
        <f t="shared" si="94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91"/>
        <v>225183.00628541177</v>
      </c>
      <c r="F113" s="11">
        <f t="shared" si="92"/>
        <v>260.70523152884562</v>
      </c>
      <c r="G113" s="11">
        <f t="shared" si="94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91"/>
        <v>225206.54366601535</v>
      </c>
      <c r="F114" s="11">
        <f t="shared" si="92"/>
        <v>235.3738060357864</v>
      </c>
      <c r="G114" s="11">
        <f t="shared" si="94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91"/>
        <v>225227.78556789926</v>
      </c>
      <c r="F115" s="11">
        <f t="shared" si="92"/>
        <v>212.4190188391367</v>
      </c>
      <c r="G115" s="11">
        <f t="shared" si="94"/>
        <v>21.241901883919912</v>
      </c>
      <c r="I115" s="11"/>
    </row>
    <row r="116" spans="1:9">
      <c r="B116" s="10">
        <v>114</v>
      </c>
      <c r="C116" s="10"/>
      <c r="E116" s="11">
        <f t="shared" si="91"/>
        <v>225246.94835180542</v>
      </c>
      <c r="F116" s="11">
        <f t="shared" si="92"/>
        <v>191.627839061548</v>
      </c>
      <c r="G116" s="11">
        <f t="shared" si="94"/>
        <v>19.162783906151294</v>
      </c>
      <c r="I116" s="11"/>
    </row>
    <row r="117" spans="1:9">
      <c r="B117" s="10">
        <v>115</v>
      </c>
      <c r="C117" s="10"/>
      <c r="E117" s="11">
        <f t="shared" si="91"/>
        <v>225264.22886801412</v>
      </c>
      <c r="F117" s="11">
        <f t="shared" si="92"/>
        <v>172.80516208702466</v>
      </c>
      <c r="G117" s="11">
        <f t="shared" si="94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71" activePane="bottomLeft" state="frozen"/>
      <selection pane="bottomLeft" activeCell="C74" sqref="C7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F75" s="11">
        <f t="shared" ref="F74:F96" si="111">F74+H75</f>
        <v>27427.360641066847</v>
      </c>
      <c r="H75" s="11">
        <f t="shared" ref="H74:H96" si="112">$M$10*B75^$M$8*EXP(-B75/$M$9)</f>
        <v>202.06845905982118</v>
      </c>
    </row>
    <row r="76" spans="1:11">
      <c r="A76" s="2">
        <v>43954</v>
      </c>
      <c r="B76" s="10">
        <v>73</v>
      </c>
      <c r="F76" s="11">
        <f t="shared" si="111"/>
        <v>27615.215244144198</v>
      </c>
      <c r="H76" s="11">
        <f t="shared" si="112"/>
        <v>187.85460307735039</v>
      </c>
    </row>
    <row r="77" spans="1:11">
      <c r="A77" s="2">
        <v>43955</v>
      </c>
      <c r="B77" s="10">
        <v>74</v>
      </c>
      <c r="F77" s="11">
        <f t="shared" si="111"/>
        <v>27789.626546191383</v>
      </c>
      <c r="H77" s="11">
        <f t="shared" si="112"/>
        <v>174.41130204718633</v>
      </c>
    </row>
    <row r="78" spans="1:11">
      <c r="A78" s="2">
        <v>43956</v>
      </c>
      <c r="B78" s="10">
        <v>75</v>
      </c>
      <c r="F78" s="11">
        <f t="shared" si="111"/>
        <v>27951.349697630656</v>
      </c>
      <c r="H78" s="11">
        <f t="shared" si="112"/>
        <v>161.72315143927253</v>
      </c>
    </row>
    <row r="79" spans="1:11">
      <c r="A79" s="2">
        <v>43957</v>
      </c>
      <c r="B79" s="10">
        <v>76</v>
      </c>
      <c r="F79" s="11">
        <f t="shared" si="111"/>
        <v>28101.121226702533</v>
      </c>
      <c r="H79" s="11">
        <f t="shared" si="112"/>
        <v>149.77152907187613</v>
      </c>
    </row>
    <row r="80" spans="1:11">
      <c r="A80" s="2">
        <v>43958</v>
      </c>
      <c r="B80" s="10">
        <v>77</v>
      </c>
      <c r="F80" s="11">
        <f t="shared" si="111"/>
        <v>28239.656370458095</v>
      </c>
      <c r="H80" s="11">
        <f t="shared" si="112"/>
        <v>138.53514375556026</v>
      </c>
    </row>
    <row r="81" spans="1:8">
      <c r="A81" s="2">
        <v>43959</v>
      </c>
      <c r="B81" s="10">
        <v>78</v>
      </c>
      <c r="F81" s="11">
        <f t="shared" si="111"/>
        <v>28367.646909492556</v>
      </c>
      <c r="H81" s="11">
        <f t="shared" si="112"/>
        <v>127.99053903446034</v>
      </c>
    </row>
    <row r="82" spans="1:8">
      <c r="A82" s="2">
        <v>43960</v>
      </c>
      <c r="B82" s="10">
        <v>79</v>
      </c>
      <c r="F82" s="11">
        <f t="shared" si="111"/>
        <v>28485.759461734211</v>
      </c>
      <c r="H82" s="11">
        <f t="shared" si="112"/>
        <v>118.11255224165615</v>
      </c>
    </row>
    <row r="83" spans="1:8">
      <c r="A83" s="2">
        <v>43961</v>
      </c>
      <c r="B83" s="10">
        <v>80</v>
      </c>
      <c r="F83" s="11">
        <f t="shared" si="111"/>
        <v>28594.634191426718</v>
      </c>
      <c r="H83" s="11">
        <f t="shared" si="112"/>
        <v>108.87472969250618</v>
      </c>
    </row>
    <row r="84" spans="1:8">
      <c r="A84" s="2">
        <v>43962</v>
      </c>
      <c r="B84" s="10">
        <v>81</v>
      </c>
      <c r="F84" s="11">
        <f t="shared" si="111"/>
        <v>28694.883890759036</v>
      </c>
      <c r="H84" s="11">
        <f t="shared" si="112"/>
        <v>100.24969933231937</v>
      </c>
    </row>
    <row r="85" spans="1:8">
      <c r="A85" s="2">
        <v>43963</v>
      </c>
      <c r="B85" s="10">
        <v>82</v>
      </c>
      <c r="F85" s="11">
        <f t="shared" si="111"/>
        <v>28787.093393303217</v>
      </c>
      <c r="H85" s="11">
        <f t="shared" si="112"/>
        <v>92.209502544182257</v>
      </c>
    </row>
    <row r="86" spans="1:8">
      <c r="A86" s="2">
        <v>43964</v>
      </c>
      <c r="B86" s="10">
        <v>83</v>
      </c>
      <c r="F86" s="11">
        <f t="shared" si="111"/>
        <v>28871.819280423675</v>
      </c>
      <c r="H86" s="11">
        <f t="shared" si="112"/>
        <v>84.725887120456335</v>
      </c>
    </row>
    <row r="87" spans="1:8">
      <c r="A87" s="2">
        <v>43965</v>
      </c>
      <c r="B87" s="10">
        <v>84</v>
      </c>
      <c r="F87" s="11">
        <f t="shared" si="111"/>
        <v>28949.589844042126</v>
      </c>
      <c r="H87" s="11">
        <f t="shared" si="112"/>
        <v>77.770563618451149</v>
      </c>
    </row>
    <row r="88" spans="1:8">
      <c r="A88" s="2">
        <v>43966</v>
      </c>
      <c r="B88" s="10">
        <v>85</v>
      </c>
      <c r="F88" s="11">
        <f t="shared" si="111"/>
        <v>29020.905271509666</v>
      </c>
      <c r="H88" s="11">
        <f t="shared" si="112"/>
        <v>71.315427467539166</v>
      </c>
    </row>
    <row r="89" spans="1:8">
      <c r="A89" s="2">
        <v>43967</v>
      </c>
      <c r="B89" s="10">
        <v>86</v>
      </c>
      <c r="F89" s="11">
        <f t="shared" si="111"/>
        <v>29086.238020791076</v>
      </c>
      <c r="H89" s="11">
        <f t="shared" si="112"/>
        <v>65.332749281407828</v>
      </c>
    </row>
    <row r="90" spans="1:8">
      <c r="A90" s="2">
        <v>43968</v>
      </c>
      <c r="B90" s="10">
        <v>87</v>
      </c>
      <c r="F90" s="11">
        <f t="shared" si="111"/>
        <v>29146.033356655462</v>
      </c>
      <c r="H90" s="11">
        <f t="shared" si="112"/>
        <v>59.79533586438717</v>
      </c>
    </row>
    <row r="91" spans="1:8">
      <c r="A91" s="2">
        <v>43969</v>
      </c>
      <c r="B91" s="10">
        <v>88</v>
      </c>
      <c r="F91" s="11">
        <f t="shared" si="111"/>
        <v>29200.710021048744</v>
      </c>
      <c r="H91" s="11">
        <f t="shared" si="112"/>
        <v>54.676664393282486</v>
      </c>
    </row>
    <row r="92" spans="1:8">
      <c r="A92" s="2">
        <v>43970</v>
      </c>
      <c r="B92" s="10">
        <v>89</v>
      </c>
      <c r="F92" s="11">
        <f t="shared" si="111"/>
        <v>29250.661013262245</v>
      </c>
      <c r="H92" s="11">
        <f t="shared" si="112"/>
        <v>49.950992213499575</v>
      </c>
    </row>
    <row r="93" spans="1:8">
      <c r="A93" s="2">
        <v>43971</v>
      </c>
      <c r="B93" s="10">
        <v>90</v>
      </c>
      <c r="F93" s="11">
        <f t="shared" si="111"/>
        <v>29296.25445787959</v>
      </c>
      <c r="H93" s="11">
        <f t="shared" si="112"/>
        <v>45.59344461734463</v>
      </c>
    </row>
    <row r="94" spans="1:8">
      <c r="A94" s="2">
        <v>43972</v>
      </c>
      <c r="B94" s="10">
        <v>91</v>
      </c>
      <c r="F94" s="11">
        <f t="shared" si="111"/>
        <v>29337.834540758886</v>
      </c>
      <c r="H94" s="11">
        <f t="shared" si="112"/>
        <v>41.580082879294729</v>
      </c>
    </row>
    <row r="95" spans="1:8">
      <c r="A95" s="2">
        <v>43973</v>
      </c>
      <c r="B95" s="10">
        <v>92</v>
      </c>
      <c r="F95" s="11">
        <f t="shared" si="111"/>
        <v>29375.72249547203</v>
      </c>
      <c r="H95" s="11">
        <f t="shared" si="112"/>
        <v>37.887954713143806</v>
      </c>
    </row>
    <row r="96" spans="1:8">
      <c r="A96" s="2">
        <v>43974</v>
      </c>
      <c r="B96" s="10">
        <v>93</v>
      </c>
      <c r="F96" s="11">
        <f t="shared" si="111"/>
        <v>29410.217624665918</v>
      </c>
      <c r="H96" s="11">
        <f t="shared" si="112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0"/>
  <sheetViews>
    <sheetView workbookViewId="0">
      <pane ySplit="1" topLeftCell="A59" activePane="bottomLeft" state="frozen"/>
      <selection pane="bottomLeft" activeCell="B70" sqref="B70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65" activePane="bottomLeft" state="frozen"/>
      <selection pane="bottomLeft" activeCell="C70" sqref="C7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 t="shared" ref="L5:L64" si="9">-K5</f>
        <v>-16.206930820413497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10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1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si="9"/>
        <v>-15.370329253763495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10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1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9"/>
        <v>-14.576913049541258</v>
      </c>
      <c r="M7" s="21"/>
      <c r="N7" s="12" t="s">
        <v>30</v>
      </c>
      <c r="O7" s="19">
        <f>AVERAGE(I22:I57)</f>
        <v>3.695484754746365E-2</v>
      </c>
      <c r="P7" s="19">
        <f>AVERAGE(L22:L57)</f>
        <v>-3.0166749423819312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10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1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9"/>
        <v>-13.824452979877314</v>
      </c>
      <c r="M8" s="21"/>
      <c r="N8" s="12" t="s">
        <v>31</v>
      </c>
      <c r="O8" s="19">
        <f>STDEVP(I22:I57)</f>
        <v>0.10735906035382746</v>
      </c>
      <c r="P8" s="19">
        <f>STDEVP(L22:L57)</f>
        <v>1.6136434375060933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10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1"/>
        <v>0.05</v>
      </c>
      <c r="AG8">
        <f>'Nuovi positivi'!C8*$AJ$5</f>
        <v>12</v>
      </c>
      <c r="AI8">
        <f>SUM(AG4:AG94)</f>
        <v>10168.099999999997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9"/>
        <v>-13.11083488961699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10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1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9"/>
        <v>-12.434053756268312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10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1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9"/>
        <v>-11.792208056575308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10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1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9"/>
        <v>-11.183494423888748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10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1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9"/>
        <v>-10.606202581323323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10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1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9"/>
        <v>-10.058710536465197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10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1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9"/>
        <v>-9.5394800241286895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10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1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9"/>
        <v>-9.0470521843577991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10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1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9"/>
        <v>-8.580043463529254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10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1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9"/>
        <v>-8.1371417270405342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10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1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9"/>
        <v>-7.7171025726609308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10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1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9"/>
        <v>-7.3187458341873493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10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1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9"/>
        <v>-6.940952265581366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10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1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9"/>
        <v>-6.5826603962710903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10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1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9"/>
        <v>-6.2428635487823074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10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1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9"/>
        <v>-5.9206070103194497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10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1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9"/>
        <v>-5.6149853503495422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10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1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9"/>
        <v>-5.3251398766524201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10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1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9"/>
        <v>-5.0502562226896055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10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1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9"/>
        <v>-4.7895620595131723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10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1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9"/>
        <v>-4.5423249257858433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10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1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9"/>
        <v>-4.307850169815433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10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1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9"/>
        <v>-4.085478997821431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10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1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9"/>
        <v>-3.8745866229500558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10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1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9"/>
        <v>-3.6745805098371189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10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1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9"/>
        <v>-3.4848987097865369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10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1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9"/>
        <v>-3.3050082818869009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10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1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9"/>
        <v>-3.1344037956299973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10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1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9"/>
        <v>-2.9726059108241403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10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9"/>
        <v>-2.8191600308123514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10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9"/>
        <v>-2.6736350252114138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10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9"/>
        <v>-2.5356220185831106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10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9"/>
        <v>-2.4047332416342408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10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9"/>
        <v>-2.2806009417176778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10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9"/>
        <v>-2.1628763495733523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10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9"/>
        <v>-2.0512286994060434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10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9"/>
        <v>-1.945344299546752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10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9"/>
        <v>-1.8449256510865164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10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9"/>
        <v>-1.7496906120063427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10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9"/>
        <v>-1.6593716044547353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10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9"/>
        <v>-1.5737148629455524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10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9"/>
        <v>-1.4924797213638812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10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9"/>
        <v>-1.4154379367766547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10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9"/>
        <v>-1.3423730481481624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10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9"/>
        <v>-1.273079768158655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10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9"/>
        <v>-1.2073634064172665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10"/>
        <v>58830.550000000017</v>
      </c>
      <c r="AC54" s="11">
        <f t="shared" si="7"/>
        <v>75277.550000000017</v>
      </c>
      <c r="AD54">
        <f t="shared" si="18"/>
        <v>38091</v>
      </c>
      <c r="AE54" s="5">
        <v>14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9"/>
        <v>-1.1450393224486772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10"/>
        <v>61563.900000000016</v>
      </c>
      <c r="AC55" s="11">
        <f t="shared" si="7"/>
        <v>79557.900000000023</v>
      </c>
      <c r="AD55">
        <f t="shared" si="18"/>
        <v>40163</v>
      </c>
      <c r="AE55" s="5">
        <v>13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9"/>
        <v>-1.0859324069165985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10"/>
        <v>63774.000000000015</v>
      </c>
      <c r="AC56" s="11">
        <f t="shared" si="7"/>
        <v>83756.000000000015</v>
      </c>
      <c r="AD56">
        <f t="shared" si="18"/>
        <v>42726</v>
      </c>
      <c r="AE56" s="5">
        <v>12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9"/>
        <v>-1.0298765896264959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10"/>
        <v>66480.550000000017</v>
      </c>
      <c r="AC57" s="11">
        <f t="shared" si="7"/>
        <v>88180.550000000017</v>
      </c>
      <c r="AD57">
        <f t="shared" si="18"/>
        <v>44926</v>
      </c>
      <c r="AE57" s="5">
        <v>11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9"/>
        <v>-0.9767143729252028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10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10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9"/>
        <v>-0.92629638918644397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9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9"/>
        <v>-0.87848098113894746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8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9"/>
        <v>-0.83313380385801661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7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9"/>
        <v>-0.79012744730229045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6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9"/>
        <v>-0.7493410783351524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5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9"/>
        <v>-0.71066010122499057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ref="L65" si="81">-K65</f>
        <v>-0.67397583567042785</v>
      </c>
      <c r="M65" s="21"/>
      <c r="Y65">
        <f>Quarantena!B65</f>
        <v>82722</v>
      </c>
      <c r="Z65" s="25">
        <f t="shared" ref="Z65" si="82">(E65+F65-E64-F64)/(D65)</f>
        <v>1.9490495084964608E-2</v>
      </c>
      <c r="AA65" s="11">
        <f t="shared" ref="AA65" si="83">$AJ$5*(D65)-(F65-F64+E65-E64)</f>
        <v>3237.1500000000005</v>
      </c>
      <c r="AB65" s="11">
        <f t="shared" ref="AB65" si="84">AB64+AA65</f>
        <v>85923.900000000023</v>
      </c>
      <c r="AC65" s="11">
        <f t="shared" ref="AC65" si="85">AB65-E65+F65</f>
        <v>124207.90000000002</v>
      </c>
      <c r="AD65" s="11">
        <f t="shared" ref="AD65" si="86">F65-F64+AD64</f>
        <v>64927</v>
      </c>
      <c r="AE65" s="11"/>
      <c r="AF65" s="5">
        <f t="shared" ref="AF65" si="87">(E65-E64+F65-F64+AA65)/D65</f>
        <v>0.05</v>
      </c>
      <c r="AG65">
        <f>'Nuovi positivi'!C65*$AJ$5</f>
        <v>116.2</v>
      </c>
      <c r="AL65" s="11">
        <f t="shared" ref="AL65" si="88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9">C66/(E66+F66)</f>
        <v>2.130468691573808</v>
      </c>
      <c r="H66" s="21">
        <f t="shared" ref="H66" si="90">$O$3*EXP($O$4*B66)</f>
        <v>1.9059586169237006</v>
      </c>
      <c r="I66" s="21">
        <f t="shared" ref="I66" si="91">G66-H66</f>
        <v>0.22451007465010742</v>
      </c>
      <c r="J66" s="31">
        <f t="shared" ref="J66" si="92">(C66-C65)/(E66-E65+F66-F65)</f>
        <v>0.85707244948250372</v>
      </c>
      <c r="K66" s="21">
        <f t="shared" ref="K66" si="93">$P$3*EXP($P$4*B66)</f>
        <v>0.6391852114458878</v>
      </c>
      <c r="L66" s="21">
        <f t="shared" ref="L66" si="94">-K66</f>
        <v>-0.6391852114458878</v>
      </c>
      <c r="M66" s="21"/>
      <c r="Y66">
        <f>Quarantena!B66</f>
        <v>83504</v>
      </c>
      <c r="Z66" s="25">
        <f t="shared" ref="Z66" si="95">(E66+F66-E65-F65)/(D66)</f>
        <v>1.9175337623921446E-2</v>
      </c>
      <c r="AA66" s="11">
        <f t="shared" ref="AA66" si="96">$AJ$5*(D66)-(F66-F65+E66-E65)</f>
        <v>3261.6500000000005</v>
      </c>
      <c r="AB66" s="11">
        <f t="shared" ref="AB66" si="97">AB65+AA66</f>
        <v>89185.550000000017</v>
      </c>
      <c r="AC66" s="11">
        <f t="shared" ref="AC66" si="98">AB66-E66+F66</f>
        <v>128832.55000000002</v>
      </c>
      <c r="AD66" s="11">
        <f t="shared" ref="AD66" si="99">F66-F65+AD65</f>
        <v>66623</v>
      </c>
      <c r="AE66" s="11"/>
      <c r="AF66" s="5">
        <f t="shared" ref="AF66" si="100">(E66-E65+F66-F65+AA66)/D66</f>
        <v>0.05</v>
      </c>
      <c r="AG66">
        <f>'Nuovi positivi'!C66*$AJ$5</f>
        <v>86.95</v>
      </c>
      <c r="AL66" s="11">
        <f t="shared" ref="AL66" si="101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2">C67/(E67+F67)</f>
        <v>2.0924714434060228</v>
      </c>
      <c r="H67" s="21">
        <f t="shared" ref="H67" si="103">$O$3*EXP($O$4*B67)</f>
        <v>1.8572280733324242</v>
      </c>
      <c r="I67" s="21">
        <f t="shared" ref="I67" si="104">G67-H67</f>
        <v>0.23524337007359852</v>
      </c>
      <c r="J67" s="31">
        <f t="shared" ref="J67" si="105">(C67-C66)/(E67-E66+F67-F66)</f>
        <v>0.77473138199333091</v>
      </c>
      <c r="K67" s="21">
        <f t="shared" ref="K67" si="106">$P$3*EXP($P$4*B67)</f>
        <v>0.60619047880955157</v>
      </c>
      <c r="L67" s="21">
        <f t="shared" ref="L67" si="107">-K67</f>
        <v>-0.60619047880955157</v>
      </c>
      <c r="M67" s="21"/>
      <c r="Y67">
        <f>Quarantena!B67</f>
        <v>83619</v>
      </c>
      <c r="Z67" s="25">
        <f t="shared" ref="Z67" si="108">(E67+F67-E66-F66)/(D67)</f>
        <v>2.5654674207499645E-2</v>
      </c>
      <c r="AA67" s="11">
        <f t="shared" ref="AA67" si="109">$AJ$5*(D67)-(F67-F66+E67-E66)</f>
        <v>2561.25</v>
      </c>
      <c r="AB67" s="11">
        <f t="shared" ref="AB67" si="110">AB66+AA67</f>
        <v>91746.800000000017</v>
      </c>
      <c r="AC67" s="11">
        <f t="shared" ref="AC67" si="111">AB67-E67+F67</f>
        <v>133328.80000000002</v>
      </c>
      <c r="AD67" s="11">
        <f t="shared" ref="AD67" si="112">F67-F66+AD66</f>
        <v>68940</v>
      </c>
      <c r="AE67" s="11"/>
      <c r="AF67" s="5">
        <f t="shared" ref="AF67" si="113">(E67-E66+F67-F66+AA67)/D67</f>
        <v>0.05</v>
      </c>
      <c r="AG67">
        <f>'Nuovi positivi'!C67*$AJ$5</f>
        <v>104.55000000000001</v>
      </c>
      <c r="AL67" s="11">
        <f t="shared" ref="AL67" si="114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5">C68/(E68+F68)</f>
        <v>2.0578466452382398</v>
      </c>
      <c r="H68" s="21">
        <f t="shared" ref="H68" si="116">$O$3*EXP($O$4*B68)</f>
        <v>1.8097434465504716</v>
      </c>
      <c r="I68" s="21">
        <f t="shared" ref="I68" si="117">G68-H68</f>
        <v>0.2481031986877682</v>
      </c>
      <c r="J68" s="31">
        <f t="shared" ref="J68" si="118">(C68-C67)/(E68-E67+F68-F67)</f>
        <v>0.79195140470766889</v>
      </c>
      <c r="K68" s="21">
        <f t="shared" ref="K68" si="119">$P$3*EXP($P$4*B68)</f>
        <v>0.57489893386005286</v>
      </c>
      <c r="L68" s="21">
        <f t="shared" ref="L68" si="120">-K68</f>
        <v>-0.57489893386005286</v>
      </c>
      <c r="M68" s="21"/>
      <c r="Y68">
        <f>Quarantena!B68</f>
        <v>83652</v>
      </c>
      <c r="Z68" s="25">
        <f t="shared" ref="Z68" si="121">(E68+F68-E67-F67)/(D68)</f>
        <v>2.5167929522153319E-2</v>
      </c>
      <c r="AA68" s="11">
        <f t="shared" ref="AA68" si="122">$AJ$5*(D68)-(F68-F67+E68-E67)</f>
        <v>2598.8500000000004</v>
      </c>
      <c r="AB68" s="11">
        <f t="shared" ref="AB68" si="123">AB67+AA68</f>
        <v>94345.650000000023</v>
      </c>
      <c r="AC68" s="11">
        <f t="shared" ref="AC68" si="124">AB68-E68+F68</f>
        <v>137915.65000000002</v>
      </c>
      <c r="AD68" s="11">
        <f t="shared" ref="AD68" si="125">F68-F67+AD67</f>
        <v>71251</v>
      </c>
      <c r="AE68" s="11"/>
      <c r="AF68" s="5">
        <f t="shared" ref="AF68" si="126">(E68-E67+F68-F67+AA68)/D68</f>
        <v>0.05</v>
      </c>
      <c r="AG68">
        <f>'Nuovi positivi'!C68*$AJ$5</f>
        <v>104.30000000000001</v>
      </c>
      <c r="AL68" s="11">
        <f t="shared" ref="AL68" si="127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8">C69/(E69+F69)</f>
        <v>1.9772788513357455</v>
      </c>
      <c r="H69" s="21">
        <f t="shared" ref="H69" si="129">$O$3*EXP($O$4*B69)</f>
        <v>1.7634728816346936</v>
      </c>
      <c r="I69" s="21">
        <f t="shared" ref="I69" si="130">G69-H69</f>
        <v>0.21380596970105192</v>
      </c>
      <c r="J69" s="31">
        <f t="shared" ref="J69" si="131">(C69-C68)/(E69-E68+F69-F68)</f>
        <v>0.37605464041783848</v>
      </c>
      <c r="K69" s="21">
        <f t="shared" ref="K69" si="132">$P$3*EXP($P$4*B69)</f>
        <v>0.54522265807025683</v>
      </c>
      <c r="L69" s="21">
        <f t="shared" ref="L69" si="133">-K69</f>
        <v>-0.54522265807025683</v>
      </c>
      <c r="M69" s="21"/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4">C70/(E70+F70)</f>
        <v>1.9479551110485045</v>
      </c>
      <c r="H70" s="21">
        <f t="shared" ref="H70" si="135">$O$3*EXP($O$4*B70)</f>
        <v>1.7183853380923078</v>
      </c>
      <c r="I70" s="21">
        <f t="shared" ref="I70" si="136">G70-H70</f>
        <v>0.22956977295619674</v>
      </c>
      <c r="J70" s="31">
        <f t="shared" ref="J70" si="137">(C70-C69)/(E70-E69+F70-F69)</f>
        <v>0.76369996113486205</v>
      </c>
      <c r="K70" s="21">
        <f t="shared" ref="K70" si="138">$P$3*EXP($P$4*B70)</f>
        <v>0.51707827126630179</v>
      </c>
      <c r="L70" s="21">
        <f t="shared" ref="L70" si="139">-K70</f>
        <v>-0.51707827126630179</v>
      </c>
      <c r="M70" s="21"/>
    </row>
    <row r="71" spans="1:38">
      <c r="A71" s="2">
        <v>43953</v>
      </c>
      <c r="B71" s="3">
        <v>69</v>
      </c>
      <c r="G71" s="30"/>
      <c r="H71" s="21">
        <f t="shared" ref="H70:H76" si="140">$O$3*EXP($O$4*B71)</f>
        <v>1.6744505690574616</v>
      </c>
      <c r="J71" s="31"/>
      <c r="K71" s="21">
        <f t="shared" si="13"/>
        <v>0.4903866973578605</v>
      </c>
      <c r="L71" s="21"/>
      <c r="M71" s="21"/>
    </row>
    <row r="72" spans="1:38">
      <c r="A72" s="2">
        <v>43954</v>
      </c>
      <c r="B72" s="3">
        <v>70</v>
      </c>
      <c r="G72" s="30"/>
      <c r="H72" s="21">
        <f t="shared" si="140"/>
        <v>1.6316391010001996</v>
      </c>
      <c r="J72" s="31"/>
      <c r="K72" s="21">
        <f t="shared" si="13"/>
        <v>0.46507294216140072</v>
      </c>
      <c r="L72" s="21"/>
      <c r="M72" s="21"/>
    </row>
    <row r="73" spans="1:38">
      <c r="A73" s="2">
        <v>43955</v>
      </c>
      <c r="B73" s="3">
        <v>71</v>
      </c>
      <c r="G73" s="30"/>
      <c r="H73" s="21">
        <f t="shared" si="140"/>
        <v>1.589922213954218</v>
      </c>
      <c r="J73" s="31"/>
      <c r="K73" s="21">
        <f t="shared" si="13"/>
        <v>0.44106588269220842</v>
      </c>
      <c r="L73" s="21"/>
      <c r="M73" s="21"/>
    </row>
    <row r="74" spans="1:38">
      <c r="A74" s="2">
        <v>43956</v>
      </c>
      <c r="B74" s="3">
        <v>72</v>
      </c>
      <c r="G74" s="30"/>
      <c r="H74" s="21">
        <f t="shared" si="140"/>
        <v>1.5492719222501479</v>
      </c>
      <c r="J74" s="31"/>
      <c r="K74" s="21">
        <f t="shared" si="13"/>
        <v>0.41829806733315256</v>
      </c>
      <c r="L74" s="21"/>
      <c r="M74" s="21"/>
    </row>
    <row r="75" spans="1:38">
      <c r="A75" s="2">
        <v>43957</v>
      </c>
      <c r="B75" s="3">
        <v>73</v>
      </c>
      <c r="G75" s="30"/>
      <c r="H75" s="21">
        <f t="shared" si="140"/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40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41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41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41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41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41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41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41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41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41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41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41"/>
        <v>1.1063707821604016</v>
      </c>
      <c r="J87" s="31"/>
      <c r="K87" s="21">
        <f t="shared" ref="K87:K94" si="142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41"/>
        <v>1.0780836781543337</v>
      </c>
      <c r="J88" s="31"/>
      <c r="K88" s="21">
        <f t="shared" si="142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41"/>
        <v>1.0505198038881975</v>
      </c>
      <c r="J89" s="31"/>
      <c r="K89" s="21">
        <f t="shared" si="142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41"/>
        <v>1.0236606682058604</v>
      </c>
      <c r="J90" s="31"/>
      <c r="K90" s="21">
        <f t="shared" si="142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41"/>
        <v>0.99748825272330655</v>
      </c>
      <c r="J91" s="31"/>
      <c r="K91" s="21">
        <f t="shared" si="142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41"/>
        <v>0.97198499974104879</v>
      </c>
      <c r="J92" s="31"/>
      <c r="K92" s="21">
        <f t="shared" si="142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41"/>
        <v>0.94713380046559037</v>
      </c>
      <c r="J93" s="31"/>
      <c r="K93" s="21">
        <f t="shared" si="142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41"/>
        <v>0.92291798353203336</v>
      </c>
      <c r="J94" s="31"/>
      <c r="K94" s="21">
        <f t="shared" si="142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"/>
  <sheetViews>
    <sheetView workbookViewId="0">
      <pane ySplit="1" topLeftCell="A56" activePane="bottomLeft" state="frozen"/>
      <selection pane="bottomLeft" activeCell="A70" sqref="A7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"/>
  <sheetViews>
    <sheetView workbookViewId="0">
      <pane ySplit="1" topLeftCell="A62" activePane="bottomLeft" state="frozen"/>
      <selection pane="bottomLeft" activeCell="A70" sqref="A7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0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6" spans="1:28">
      <c r="T76">
        <f>SUM(T4:T74)</f>
        <v>27</v>
      </c>
      <c r="U76">
        <f t="shared" ref="U76:AB76" si="121">SUM(U4:U74)</f>
        <v>16</v>
      </c>
      <c r="V76">
        <f t="shared" si="121"/>
        <v>4</v>
      </c>
      <c r="W76">
        <f t="shared" si="121"/>
        <v>7</v>
      </c>
      <c r="X76">
        <f t="shared" si="121"/>
        <v>2</v>
      </c>
      <c r="Y76">
        <f t="shared" si="121"/>
        <v>4</v>
      </c>
      <c r="Z76">
        <f t="shared" si="121"/>
        <v>0</v>
      </c>
      <c r="AA76">
        <f t="shared" si="121"/>
        <v>2</v>
      </c>
      <c r="AB76">
        <f t="shared" si="121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0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6" spans="1:28">
      <c r="T76">
        <f t="shared" ref="T76:U76" si="118">SUM(T4:T74)</f>
        <v>6</v>
      </c>
      <c r="U76">
        <f t="shared" si="118"/>
        <v>6</v>
      </c>
      <c r="V76">
        <f>SUM(V4:V74)</f>
        <v>7</v>
      </c>
      <c r="W76">
        <f t="shared" ref="W76:AB76" si="119">SUM(W4:W74)</f>
        <v>12</v>
      </c>
      <c r="X76">
        <f t="shared" si="119"/>
        <v>8</v>
      </c>
      <c r="Y76">
        <f t="shared" si="119"/>
        <v>11</v>
      </c>
      <c r="Z76">
        <f t="shared" si="119"/>
        <v>6</v>
      </c>
      <c r="AA76">
        <f t="shared" si="119"/>
        <v>3</v>
      </c>
      <c r="AB76">
        <f t="shared" si="119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workbookViewId="0">
      <pane ySplit="1" topLeftCell="A62" activePane="bottomLeft" state="frozen"/>
      <selection pane="bottomLeft" activeCell="A70" sqref="A7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0"/>
  <sheetViews>
    <sheetView workbookViewId="0">
      <pane ySplit="1" topLeftCell="A59" activePane="bottomLeft" state="frozen"/>
      <selection pane="bottomLeft" activeCell="A70" sqref="A7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0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workbookViewId="0">
      <pane ySplit="1" topLeftCell="A65" activePane="bottomLeft" state="frozen"/>
      <selection pane="bottomLeft" activeCell="A70" sqref="A70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0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6" spans="1:28">
      <c r="T76">
        <f>SUM(T4:T74)</f>
        <v>6</v>
      </c>
      <c r="U76">
        <f t="shared" ref="U76:AB76" si="55">SUM(U4:U74)</f>
        <v>15</v>
      </c>
      <c r="V76">
        <f t="shared" si="55"/>
        <v>16</v>
      </c>
      <c r="W76">
        <f t="shared" si="55"/>
        <v>13</v>
      </c>
      <c r="X76">
        <f t="shared" si="55"/>
        <v>10</v>
      </c>
      <c r="Y76">
        <f t="shared" si="55"/>
        <v>2</v>
      </c>
      <c r="Z76">
        <f t="shared" si="55"/>
        <v>3</v>
      </c>
      <c r="AA76">
        <f t="shared" si="55"/>
        <v>0</v>
      </c>
      <c r="AB76">
        <f t="shared" si="5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2020-05-01T17:06:12Z</dcterms:modified>
</cp:coreProperties>
</file>