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nibo-my.sharepoint.com/personal/matteo_teruggi2_unibo_it/Documents/Desktop/HW1/"/>
    </mc:Choice>
  </mc:AlternateContent>
  <xr:revisionPtr revIDLastSave="239" documentId="13_ncr:1_{0E216C38-1A43-426A-AB3A-7B848582A135}" xr6:coauthVersionLast="47" xr6:coauthVersionMax="47" xr10:uidLastSave="{1F2AC46E-7050-42E2-A4DB-14D7829B98BD}"/>
  <bookViews>
    <workbookView xWindow="-108" yWindow="-108" windowWidth="23256" windowHeight="12576" activeTab="5" xr2:uid="{00000000-000D-0000-FFFF-FFFF00000000}"/>
  </bookViews>
  <sheets>
    <sheet name="Summary" sheetId="6" r:id="rId1"/>
    <sheet name="POINT 1" sheetId="1" r:id="rId2"/>
    <sheet name="POINT2" sheetId="3" r:id="rId3"/>
    <sheet name="AM Call-from class" sheetId="4" r:id="rId4"/>
    <sheet name="AM Call (2)-from class" sheetId="5" r:id="rId5"/>
    <sheet name="to_overleaf" sheetId="11" r:id="rId6"/>
  </sheets>
  <definedNames>
    <definedName name="solver_adj" localSheetId="4" hidden="1">'AM Call (2)-from class'!$C$4</definedName>
    <definedName name="solver_adj" localSheetId="1" hidden="1">'POINT 1'!#REF!</definedName>
    <definedName name="solver_adj" localSheetId="2" hidden="1">POINT2!#REF!</definedName>
    <definedName name="solver_adj" localSheetId="0" hidden="1">Summary!$B$13</definedName>
    <definedName name="solver_cvg" localSheetId="4" hidden="1">0.0001</definedName>
    <definedName name="solver_cvg" localSheetId="1" hidden="1">0.0001</definedName>
    <definedName name="solver_cvg" localSheetId="2" hidden="1">0.0001</definedName>
    <definedName name="solver_cvg" localSheetId="0" hidden="1">0.0001</definedName>
    <definedName name="solver_drv" localSheetId="4" hidden="1">1</definedName>
    <definedName name="solver_drv" localSheetId="1" hidden="1">1</definedName>
    <definedName name="solver_drv" localSheetId="2" hidden="1">1</definedName>
    <definedName name="solver_drv" localSheetId="0" hidden="1">1</definedName>
    <definedName name="solver_eng" localSheetId="4" hidden="1">1</definedName>
    <definedName name="solver_eng" localSheetId="1" hidden="1">1</definedName>
    <definedName name="solver_eng" localSheetId="2" hidden="1">1</definedName>
    <definedName name="solver_eng" localSheetId="0" hidden="1">1</definedName>
    <definedName name="solver_est" localSheetId="4" hidden="1">1</definedName>
    <definedName name="solver_est" localSheetId="1" hidden="1">1</definedName>
    <definedName name="solver_est" localSheetId="2" hidden="1">1</definedName>
    <definedName name="solver_est" localSheetId="0" hidden="1">1</definedName>
    <definedName name="solver_itr" localSheetId="4" hidden="1">2147483647</definedName>
    <definedName name="solver_itr" localSheetId="1" hidden="1">2147483647</definedName>
    <definedName name="solver_itr" localSheetId="2" hidden="1">2147483647</definedName>
    <definedName name="solver_itr" localSheetId="0" hidden="1">2147483647</definedName>
    <definedName name="solver_mip" localSheetId="4" hidden="1">2147483647</definedName>
    <definedName name="solver_mip" localSheetId="1" hidden="1">2147483647</definedName>
    <definedName name="solver_mip" localSheetId="2" hidden="1">2147483647</definedName>
    <definedName name="solver_mip" localSheetId="0" hidden="1">2147483647</definedName>
    <definedName name="solver_mni" localSheetId="4" hidden="1">30</definedName>
    <definedName name="solver_mni" localSheetId="1" hidden="1">30</definedName>
    <definedName name="solver_mni" localSheetId="2" hidden="1">30</definedName>
    <definedName name="solver_mni" localSheetId="0" hidden="1">30</definedName>
    <definedName name="solver_mrt" localSheetId="4" hidden="1">0.075</definedName>
    <definedName name="solver_mrt" localSheetId="1" hidden="1">0.075</definedName>
    <definedName name="solver_mrt" localSheetId="2" hidden="1">0.075</definedName>
    <definedName name="solver_mrt" localSheetId="0" hidden="1">0.075</definedName>
    <definedName name="solver_msl" localSheetId="4" hidden="1">2</definedName>
    <definedName name="solver_msl" localSheetId="1" hidden="1">2</definedName>
    <definedName name="solver_msl" localSheetId="2" hidden="1">2</definedName>
    <definedName name="solver_msl" localSheetId="0" hidden="1">2</definedName>
    <definedName name="solver_neg" localSheetId="4" hidden="1">1</definedName>
    <definedName name="solver_neg" localSheetId="1" hidden="1">1</definedName>
    <definedName name="solver_neg" localSheetId="2" hidden="1">1</definedName>
    <definedName name="solver_neg" localSheetId="0" hidden="1">2</definedName>
    <definedName name="solver_nod" localSheetId="4" hidden="1">2147483647</definedName>
    <definedName name="solver_nod" localSheetId="1" hidden="1">2147483647</definedName>
    <definedName name="solver_nod" localSheetId="2" hidden="1">2147483647</definedName>
    <definedName name="solver_nod" localSheetId="0" hidden="1">2147483647</definedName>
    <definedName name="solver_num" localSheetId="4" hidden="1">0</definedName>
    <definedName name="solver_num" localSheetId="1" hidden="1">0</definedName>
    <definedName name="solver_num" localSheetId="2" hidden="1">0</definedName>
    <definedName name="solver_num" localSheetId="0" hidden="1">0</definedName>
    <definedName name="solver_nwt" localSheetId="4" hidden="1">1</definedName>
    <definedName name="solver_nwt" localSheetId="1" hidden="1">1</definedName>
    <definedName name="solver_nwt" localSheetId="2" hidden="1">1</definedName>
    <definedName name="solver_nwt" localSheetId="0" hidden="1">1</definedName>
    <definedName name="solver_opt" localSheetId="4" hidden="1">'AM Call (2)-from class'!$B$13</definedName>
    <definedName name="solver_opt" localSheetId="1" hidden="1">'POINT 1'!$B$22</definedName>
    <definedName name="solver_opt" localSheetId="2" hidden="1">POINT2!#REF!</definedName>
    <definedName name="solver_opt" localSheetId="0" hidden="1">Summary!$J$6</definedName>
    <definedName name="solver_pre" localSheetId="4" hidden="1">0.000001</definedName>
    <definedName name="solver_pre" localSheetId="1" hidden="1">0.000001</definedName>
    <definedName name="solver_pre" localSheetId="2" hidden="1">0.000001</definedName>
    <definedName name="solver_pre" localSheetId="0" hidden="1">0.000001</definedName>
    <definedName name="solver_rbv" localSheetId="4" hidden="1">1</definedName>
    <definedName name="solver_rbv" localSheetId="1" hidden="1">1</definedName>
    <definedName name="solver_rbv" localSheetId="2" hidden="1">1</definedName>
    <definedName name="solver_rbv" localSheetId="0" hidden="1">1</definedName>
    <definedName name="solver_rlx" localSheetId="4" hidden="1">2</definedName>
    <definedName name="solver_rlx" localSheetId="1" hidden="1">2</definedName>
    <definedName name="solver_rlx" localSheetId="2" hidden="1">2</definedName>
    <definedName name="solver_rlx" localSheetId="0" hidden="1">2</definedName>
    <definedName name="solver_rsd" localSheetId="4" hidden="1">0</definedName>
    <definedName name="solver_rsd" localSheetId="1" hidden="1">0</definedName>
    <definedName name="solver_rsd" localSheetId="2" hidden="1">0</definedName>
    <definedName name="solver_rsd" localSheetId="0" hidden="1">0</definedName>
    <definedName name="solver_scl" localSheetId="4" hidden="1">1</definedName>
    <definedName name="solver_scl" localSheetId="1" hidden="1">1</definedName>
    <definedName name="solver_scl" localSheetId="2" hidden="1">1</definedName>
    <definedName name="solver_scl" localSheetId="0" hidden="1">1</definedName>
    <definedName name="solver_sho" localSheetId="4" hidden="1">2</definedName>
    <definedName name="solver_sho" localSheetId="1" hidden="1">2</definedName>
    <definedName name="solver_sho" localSheetId="2" hidden="1">2</definedName>
    <definedName name="solver_sho" localSheetId="0" hidden="1">2</definedName>
    <definedName name="solver_ssz" localSheetId="4" hidden="1">100</definedName>
    <definedName name="solver_ssz" localSheetId="1" hidden="1">100</definedName>
    <definedName name="solver_ssz" localSheetId="2" hidden="1">100</definedName>
    <definedName name="solver_ssz" localSheetId="0" hidden="1">100</definedName>
    <definedName name="solver_tim" localSheetId="4" hidden="1">2147483647</definedName>
    <definedName name="solver_tim" localSheetId="1" hidden="1">2147483647</definedName>
    <definedName name="solver_tim" localSheetId="2" hidden="1">2147483647</definedName>
    <definedName name="solver_tim" localSheetId="0" hidden="1">2147483647</definedName>
    <definedName name="solver_tol" localSheetId="4" hidden="1">0.01</definedName>
    <definedName name="solver_tol" localSheetId="1" hidden="1">0.01</definedName>
    <definedName name="solver_tol" localSheetId="2" hidden="1">0.01</definedName>
    <definedName name="solver_tol" localSheetId="0" hidden="1">0.01</definedName>
    <definedName name="solver_typ" localSheetId="4" hidden="1">3</definedName>
    <definedName name="solver_typ" localSheetId="1" hidden="1">1</definedName>
    <definedName name="solver_typ" localSheetId="2" hidden="1">3</definedName>
    <definedName name="solver_typ" localSheetId="0" hidden="1">3</definedName>
    <definedName name="solver_val" localSheetId="4" hidden="1">3.14</definedName>
    <definedName name="solver_val" localSheetId="1" hidden="1">0</definedName>
    <definedName name="solver_val" localSheetId="2" hidden="1">0.65</definedName>
    <definedName name="solver_val" localSheetId="0" hidden="1">0</definedName>
    <definedName name="solver_ver" localSheetId="4" hidden="1">3</definedName>
    <definedName name="solver_ver" localSheetId="1" hidden="1">3</definedName>
    <definedName name="solver_ver" localSheetId="2" hidden="1">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3" l="1"/>
  <c r="I4" i="3"/>
  <c r="B22" i="1"/>
  <c r="G10" i="6" s="1"/>
  <c r="D19" i="6"/>
  <c r="D18" i="6"/>
  <c r="D17" i="6"/>
  <c r="D15" i="6"/>
  <c r="D7" i="6"/>
  <c r="D5" i="6"/>
  <c r="D6" i="6" s="1"/>
  <c r="B15" i="6"/>
  <c r="B17" i="6"/>
  <c r="B18" i="6"/>
  <c r="B19" i="6"/>
  <c r="B3" i="5"/>
  <c r="B9" i="5" s="1"/>
  <c r="I12" i="5" s="1"/>
  <c r="B2" i="5"/>
  <c r="B3" i="4"/>
  <c r="B8" i="4" s="1"/>
  <c r="I6" i="4" s="1"/>
  <c r="L3" i="4" s="1"/>
  <c r="B2" i="4"/>
  <c r="B5" i="6"/>
  <c r="B6" i="6" s="1"/>
  <c r="B7" i="6"/>
  <c r="D6" i="3" s="1"/>
  <c r="F3" i="3" s="1"/>
  <c r="H7" i="3" s="1"/>
  <c r="F9" i="5"/>
  <c r="F9" i="4"/>
  <c r="D8" i="6"/>
  <c r="D10" i="6" s="1"/>
  <c r="D9" i="6"/>
  <c r="B6" i="4" l="1"/>
  <c r="H4" i="3"/>
  <c r="H5" i="3"/>
  <c r="G14" i="3"/>
  <c r="B9" i="4"/>
  <c r="B10" i="4" s="1"/>
  <c r="B11" i="4" s="1"/>
  <c r="B8" i="5"/>
  <c r="I6" i="5" s="1"/>
  <c r="L3" i="5" s="1"/>
  <c r="B8" i="6"/>
  <c r="D22" i="3" s="1"/>
  <c r="D6" i="1"/>
  <c r="F3" i="1" s="1"/>
  <c r="H6" i="3"/>
  <c r="I6" i="3" s="1"/>
  <c r="L15" i="5"/>
  <c r="H11" i="3" l="1"/>
  <c r="B10" i="5"/>
  <c r="B11" i="5" s="1"/>
  <c r="L7" i="5"/>
  <c r="L7" i="4"/>
  <c r="H12" i="3"/>
  <c r="I12" i="4"/>
  <c r="L15" i="4" s="1"/>
  <c r="D22" i="1"/>
  <c r="F20" i="1" s="1"/>
  <c r="J4" i="3"/>
  <c r="F10" i="3"/>
  <c r="J6" i="3"/>
  <c r="B9" i="6"/>
  <c r="F10" i="1"/>
  <c r="L11" i="5"/>
  <c r="B10" i="6"/>
  <c r="F4" i="1"/>
  <c r="F5" i="1" s="1"/>
  <c r="F28" i="3"/>
  <c r="K28" i="3" s="1"/>
  <c r="F20" i="3"/>
  <c r="K20" i="3" s="1"/>
  <c r="L11" i="4" l="1"/>
  <c r="F11" i="1"/>
  <c r="F12" i="1"/>
  <c r="D8" i="1" s="1"/>
  <c r="F6" i="1"/>
  <c r="H31" i="3"/>
  <c r="H30" i="3"/>
  <c r="H29" i="3"/>
  <c r="H28" i="3"/>
  <c r="H20" i="3"/>
  <c r="H23" i="3"/>
  <c r="H22" i="3"/>
  <c r="I22" i="3" s="1"/>
  <c r="H21" i="3"/>
  <c r="I20" i="3"/>
  <c r="F21" i="1"/>
  <c r="D7" i="1" l="1"/>
  <c r="D9" i="1" s="1"/>
  <c r="D13" i="1" s="1"/>
  <c r="F13" i="1"/>
  <c r="D11" i="1" s="1"/>
  <c r="F22" i="1"/>
  <c r="F23" i="1" s="1"/>
  <c r="F11" i="4"/>
  <c r="L4" i="4"/>
  <c r="L5" i="4" s="1"/>
  <c r="I8" i="4"/>
  <c r="L8" i="4"/>
  <c r="L9" i="4" s="1"/>
  <c r="L16" i="4"/>
  <c r="L17" i="4" s="1"/>
  <c r="I14" i="4"/>
  <c r="L12" i="4"/>
  <c r="L13" i="4" s="1"/>
  <c r="J20" i="3"/>
  <c r="H24" i="3" s="1"/>
  <c r="H8" i="3"/>
  <c r="I13" i="4" l="1"/>
  <c r="I15" i="4" s="1"/>
  <c r="I7" i="4"/>
  <c r="I9" i="4" s="1"/>
  <c r="J22" i="3"/>
  <c r="H25" i="3" s="1"/>
  <c r="F11" i="3" s="1"/>
  <c r="F12" i="3" s="1"/>
  <c r="F26" i="1"/>
  <c r="F10" i="4" l="1"/>
  <c r="F12" i="4" s="1"/>
  <c r="B26" i="1" s="1"/>
  <c r="F21" i="3"/>
  <c r="F22" i="3" s="1"/>
  <c r="F27" i="1"/>
  <c r="F28" i="1" s="1"/>
  <c r="J24" i="3"/>
  <c r="F13" i="3" l="1"/>
  <c r="D24" i="1"/>
  <c r="D23" i="1"/>
  <c r="G11" i="6" l="1"/>
  <c r="F23" i="3"/>
  <c r="F29" i="1"/>
  <c r="D27" i="1" s="1"/>
  <c r="D25" i="1"/>
  <c r="D29" i="1" s="1"/>
  <c r="B15" i="1"/>
  <c r="B17" i="1" s="1"/>
  <c r="D26" i="1" l="1"/>
  <c r="D28" i="1" s="1"/>
  <c r="B19" i="1"/>
  <c r="G6" i="6"/>
  <c r="H9" i="3"/>
  <c r="J8" i="3" l="1"/>
  <c r="F4" i="3"/>
  <c r="G8" i="6"/>
  <c r="B22" i="3" l="1"/>
  <c r="D7" i="3"/>
  <c r="D9" i="3" s="1"/>
  <c r="B6" i="5" l="1"/>
  <c r="L4" i="5" s="1"/>
  <c r="L5" i="5" s="1"/>
  <c r="H10" i="6"/>
  <c r="J10" i="6" s="1"/>
  <c r="J11" i="3" a="1"/>
  <c r="J11" i="3" s="1"/>
  <c r="D8" i="3"/>
  <c r="F6" i="3"/>
  <c r="J10" i="3" s="1"/>
  <c r="I14" i="5" l="1"/>
  <c r="F11" i="5"/>
  <c r="I8" i="5"/>
  <c r="L8" i="5"/>
  <c r="L9" i="5" s="1"/>
  <c r="I7" i="5" s="1"/>
  <c r="L12" i="5"/>
  <c r="L13" i="5" s="1"/>
  <c r="L16" i="5"/>
  <c r="L17" i="5" s="1"/>
  <c r="D13" i="3"/>
  <c r="D11" i="3"/>
  <c r="D10" i="3"/>
  <c r="I9" i="5" l="1"/>
  <c r="I13" i="5"/>
  <c r="I15" i="5" s="1"/>
  <c r="D12" i="3"/>
  <c r="F10" i="5" l="1"/>
  <c r="F12" i="5" s="1"/>
  <c r="B26" i="3" s="1"/>
  <c r="H11" i="6" s="1"/>
  <c r="J11" i="6" s="1"/>
  <c r="K11" i="6" s="1"/>
  <c r="D10" i="1"/>
  <c r="B16" i="1" l="1"/>
  <c r="D12" i="1"/>
  <c r="B21" i="1" l="1"/>
  <c r="G9" i="6" s="1"/>
  <c r="B18" i="1"/>
  <c r="G7" i="6"/>
  <c r="I30" i="3"/>
  <c r="J30" i="3" s="1"/>
  <c r="H33" i="3" s="1"/>
  <c r="I28" i="3"/>
  <c r="J28" i="3" s="1"/>
  <c r="H32" i="3" s="1"/>
  <c r="B27" i="1" l="1"/>
  <c r="G12" i="6" s="1"/>
  <c r="B20" i="1"/>
  <c r="G13" i="6"/>
  <c r="G14" i="6"/>
  <c r="F29" i="3"/>
  <c r="F30" i="3" s="1"/>
  <c r="J32" i="3"/>
  <c r="D24" i="3" l="1"/>
  <c r="D23" i="3"/>
  <c r="D25" i="3" s="1"/>
  <c r="F31" i="3" l="1"/>
  <c r="D27" i="3" s="1"/>
  <c r="B19" i="3" s="1"/>
  <c r="H8" i="6" s="1"/>
  <c r="J8" i="6" s="1"/>
  <c r="K8" i="6" s="1"/>
  <c r="B15" i="3"/>
  <c r="B17" i="3" s="1"/>
  <c r="H6" i="6" l="1"/>
  <c r="D29" i="3"/>
  <c r="D26" i="3"/>
  <c r="B16" i="3" l="1"/>
  <c r="B18" i="3" s="1"/>
  <c r="B27" i="3" s="1"/>
  <c r="D28" i="3"/>
  <c r="J6" i="6"/>
  <c r="K6" i="6" s="1"/>
  <c r="B21" i="3" l="1"/>
  <c r="H9" i="6" s="1"/>
  <c r="J9" i="6" s="1"/>
  <c r="H12" i="6"/>
  <c r="H7" i="6"/>
  <c r="B20" i="3"/>
  <c r="H14" i="6" l="1"/>
  <c r="J14" i="6" s="1"/>
  <c r="K14" i="6" s="1"/>
  <c r="J7" i="6"/>
  <c r="K7" i="6" s="1"/>
  <c r="K12" i="6" s="1"/>
  <c r="H13" i="6"/>
  <c r="J13" i="6" s="1"/>
  <c r="K13" i="6" s="1"/>
  <c r="L7" i="6" l="1"/>
  <c r="L6" i="6"/>
  <c r="L8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<sst xmlns="http://schemas.openxmlformats.org/spreadsheetml/2006/main" count="293" uniqueCount="137">
  <si>
    <t>Volatility</t>
  </si>
  <si>
    <t>T</t>
  </si>
  <si>
    <t>r</t>
  </si>
  <si>
    <t>u</t>
  </si>
  <si>
    <t>d</t>
  </si>
  <si>
    <t>qu</t>
  </si>
  <si>
    <t>qd</t>
  </si>
  <si>
    <t>A</t>
  </si>
  <si>
    <t>Time 0</t>
  </si>
  <si>
    <t>T1, after 6 months</t>
  </si>
  <si>
    <t>T2, after 12 months</t>
  </si>
  <si>
    <t>D</t>
  </si>
  <si>
    <t>Warrant - kill</t>
  </si>
  <si>
    <t>Warrant - wait</t>
  </si>
  <si>
    <t>Warrant strike</t>
  </si>
  <si>
    <t>Debt face value</t>
  </si>
  <si>
    <t>Warrant</t>
  </si>
  <si>
    <t>Equity, discouted future value</t>
  </si>
  <si>
    <t>A up</t>
  </si>
  <si>
    <t>D up</t>
  </si>
  <si>
    <t>Warrant - wait up</t>
  </si>
  <si>
    <t>Warrant - kill up</t>
  </si>
  <si>
    <t>Warrant up</t>
  </si>
  <si>
    <t>Equity, discouted future value up</t>
  </si>
  <si>
    <t>Equity, residual value up</t>
  </si>
  <si>
    <t>A down</t>
  </si>
  <si>
    <t>D down</t>
  </si>
  <si>
    <t>Warrant - wait down</t>
  </si>
  <si>
    <t>Warrant - kill down</t>
  </si>
  <si>
    <t>Warrant down</t>
  </si>
  <si>
    <t>A up up</t>
  </si>
  <si>
    <t>D up up</t>
  </si>
  <si>
    <t>A up down</t>
  </si>
  <si>
    <t>D up down</t>
  </si>
  <si>
    <t>Equity, discounted future value down</t>
  </si>
  <si>
    <t>A down up</t>
  </si>
  <si>
    <t>D down up</t>
  </si>
  <si>
    <t>A down down</t>
  </si>
  <si>
    <t>D down down</t>
  </si>
  <si>
    <t>Strike for a call equivalent to warrant</t>
  </si>
  <si>
    <t>Early exercice premium warrant</t>
  </si>
  <si>
    <t>American price</t>
  </si>
  <si>
    <t>Convert, warrant exerciced</t>
  </si>
  <si>
    <t>Convert, warrant not exerciced</t>
  </si>
  <si>
    <t>Not to convert, warrant exerciced</t>
  </si>
  <si>
    <t>Not convert, warrant not exerciced</t>
  </si>
  <si>
    <t>Bond</t>
  </si>
  <si>
    <t>Existing shares</t>
  </si>
  <si>
    <t>Warrant conversion ratio, if bond converted</t>
  </si>
  <si>
    <t>BOND value if converted</t>
  </si>
  <si>
    <t>BOND value if not converted</t>
  </si>
  <si>
    <t>Decision</t>
  </si>
  <si>
    <t>Equity check</t>
  </si>
  <si>
    <t>SPNE FOR BONDHOLDER-WARRANTHOLDER INTERCATIONS: FIRST MOVER ADVANTAGE TO BOND</t>
  </si>
  <si>
    <t>The very same game is played in scenario up, down</t>
  </si>
  <si>
    <t>Killing dominating strategy</t>
  </si>
  <si>
    <t>Converting dominating strategy</t>
  </si>
  <si>
    <t>Acdd</t>
  </si>
  <si>
    <t>Cdd</t>
  </si>
  <si>
    <t>Sdd</t>
  </si>
  <si>
    <t>Acd</t>
  </si>
  <si>
    <t>Acd KILL</t>
  </si>
  <si>
    <t>Acdu</t>
  </si>
  <si>
    <t>Acd WAIT</t>
  </si>
  <si>
    <t>Cdu</t>
  </si>
  <si>
    <t>Sd</t>
  </si>
  <si>
    <t>AC0</t>
  </si>
  <si>
    <t>Sdu</t>
  </si>
  <si>
    <t>AC0 KILL</t>
  </si>
  <si>
    <t>AC0 WAIT</t>
  </si>
  <si>
    <t>Acud</t>
  </si>
  <si>
    <t>Acu</t>
  </si>
  <si>
    <t>S0</t>
  </si>
  <si>
    <t>Cud</t>
  </si>
  <si>
    <t>Acu KILL</t>
  </si>
  <si>
    <t>Sud</t>
  </si>
  <si>
    <t>ACu WAIT</t>
  </si>
  <si>
    <t>Su</t>
  </si>
  <si>
    <t>Strike</t>
  </si>
  <si>
    <t>Acuu</t>
  </si>
  <si>
    <t>dT</t>
  </si>
  <si>
    <t>Cuu</t>
  </si>
  <si>
    <t>A0</t>
  </si>
  <si>
    <t>Suu</t>
  </si>
  <si>
    <t>sigma</t>
  </si>
  <si>
    <t>rf</t>
  </si>
  <si>
    <t>NOTE: THIS IS THE CLASS EXCEL, IT IS ONLY FOR THE SAKE OF COMPARISON</t>
  </si>
  <si>
    <t>Important Data</t>
  </si>
  <si>
    <t>R</t>
  </si>
  <si>
    <t>Circulating warrant</t>
  </si>
  <si>
    <t>Bond conversion ratio</t>
  </si>
  <si>
    <t>Bond conversion ratio, if warrant not exercised</t>
  </si>
  <si>
    <t>Equity</t>
  </si>
  <si>
    <t>Main results</t>
  </si>
  <si>
    <t>Variable</t>
  </si>
  <si>
    <t>Baseline</t>
  </si>
  <si>
    <t>Point 1</t>
  </si>
  <si>
    <t>Point 2</t>
  </si>
  <si>
    <t>Bond conversion ratio, if warrant exercised</t>
  </si>
  <si>
    <t>Debt/Equity</t>
  </si>
  <si>
    <t>Warrant check</t>
  </si>
  <si>
    <t>Difference (Point 2 vs point 1)</t>
  </si>
  <si>
    <t>Absolute</t>
  </si>
  <si>
    <t>Relative</t>
  </si>
  <si>
    <t>Market value of Overall Equity</t>
  </si>
  <si>
    <t>Share, discouted future value</t>
  </si>
  <si>
    <t>Share check</t>
  </si>
  <si>
    <t>Rank in welfare gain</t>
  </si>
  <si>
    <t>DF=1/R REMARK: 6 HALF-YEARLY</t>
  </si>
  <si>
    <t>T1</t>
  </si>
  <si>
    <t>T2</t>
  </si>
  <si>
    <t>T0</t>
  </si>
  <si>
    <t xml:space="preserve"> </t>
  </si>
  <si>
    <t>Stock</t>
  </si>
  <si>
    <t>Vanilla debt</t>
  </si>
  <si>
    <t>Convertible</t>
  </si>
  <si>
    <t>up up, p=0.25</t>
  </si>
  <si>
    <t>up, p=0.5</t>
  </si>
  <si>
    <t>up down, p=0.25</t>
  </si>
  <si>
    <t>down up, p=0.25</t>
  </si>
  <si>
    <t>down, p=0.5</t>
  </si>
  <si>
    <t>down down, p=0.25</t>
  </si>
  <si>
    <t>Dilution ratio</t>
  </si>
  <si>
    <t>Share(s)</t>
  </si>
  <si>
    <t>option to warrant ratio == 1- dilution ratio</t>
  </si>
  <si>
    <t>warrant to option ratio == 1- dilution ratio</t>
  </si>
  <si>
    <t>option to warrant ratio ==1- dilution ratio</t>
  </si>
  <si>
    <t>Bond value if converted</t>
  </si>
  <si>
    <t>Bond value if not converted</t>
  </si>
  <si>
    <t xml:space="preserve"> warrant exercised</t>
  </si>
  <si>
    <t>warrant exercised</t>
  </si>
  <si>
    <t>bond converted</t>
  </si>
  <si>
    <t>B</t>
  </si>
  <si>
    <t>Act II: bondholders first mover advantage</t>
  </si>
  <si>
    <t>convertiblity option</t>
  </si>
  <si>
    <t>Strategy</t>
  </si>
  <si>
    <t>Difference (point 2 vs point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</si>
</sst>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00"/>
    <numFmt numFmtId="165" formatCode="_-[$$-409]* #,##0.00_ ;_-[$$-409]* \-#,##0.00\ ;_-[$$-409]* &quot;-&quot;??_ ;_-@_ "/>
    <numFmt numFmtId="166" formatCode="0.0000"/>
    <numFmt numFmtId="167" formatCode="0.000%"/>
    <numFmt numFmtId="168" formatCode="_-[$$-409]* #,##0.00000_ ;_-[$$-409]* \-#,##0.00000\ ;_-[$$-409]* &quot;-&quot;??_ ;_-@_ "/>
    <numFmt numFmtId="169" formatCode="_-[$$-409]* #,##0.00000000000000_ ;_-[$$-409]* \-#,##0.00000000000000\ ;_-[$$-409]* &quot;-&quot;??_ ;_-@_ "/>
    <numFmt numFmtId="170" formatCode="0.000000000"/>
  </numFmts>
  <fonts count="29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Arial"/>
      <family val="2"/>
    </font>
    <font>
      <sz val="10"/>
      <name val="Calibri"/>
      <family val="2"/>
      <scheme val="minor"/>
    </font>
    <font>
      <b/>
      <sz val="10"/>
      <color theme="1"/>
      <name val="Garamond"/>
      <family val="1"/>
    </font>
    <font>
      <b/>
      <sz val="10"/>
      <color rgb="FFC00000"/>
      <name val="Garamond"/>
      <family val="1"/>
    </font>
    <font>
      <b/>
      <sz val="10"/>
      <name val="Garamond"/>
      <family val="1"/>
    </font>
    <font>
      <b/>
      <sz val="10"/>
      <color theme="5"/>
      <name val="Garamond"/>
      <family val="1"/>
    </font>
    <font>
      <b/>
      <sz val="10"/>
      <color theme="4"/>
      <name val="Garamond"/>
      <family val="1"/>
    </font>
    <font>
      <b/>
      <sz val="15"/>
      <color theme="1"/>
      <name val="Garamond"/>
      <family val="1"/>
    </font>
    <font>
      <sz val="15"/>
      <color theme="1"/>
      <name val="Garamond"/>
      <family val="1"/>
    </font>
    <font>
      <b/>
      <sz val="15"/>
      <color rgb="FFC00000"/>
      <name val="Garamond"/>
      <family val="1"/>
    </font>
    <font>
      <b/>
      <sz val="15"/>
      <name val="Garamond"/>
      <family val="1"/>
    </font>
    <font>
      <b/>
      <sz val="15"/>
      <color theme="5"/>
      <name val="Garamond"/>
      <family val="1"/>
    </font>
    <font>
      <b/>
      <sz val="15"/>
      <color theme="4"/>
      <name val="Garamond"/>
      <family val="1"/>
    </font>
    <font>
      <b/>
      <sz val="15"/>
      <color theme="9"/>
      <name val="Garamond"/>
      <family val="1"/>
    </font>
    <font>
      <sz val="15"/>
      <name val="Garamond"/>
      <family val="1"/>
    </font>
    <font>
      <b/>
      <u val="singleAccounting"/>
      <sz val="10"/>
      <color rgb="FFC00000"/>
      <name val="Garamond"/>
      <family val="1"/>
    </font>
    <font>
      <sz val="10"/>
      <color rgb="FF00CC99"/>
      <name val="Calibri"/>
      <family val="2"/>
      <scheme val="minor"/>
    </font>
    <font>
      <b/>
      <sz val="15"/>
      <color rgb="FF339966"/>
      <name val="Garamond"/>
      <family val="1"/>
    </font>
    <font>
      <b/>
      <sz val="10"/>
      <color rgb="FF339966"/>
      <name val="Garamond"/>
      <family val="1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8FDBB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29">
    <xf numFmtId="0" fontId="0" fillId="0" borderId="0" xfId="0"/>
    <xf numFmtId="165" fontId="0" fillId="0" borderId="0" xfId="0" applyNumberFormat="1"/>
    <xf numFmtId="0" fontId="1" fillId="0" borderId="0" xfId="0" applyFont="1"/>
    <xf numFmtId="165" fontId="1" fillId="0" borderId="0" xfId="0" applyNumberFormat="1" applyFont="1"/>
    <xf numFmtId="0" fontId="2" fillId="0" borderId="0" xfId="0" applyFont="1"/>
    <xf numFmtId="165" fontId="2" fillId="0" borderId="0" xfId="0" applyNumberFormat="1" applyFont="1"/>
    <xf numFmtId="2" fontId="0" fillId="2" borderId="0" xfId="0" applyNumberFormat="1" applyFill="1"/>
    <xf numFmtId="0" fontId="0" fillId="2" borderId="0" xfId="0" applyFill="1"/>
    <xf numFmtId="1" fontId="0" fillId="2" borderId="0" xfId="0" applyNumberFormat="1" applyFill="1"/>
    <xf numFmtId="166" fontId="0" fillId="2" borderId="0" xfId="0" applyNumberFormat="1" applyFill="1"/>
    <xf numFmtId="9" fontId="0" fillId="3" borderId="0" xfId="0" applyNumberFormat="1" applyFill="1"/>
    <xf numFmtId="0" fontId="0" fillId="3" borderId="0" xfId="0" applyFill="1"/>
    <xf numFmtId="9" fontId="0" fillId="3" borderId="0" xfId="1" applyFont="1" applyFill="1"/>
    <xf numFmtId="0" fontId="0" fillId="4" borderId="0" xfId="0" applyFill="1"/>
    <xf numFmtId="167" fontId="0" fillId="4" borderId="0" xfId="1" applyNumberFormat="1" applyFont="1" applyFill="1"/>
    <xf numFmtId="0" fontId="0" fillId="4" borderId="0" xfId="0" quotePrefix="1" applyFill="1"/>
    <xf numFmtId="0" fontId="0" fillId="0" borderId="0" xfId="0" applyAlignment="1">
      <alignment horizontal="center"/>
    </xf>
    <xf numFmtId="168" fontId="0" fillId="0" borderId="0" xfId="0" applyNumberFormat="1"/>
    <xf numFmtId="165" fontId="4" fillId="0" borderId="0" xfId="0" applyNumberFormat="1" applyFont="1"/>
    <xf numFmtId="0" fontId="5" fillId="0" borderId="0" xfId="0" applyFont="1"/>
    <xf numFmtId="165" fontId="5" fillId="0" borderId="0" xfId="0" applyNumberFormat="1" applyFont="1"/>
    <xf numFmtId="0" fontId="6" fillId="0" borderId="0" xfId="0" applyFont="1"/>
    <xf numFmtId="165" fontId="6" fillId="0" borderId="0" xfId="0" applyNumberFormat="1" applyFont="1"/>
    <xf numFmtId="0" fontId="7" fillId="0" borderId="0" xfId="0" applyFont="1"/>
    <xf numFmtId="2" fontId="7" fillId="0" borderId="0" xfId="0" applyNumberFormat="1" applyFont="1"/>
    <xf numFmtId="169" fontId="0" fillId="0" borderId="0" xfId="0" applyNumberFormat="1"/>
    <xf numFmtId="10" fontId="0" fillId="0" borderId="0" xfId="1" applyNumberFormat="1" applyFont="1"/>
    <xf numFmtId="10" fontId="2" fillId="0" borderId="0" xfId="0" applyNumberFormat="1" applyFont="1"/>
    <xf numFmtId="165" fontId="7" fillId="0" borderId="0" xfId="0" applyNumberFormat="1" applyFont="1"/>
    <xf numFmtId="10" fontId="7" fillId="0" borderId="0" xfId="1" applyNumberFormat="1" applyFont="1"/>
    <xf numFmtId="165" fontId="8" fillId="0" borderId="0" xfId="0" applyNumberFormat="1" applyFont="1"/>
    <xf numFmtId="10" fontId="8" fillId="0" borderId="0" xfId="0" applyNumberFormat="1" applyFont="1"/>
    <xf numFmtId="0" fontId="9" fillId="5" borderId="0" xfId="0" applyFont="1" applyFill="1"/>
    <xf numFmtId="165" fontId="9" fillId="5" borderId="0" xfId="0" applyNumberFormat="1" applyFont="1" applyFill="1"/>
    <xf numFmtId="0" fontId="9" fillId="6" borderId="0" xfId="0" applyFont="1" applyFill="1"/>
    <xf numFmtId="0" fontId="9" fillId="7" borderId="0" xfId="0" applyFont="1" applyFill="1"/>
    <xf numFmtId="0" fontId="10" fillId="5" borderId="0" xfId="0" applyFont="1" applyFill="1"/>
    <xf numFmtId="0" fontId="11" fillId="5" borderId="0" xfId="0" applyFont="1" applyFill="1"/>
    <xf numFmtId="0" fontId="12" fillId="5" borderId="0" xfId="0" applyFont="1" applyFill="1"/>
    <xf numFmtId="0" fontId="12" fillId="5" borderId="0" xfId="0" applyFont="1" applyFill="1" applyAlignment="1">
      <alignment horizontal="center" vertical="center"/>
    </xf>
    <xf numFmtId="0" fontId="15" fillId="5" borderId="1" xfId="0" applyFont="1" applyFill="1" applyBorder="1" applyAlignment="1" applyProtection="1">
      <alignment vertical="center"/>
      <protection locked="0"/>
    </xf>
    <xf numFmtId="0" fontId="16" fillId="5" borderId="1" xfId="0" applyFont="1" applyFill="1" applyBorder="1" applyAlignment="1" applyProtection="1">
      <alignment vertical="center"/>
      <protection locked="0"/>
    </xf>
    <xf numFmtId="0" fontId="17" fillId="5" borderId="0" xfId="0" applyFont="1" applyFill="1"/>
    <xf numFmtId="0" fontId="18" fillId="5" borderId="0" xfId="0" applyFont="1" applyFill="1"/>
    <xf numFmtId="0" fontId="19" fillId="5" borderId="6" xfId="0" applyFont="1" applyFill="1" applyBorder="1" applyAlignment="1" applyProtection="1">
      <alignment vertical="center"/>
      <protection locked="0"/>
    </xf>
    <xf numFmtId="0" fontId="20" fillId="6" borderId="11" xfId="0" applyFont="1" applyFill="1" applyBorder="1" applyAlignment="1" applyProtection="1">
      <alignment horizontal="center" vertical="center"/>
      <protection locked="0"/>
    </xf>
    <xf numFmtId="0" fontId="17" fillId="5" borderId="6" xfId="0" applyFont="1" applyFill="1" applyBorder="1" applyAlignment="1" applyProtection="1">
      <alignment horizontal="center" vertical="center"/>
      <protection locked="0"/>
    </xf>
    <xf numFmtId="0" fontId="17" fillId="5" borderId="5" xfId="0" applyFont="1" applyFill="1" applyBorder="1" applyAlignment="1" applyProtection="1">
      <alignment horizontal="center" vertical="center"/>
      <protection locked="0"/>
    </xf>
    <xf numFmtId="0" fontId="17" fillId="5" borderId="5" xfId="0" applyFont="1" applyFill="1" applyBorder="1" applyAlignment="1" applyProtection="1">
      <alignment vertical="center"/>
      <protection locked="0"/>
    </xf>
    <xf numFmtId="0" fontId="17" fillId="5" borderId="0" xfId="0" applyFont="1" applyFill="1" applyAlignment="1" applyProtection="1">
      <alignment vertical="center"/>
      <protection locked="0"/>
    </xf>
    <xf numFmtId="0" fontId="17" fillId="5" borderId="8" xfId="0" applyFont="1" applyFill="1" applyBorder="1" applyAlignment="1" applyProtection="1">
      <alignment horizontal="center" vertical="center"/>
      <protection locked="0"/>
    </xf>
    <xf numFmtId="0" fontId="17" fillId="5" borderId="5" xfId="0" applyFont="1" applyFill="1" applyBorder="1"/>
    <xf numFmtId="0" fontId="20" fillId="5" borderId="0" xfId="0" applyFont="1" applyFill="1" applyAlignment="1" applyProtection="1">
      <alignment vertical="center"/>
      <protection locked="0"/>
    </xf>
    <xf numFmtId="0" fontId="19" fillId="5" borderId="8" xfId="0" applyFont="1" applyFill="1" applyBorder="1" applyAlignment="1" applyProtection="1">
      <alignment vertical="center"/>
      <protection locked="0"/>
    </xf>
    <xf numFmtId="0" fontId="17" fillId="5" borderId="8" xfId="0" applyFont="1" applyFill="1" applyBorder="1"/>
    <xf numFmtId="0" fontId="17" fillId="5" borderId="1" xfId="0" applyFont="1" applyFill="1" applyBorder="1" applyAlignment="1" applyProtection="1">
      <alignment vertical="center"/>
      <protection locked="0"/>
    </xf>
    <xf numFmtId="165" fontId="17" fillId="5" borderId="2" xfId="0" applyNumberFormat="1" applyFont="1" applyFill="1" applyBorder="1" applyAlignment="1" applyProtection="1">
      <alignment vertical="center"/>
      <protection locked="0"/>
    </xf>
    <xf numFmtId="165" fontId="17" fillId="5" borderId="4" xfId="0" applyNumberFormat="1" applyFont="1" applyFill="1" applyBorder="1" applyAlignment="1" applyProtection="1">
      <alignment vertical="center"/>
      <protection locked="0"/>
    </xf>
    <xf numFmtId="0" fontId="17" fillId="5" borderId="0" xfId="0" applyFont="1" applyFill="1" applyAlignment="1">
      <alignment horizontal="center" vertical="center"/>
    </xf>
    <xf numFmtId="0" fontId="19" fillId="5" borderId="0" xfId="0" applyFont="1" applyFill="1" applyAlignment="1" applyProtection="1">
      <alignment horizontal="center" vertical="center"/>
      <protection locked="0"/>
    </xf>
    <xf numFmtId="0" fontId="19" fillId="5" borderId="8" xfId="0" applyFont="1" applyFill="1" applyBorder="1" applyAlignment="1" applyProtection="1">
      <alignment horizontal="center" vertical="center"/>
      <protection locked="0"/>
    </xf>
    <xf numFmtId="0" fontId="21" fillId="5" borderId="1" xfId="0" applyFont="1" applyFill="1" applyBorder="1" applyAlignment="1" applyProtection="1">
      <alignment vertical="center"/>
      <protection locked="0"/>
    </xf>
    <xf numFmtId="165" fontId="21" fillId="6" borderId="1" xfId="0" applyNumberFormat="1" applyFont="1" applyFill="1" applyBorder="1" applyAlignment="1" applyProtection="1">
      <alignment vertical="center"/>
      <protection locked="0"/>
    </xf>
    <xf numFmtId="0" fontId="22" fillId="5" borderId="1" xfId="0" applyFont="1" applyFill="1" applyBorder="1" applyAlignment="1" applyProtection="1">
      <alignment vertical="center"/>
      <protection locked="0"/>
    </xf>
    <xf numFmtId="165" fontId="22" fillId="6" borderId="1" xfId="0" applyNumberFormat="1" applyFont="1" applyFill="1" applyBorder="1" applyAlignment="1" applyProtection="1">
      <alignment vertical="center"/>
      <protection locked="0"/>
    </xf>
    <xf numFmtId="0" fontId="19" fillId="5" borderId="5" xfId="0" applyFont="1" applyFill="1" applyBorder="1" applyAlignment="1" applyProtection="1">
      <alignment vertical="center"/>
      <protection locked="0"/>
    </xf>
    <xf numFmtId="0" fontId="24" fillId="5" borderId="0" xfId="0" applyFont="1" applyFill="1"/>
    <xf numFmtId="165" fontId="24" fillId="5" borderId="0" xfId="0" applyNumberFormat="1" applyFont="1" applyFill="1"/>
    <xf numFmtId="165" fontId="18" fillId="5" borderId="0" xfId="0" applyNumberFormat="1" applyFont="1" applyFill="1"/>
    <xf numFmtId="0" fontId="23" fillId="5" borderId="5" xfId="0" applyFont="1" applyFill="1" applyBorder="1" applyAlignment="1" applyProtection="1">
      <alignment vertical="center"/>
      <protection locked="0"/>
    </xf>
    <xf numFmtId="0" fontId="23" fillId="5" borderId="0" xfId="0" applyFont="1" applyFill="1" applyAlignment="1" applyProtection="1">
      <alignment vertical="center"/>
      <protection locked="0"/>
    </xf>
    <xf numFmtId="0" fontId="23" fillId="5" borderId="8" xfId="0" applyFont="1" applyFill="1" applyBorder="1" applyAlignment="1" applyProtection="1">
      <alignment horizontal="center" vertical="center"/>
      <protection locked="0"/>
    </xf>
    <xf numFmtId="0" fontId="21" fillId="5" borderId="0" xfId="0" applyFont="1" applyFill="1" applyAlignment="1" applyProtection="1">
      <alignment vertical="center"/>
      <protection locked="0"/>
    </xf>
    <xf numFmtId="165" fontId="20" fillId="5" borderId="0" xfId="0" applyNumberFormat="1" applyFont="1" applyFill="1"/>
    <xf numFmtId="10" fontId="20" fillId="5" borderId="0" xfId="0" applyNumberFormat="1" applyFont="1" applyFill="1"/>
    <xf numFmtId="0" fontId="19" fillId="5" borderId="0" xfId="0" applyFont="1" applyFill="1" applyAlignment="1" applyProtection="1">
      <alignment vertical="center"/>
      <protection locked="0"/>
    </xf>
    <xf numFmtId="0" fontId="17" fillId="5" borderId="6" xfId="0" applyFont="1" applyFill="1" applyBorder="1"/>
    <xf numFmtId="0" fontId="17" fillId="5" borderId="11" xfId="0" applyFont="1" applyFill="1" applyBorder="1"/>
    <xf numFmtId="0" fontId="17" fillId="5" borderId="7" xfId="0" applyFont="1" applyFill="1" applyBorder="1"/>
    <xf numFmtId="0" fontId="21" fillId="5" borderId="5" xfId="0" applyFont="1" applyFill="1" applyBorder="1" applyAlignment="1" applyProtection="1">
      <alignment vertical="center"/>
      <protection locked="0"/>
    </xf>
    <xf numFmtId="0" fontId="21" fillId="5" borderId="8" xfId="0" applyFont="1" applyFill="1" applyBorder="1" applyAlignment="1" applyProtection="1">
      <alignment horizontal="center" vertical="center"/>
      <protection locked="0"/>
    </xf>
    <xf numFmtId="0" fontId="22" fillId="5" borderId="0" xfId="0" applyFont="1" applyFill="1" applyAlignment="1" applyProtection="1">
      <alignment vertical="center"/>
      <protection locked="0"/>
    </xf>
    <xf numFmtId="0" fontId="17" fillId="5" borderId="9" xfId="0" applyFont="1" applyFill="1" applyBorder="1"/>
    <xf numFmtId="0" fontId="17" fillId="5" borderId="12" xfId="0" applyFont="1" applyFill="1" applyBorder="1"/>
    <xf numFmtId="0" fontId="17" fillId="5" borderId="10" xfId="0" applyFont="1" applyFill="1" applyBorder="1"/>
    <xf numFmtId="0" fontId="23" fillId="5" borderId="9" xfId="0" applyFont="1" applyFill="1" applyBorder="1"/>
    <xf numFmtId="165" fontId="23" fillId="5" borderId="12" xfId="0" applyNumberFormat="1" applyFont="1" applyFill="1" applyBorder="1"/>
    <xf numFmtId="165" fontId="23" fillId="5" borderId="10" xfId="0" applyNumberFormat="1" applyFont="1" applyFill="1" applyBorder="1"/>
    <xf numFmtId="165" fontId="25" fillId="5" borderId="0" xfId="0" applyNumberFormat="1" applyFont="1" applyFill="1" applyAlignment="1">
      <alignment horizontal="center" vertical="center"/>
    </xf>
    <xf numFmtId="165" fontId="12" fillId="5" borderId="0" xfId="0" applyNumberFormat="1" applyFont="1" applyFill="1" applyAlignment="1">
      <alignment horizontal="center" vertical="center"/>
    </xf>
    <xf numFmtId="10" fontId="12" fillId="5" borderId="0" xfId="0" applyNumberFormat="1" applyFont="1" applyFill="1" applyAlignment="1">
      <alignment horizontal="center" vertical="center"/>
    </xf>
    <xf numFmtId="0" fontId="12" fillId="5" borderId="0" xfId="0" applyFont="1" applyFill="1" applyAlignment="1">
      <alignment horizontal="left" vertical="center"/>
    </xf>
    <xf numFmtId="165" fontId="13" fillId="5" borderId="0" xfId="0" applyNumberFormat="1" applyFont="1" applyFill="1" applyAlignment="1">
      <alignment horizontal="center" vertical="center"/>
    </xf>
    <xf numFmtId="0" fontId="14" fillId="5" borderId="0" xfId="0" applyFont="1" applyFill="1" applyAlignment="1">
      <alignment horizontal="left" vertical="center"/>
    </xf>
    <xf numFmtId="165" fontId="14" fillId="5" borderId="0" xfId="0" applyNumberFormat="1" applyFont="1" applyFill="1" applyAlignment="1">
      <alignment horizontal="center" vertical="center"/>
    </xf>
    <xf numFmtId="0" fontId="12" fillId="0" borderId="0" xfId="0" applyFont="1"/>
    <xf numFmtId="165" fontId="14" fillId="0" borderId="0" xfId="0" applyNumberFormat="1" applyFont="1"/>
    <xf numFmtId="10" fontId="14" fillId="0" borderId="0" xfId="0" applyNumberFormat="1" applyFont="1"/>
    <xf numFmtId="164" fontId="0" fillId="0" borderId="0" xfId="0" applyNumberFormat="1"/>
    <xf numFmtId="10" fontId="0" fillId="0" borderId="0" xfId="0" applyNumberFormat="1"/>
    <xf numFmtId="2" fontId="0" fillId="0" borderId="0" xfId="0" applyNumberFormat="1"/>
    <xf numFmtId="170" fontId="0" fillId="0" borderId="0" xfId="0" applyNumberFormat="1"/>
    <xf numFmtId="0" fontId="26" fillId="5" borderId="0" xfId="0" applyFont="1" applyFill="1"/>
    <xf numFmtId="0" fontId="27" fillId="5" borderId="1" xfId="0" applyFont="1" applyFill="1" applyBorder="1" applyAlignment="1" applyProtection="1">
      <alignment vertical="center"/>
      <protection locked="0"/>
    </xf>
    <xf numFmtId="165" fontId="27" fillId="6" borderId="1" xfId="0" applyNumberFormat="1" applyFont="1" applyFill="1" applyBorder="1" applyAlignment="1" applyProtection="1">
      <alignment vertical="center"/>
      <protection locked="0"/>
    </xf>
    <xf numFmtId="0" fontId="28" fillId="5" borderId="1" xfId="0" applyFont="1" applyFill="1" applyBorder="1" applyAlignment="1" applyProtection="1">
      <alignment vertical="center"/>
      <protection locked="0"/>
    </xf>
    <xf numFmtId="0" fontId="20" fillId="8" borderId="7" xfId="0" applyFont="1" applyFill="1" applyBorder="1" applyAlignment="1" applyProtection="1">
      <alignment horizontal="center" vertical="center"/>
      <protection locked="0"/>
    </xf>
    <xf numFmtId="165" fontId="27" fillId="8" borderId="1" xfId="0" applyNumberFormat="1" applyFont="1" applyFill="1" applyBorder="1" applyAlignment="1" applyProtection="1">
      <alignment vertical="center"/>
      <protection locked="0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0" fillId="5" borderId="2" xfId="0" applyFont="1" applyFill="1" applyBorder="1" applyAlignment="1" applyProtection="1">
      <alignment horizontal="center" vertical="center"/>
      <protection locked="0"/>
    </xf>
    <xf numFmtId="0" fontId="20" fillId="5" borderId="3" xfId="0" applyFont="1" applyFill="1" applyBorder="1" applyAlignment="1" applyProtection="1">
      <alignment horizontal="center" vertical="center"/>
      <protection locked="0"/>
    </xf>
    <xf numFmtId="0" fontId="20" fillId="5" borderId="4" xfId="0" applyFont="1" applyFill="1" applyBorder="1" applyAlignment="1" applyProtection="1">
      <alignment horizontal="center" vertical="center"/>
      <protection locked="0"/>
    </xf>
    <xf numFmtId="0" fontId="20" fillId="5" borderId="9" xfId="0" applyFont="1" applyFill="1" applyBorder="1" applyAlignment="1" applyProtection="1">
      <alignment horizontal="center" vertical="center"/>
      <protection locked="0"/>
    </xf>
    <xf numFmtId="0" fontId="20" fillId="5" borderId="12" xfId="0" applyFont="1" applyFill="1" applyBorder="1" applyAlignment="1" applyProtection="1">
      <alignment horizontal="center" vertical="center"/>
      <protection locked="0"/>
    </xf>
    <xf numFmtId="0" fontId="20" fillId="5" borderId="10" xfId="0" applyFont="1" applyFill="1" applyBorder="1" applyAlignment="1" applyProtection="1">
      <alignment horizontal="center" vertical="center"/>
      <protection locked="0"/>
    </xf>
    <xf numFmtId="0" fontId="17" fillId="5" borderId="2" xfId="0" applyFont="1" applyFill="1" applyBorder="1" applyAlignment="1" applyProtection="1">
      <alignment horizontal="center" vertical="center"/>
      <protection locked="0"/>
    </xf>
    <xf numFmtId="0" fontId="17" fillId="5" borderId="3" xfId="0" applyFont="1" applyFill="1" applyBorder="1" applyAlignment="1" applyProtection="1">
      <alignment horizontal="center" vertical="center"/>
      <protection locked="0"/>
    </xf>
    <xf numFmtId="0" fontId="17" fillId="5" borderId="4" xfId="0" applyFont="1" applyFill="1" applyBorder="1" applyAlignment="1" applyProtection="1">
      <alignment horizontal="center" vertical="center"/>
      <protection locked="0"/>
    </xf>
    <xf numFmtId="0" fontId="17" fillId="6" borderId="3" xfId="0" applyFont="1" applyFill="1" applyBorder="1" applyAlignment="1" applyProtection="1">
      <alignment horizontal="center" vertical="center"/>
      <protection locked="0"/>
    </xf>
    <xf numFmtId="0" fontId="20" fillId="5" borderId="5" xfId="0" applyFont="1" applyFill="1" applyBorder="1" applyAlignment="1" applyProtection="1">
      <alignment horizontal="center" vertical="center"/>
      <protection locked="0"/>
    </xf>
    <xf numFmtId="0" fontId="20" fillId="6" borderId="0" xfId="0" applyFont="1" applyFill="1" applyAlignment="1" applyProtection="1">
      <alignment horizontal="center" vertical="center"/>
      <protection locked="0"/>
    </xf>
    <xf numFmtId="0" fontId="20" fillId="5" borderId="8" xfId="0" applyFont="1" applyFill="1" applyBorder="1" applyAlignment="1" applyProtection="1">
      <alignment horizontal="center" vertical="center"/>
      <protection locked="0"/>
    </xf>
    <xf numFmtId="0" fontId="19" fillId="5" borderId="0" xfId="0" applyFont="1" applyFill="1" applyAlignment="1">
      <alignment horizontal="center" vertical="center"/>
    </xf>
    <xf numFmtId="0" fontId="18" fillId="5" borderId="0" xfId="0" applyFont="1" applyFill="1" applyAlignment="1">
      <alignment horizontal="center" vertical="center"/>
    </xf>
    <xf numFmtId="0" fontId="14" fillId="5" borderId="0" xfId="0" applyFont="1" applyFill="1" applyAlignment="1">
      <alignment horizontal="center"/>
    </xf>
    <xf numFmtId="0" fontId="19" fillId="5" borderId="0" xfId="0" applyFont="1" applyFill="1" applyAlignment="1">
      <alignment horizontal="center"/>
    </xf>
    <xf numFmtId="165" fontId="21" fillId="8" borderId="1" xfId="0" applyNumberFormat="1" applyFont="1" applyFill="1" applyBorder="1" applyAlignment="1" applyProtection="1">
      <alignment vertical="center"/>
      <protection locked="0"/>
    </xf>
    <xf numFmtId="165" fontId="22" fillId="8" borderId="1" xfId="0" applyNumberFormat="1" applyFont="1" applyFill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28">
    <dxf>
      <font>
        <b/>
        <i/>
        <color rgb="FFC00000"/>
      </font>
    </dxf>
    <dxf>
      <font>
        <b/>
        <i/>
        <color rgb="FFC00000"/>
      </font>
    </dxf>
    <dxf>
      <font>
        <b/>
        <i/>
        <color rgb="FFC00000"/>
      </font>
    </dxf>
    <dxf>
      <font>
        <b/>
        <i/>
        <color rgb="FFC0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/>
        <color rgb="FFC00000"/>
      </font>
    </dxf>
    <dxf>
      <font>
        <b/>
        <i/>
        <color rgb="FFC00000"/>
      </font>
    </dxf>
    <dxf>
      <font>
        <b/>
        <i/>
        <color rgb="FFC00000"/>
      </font>
    </dxf>
    <dxf>
      <font>
        <b/>
        <i/>
        <color rgb="FFC00000"/>
      </font>
    </dxf>
    <dxf>
      <font>
        <b/>
        <i/>
        <color rgb="FFC00000"/>
      </font>
    </dxf>
    <dxf>
      <font>
        <b/>
        <i/>
        <color rgb="FFC00000"/>
      </font>
    </dxf>
    <dxf>
      <font>
        <b/>
        <i/>
        <color rgb="FFC00000"/>
      </font>
    </dxf>
    <dxf>
      <font>
        <b/>
        <i/>
        <color rgb="FFC00000"/>
      </font>
    </dxf>
    <dxf>
      <font>
        <b/>
        <i/>
        <color rgb="FFC00000"/>
      </font>
    </dxf>
    <dxf>
      <font>
        <b/>
        <i/>
        <color rgb="FFC00000"/>
      </font>
    </dxf>
    <dxf>
      <font>
        <b/>
        <i/>
        <color rgb="FFC00000"/>
      </font>
    </dxf>
    <dxf>
      <font>
        <b/>
        <i/>
        <color rgb="FFC00000"/>
      </font>
    </dxf>
    <dxf>
      <font>
        <b/>
        <i/>
        <color rgb="FFC00000"/>
      </font>
    </dxf>
    <dxf>
      <font>
        <b/>
        <i/>
        <color rgb="FFC00000"/>
      </font>
    </dxf>
    <dxf>
      <font>
        <b/>
        <i/>
        <color rgb="FFC00000"/>
      </font>
    </dxf>
    <dxf>
      <font>
        <b/>
        <i/>
        <color theme="5"/>
      </font>
    </dxf>
    <dxf>
      <font>
        <b/>
        <i/>
        <color theme="5"/>
      </font>
    </dxf>
    <dxf>
      <font>
        <b/>
        <i/>
        <color rgb="FFC00000"/>
      </font>
    </dxf>
    <dxf>
      <font>
        <b/>
        <i/>
        <color rgb="FFC00000"/>
      </font>
    </dxf>
    <dxf>
      <font>
        <b/>
        <i/>
        <color rgb="FFC0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CCFF"/>
      <color rgb="FFFFFF99"/>
      <color rgb="FFF8FDBB"/>
      <color rgb="FF339966"/>
      <color rgb="FF00CC99"/>
      <color rgb="FF00FFCC"/>
      <color rgb="FF009999"/>
      <color rgb="FFFF75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"/>
  <sheetViews>
    <sheetView workbookViewId="0">
      <selection activeCell="B9" sqref="B9"/>
    </sheetView>
  </sheetViews>
  <sheetFormatPr defaultRowHeight="14.4" x14ac:dyDescent="0.3"/>
  <cols>
    <col min="1" max="1" width="40.6640625" bestFit="1" customWidth="1"/>
    <col min="2" max="2" width="12" bestFit="1" customWidth="1"/>
    <col min="3" max="3" width="12" customWidth="1"/>
    <col min="6" max="6" width="36.5546875" bestFit="1" customWidth="1"/>
    <col min="7" max="8" width="11.5546875" bestFit="1" customWidth="1"/>
    <col min="10" max="10" width="17" bestFit="1" customWidth="1"/>
    <col min="11" max="11" width="16.44140625" bestFit="1" customWidth="1"/>
    <col min="12" max="12" width="17.5546875" bestFit="1" customWidth="1"/>
  </cols>
  <sheetData>
    <row r="1" spans="1:12" x14ac:dyDescent="0.3">
      <c r="A1" s="108" t="s">
        <v>87</v>
      </c>
      <c r="B1" s="108"/>
      <c r="C1" s="16"/>
      <c r="D1" t="s">
        <v>95</v>
      </c>
    </row>
    <row r="2" spans="1:12" x14ac:dyDescent="0.3">
      <c r="A2" t="s">
        <v>0</v>
      </c>
      <c r="B2">
        <v>0.31557299999999999</v>
      </c>
      <c r="D2">
        <v>0.31557299999999999</v>
      </c>
    </row>
    <row r="3" spans="1:12" x14ac:dyDescent="0.3">
      <c r="A3" t="s">
        <v>1</v>
      </c>
      <c r="B3">
        <v>0.5</v>
      </c>
      <c r="D3">
        <v>0.5</v>
      </c>
      <c r="F3" s="108" t="s">
        <v>93</v>
      </c>
      <c r="G3" s="108"/>
      <c r="H3" s="108"/>
      <c r="I3" s="108"/>
      <c r="J3" s="108"/>
      <c r="K3" s="108"/>
    </row>
    <row r="4" spans="1:12" x14ac:dyDescent="0.3">
      <c r="A4" t="s">
        <v>2</v>
      </c>
      <c r="B4">
        <v>2.5000000000000001E-2</v>
      </c>
      <c r="D4">
        <v>2.5000000000000001E-2</v>
      </c>
      <c r="F4" t="s">
        <v>94</v>
      </c>
      <c r="G4" t="s">
        <v>96</v>
      </c>
      <c r="H4" t="s">
        <v>97</v>
      </c>
      <c r="J4" s="108" t="s">
        <v>101</v>
      </c>
      <c r="K4" s="108"/>
    </row>
    <row r="5" spans="1:12" x14ac:dyDescent="0.3">
      <c r="A5" t="s">
        <v>88</v>
      </c>
      <c r="B5">
        <f>1+B4</f>
        <v>1.0249999999999999</v>
      </c>
      <c r="D5">
        <f>1+D4</f>
        <v>1.0249999999999999</v>
      </c>
      <c r="J5" t="s">
        <v>102</v>
      </c>
      <c r="K5" t="s">
        <v>103</v>
      </c>
      <c r="L5" t="s">
        <v>107</v>
      </c>
    </row>
    <row r="6" spans="1:12" x14ac:dyDescent="0.3">
      <c r="A6" t="s">
        <v>108</v>
      </c>
      <c r="B6">
        <f>1/B5</f>
        <v>0.97560975609756106</v>
      </c>
      <c r="D6">
        <f>1/D5</f>
        <v>0.97560975609756106</v>
      </c>
      <c r="F6" s="21" t="s">
        <v>11</v>
      </c>
      <c r="G6" s="22">
        <f>'POINT 1'!B15</f>
        <v>86.615097825333862</v>
      </c>
      <c r="H6" s="22">
        <f>POINT2!B15</f>
        <v>87.269481350380872</v>
      </c>
      <c r="I6" s="22"/>
      <c r="J6" s="30">
        <f>H6-G6</f>
        <v>0.65438352504700958</v>
      </c>
      <c r="K6" s="31">
        <f>J6/G6</f>
        <v>7.5550745941155122E-3</v>
      </c>
      <c r="L6">
        <f>RANK(K6,$K$6:$K$8)</f>
        <v>1</v>
      </c>
    </row>
    <row r="7" spans="1:12" x14ac:dyDescent="0.3">
      <c r="A7" t="s">
        <v>3</v>
      </c>
      <c r="B7">
        <f>EXP(B2*SQRT(B3))</f>
        <v>1.2500003211815069</v>
      </c>
      <c r="D7">
        <f>EXP(D2*SQRT(D3))</f>
        <v>1.2500003211815069</v>
      </c>
      <c r="F7" s="4" t="s">
        <v>16</v>
      </c>
      <c r="G7" s="5">
        <f>'POINT 1'!B16</f>
        <v>4.9078000115864562</v>
      </c>
      <c r="H7" s="5">
        <f>POINT2!B18</f>
        <v>4.5806082490629549</v>
      </c>
      <c r="I7" s="5"/>
      <c r="J7" s="30">
        <f t="shared" ref="J7:J11" si="0">H7-G7</f>
        <v>-0.32719176252350124</v>
      </c>
      <c r="K7" s="31">
        <f>J7/G7</f>
        <v>-6.666770482722581E-2</v>
      </c>
      <c r="L7">
        <f t="shared" ref="L7:L8" si="1">RANK(K7,$K$6:$K$8)</f>
        <v>3</v>
      </c>
    </row>
    <row r="8" spans="1:12" x14ac:dyDescent="0.3">
      <c r="A8" t="s">
        <v>4</v>
      </c>
      <c r="B8">
        <f>1/B7</f>
        <v>0.79999979444388836</v>
      </c>
      <c r="D8">
        <f>1/D7</f>
        <v>0.79999979444388836</v>
      </c>
      <c r="F8" s="19" t="s">
        <v>123</v>
      </c>
      <c r="G8" s="20">
        <f>'POINT 1'!B19</f>
        <v>8.4771021630796906</v>
      </c>
      <c r="H8" s="20">
        <f>POINT2!B19</f>
        <v>8.1499104005561875</v>
      </c>
      <c r="I8" s="20"/>
      <c r="J8" s="30">
        <f t="shared" si="0"/>
        <v>-0.32719176252350302</v>
      </c>
      <c r="K8" s="31">
        <f>J8/G8</f>
        <v>-3.859712390261389E-2</v>
      </c>
      <c r="L8">
        <f t="shared" si="1"/>
        <v>2</v>
      </c>
    </row>
    <row r="9" spans="1:12" x14ac:dyDescent="0.3">
      <c r="A9" t="s">
        <v>5</v>
      </c>
      <c r="B9" s="98">
        <f>(B5-B8)/(B7-B8)</f>
        <v>0.49999987152748876</v>
      </c>
      <c r="C9" s="98"/>
      <c r="D9" s="98">
        <f>(D5-D8)/(D7-D8)</f>
        <v>0.49999987152748876</v>
      </c>
      <c r="F9" t="s">
        <v>40</v>
      </c>
      <c r="G9" s="1">
        <f>'POINT 1'!B21</f>
        <v>0</v>
      </c>
      <c r="H9" s="1">
        <f>POINT2!B21</f>
        <v>0</v>
      </c>
      <c r="I9" s="1"/>
      <c r="J9" s="1">
        <f t="shared" si="0"/>
        <v>0</v>
      </c>
      <c r="K9" s="99"/>
    </row>
    <row r="10" spans="1:12" x14ac:dyDescent="0.3">
      <c r="A10" t="s">
        <v>6</v>
      </c>
      <c r="B10" s="98">
        <f>(B7-B5)/(B7-B8)</f>
        <v>0.5000001284725113</v>
      </c>
      <c r="C10" s="98"/>
      <c r="D10" s="98">
        <f>(D7-D5)/(D7-D8)</f>
        <v>0.5000001284725113</v>
      </c>
      <c r="F10" t="s">
        <v>39</v>
      </c>
      <c r="G10" s="1">
        <f>'POINT 1'!B22</f>
        <v>115</v>
      </c>
      <c r="H10" s="1">
        <f>POINT2!B22</f>
        <v>117.75004817723223</v>
      </c>
      <c r="I10" s="1"/>
      <c r="J10" s="1">
        <f t="shared" si="0"/>
        <v>2.7500481772322303</v>
      </c>
      <c r="K10" s="99"/>
    </row>
    <row r="11" spans="1:12" x14ac:dyDescent="0.3">
      <c r="A11" t="s">
        <v>14</v>
      </c>
      <c r="B11" s="1">
        <v>15</v>
      </c>
      <c r="C11" s="1"/>
      <c r="D11" s="1">
        <v>15</v>
      </c>
      <c r="F11" s="4" t="s">
        <v>41</v>
      </c>
      <c r="G11" s="5">
        <f>'POINT 1'!B26</f>
        <v>9.8156000231729124</v>
      </c>
      <c r="H11" s="5">
        <f>POINT2!B26</f>
        <v>9.1612164981259099</v>
      </c>
      <c r="I11" s="5"/>
      <c r="J11" s="5">
        <f t="shared" si="0"/>
        <v>-0.65438352504700248</v>
      </c>
      <c r="K11" s="27">
        <f>J11/G11</f>
        <v>-6.666770482722581E-2</v>
      </c>
    </row>
    <row r="12" spans="1:12" x14ac:dyDescent="0.3">
      <c r="A12" t="s">
        <v>15</v>
      </c>
      <c r="B12" s="1">
        <v>100</v>
      </c>
      <c r="C12" s="1"/>
      <c r="D12" s="1">
        <v>100</v>
      </c>
      <c r="F12" s="23" t="s">
        <v>125</v>
      </c>
      <c r="G12" s="23" t="b">
        <f>'POINT 1'!B27</f>
        <v>1</v>
      </c>
      <c r="H12" s="24" t="b">
        <f>POINT2!B27</f>
        <v>1</v>
      </c>
      <c r="I12" s="24"/>
      <c r="K12" s="24" t="b">
        <f>IF(K7=K11,TRUE,FALSE)</f>
        <v>1</v>
      </c>
    </row>
    <row r="13" spans="1:12" x14ac:dyDescent="0.3">
      <c r="A13" t="s">
        <v>47</v>
      </c>
      <c r="B13">
        <v>1</v>
      </c>
      <c r="D13">
        <v>1</v>
      </c>
      <c r="F13" t="s">
        <v>99</v>
      </c>
      <c r="G13" s="100">
        <f>G6/SUM(G7+G8)</f>
        <v>6.471104285638476</v>
      </c>
      <c r="H13" s="100">
        <f>H6/SUM(H7+H8)</f>
        <v>6.8551395078465012</v>
      </c>
      <c r="I13" s="100"/>
      <c r="J13" s="100">
        <f>H13-G13</f>
        <v>0.38403522220802522</v>
      </c>
      <c r="K13" s="26">
        <f>J13/G13</f>
        <v>5.934616492896376E-2</v>
      </c>
    </row>
    <row r="14" spans="1:12" x14ac:dyDescent="0.3">
      <c r="A14" t="s">
        <v>89</v>
      </c>
      <c r="B14">
        <v>1</v>
      </c>
      <c r="D14">
        <v>1</v>
      </c>
      <c r="F14" s="23" t="s">
        <v>104</v>
      </c>
      <c r="G14" s="28">
        <f>SUM(G7:G8)</f>
        <v>13.384902174666147</v>
      </c>
      <c r="H14" s="28">
        <f>SUM(H7:H8)</f>
        <v>12.730518649619142</v>
      </c>
      <c r="I14" s="23"/>
      <c r="J14" s="24">
        <f>H14-G14</f>
        <v>-0.65438352504700426</v>
      </c>
      <c r="K14" s="29">
        <f>J14/G14</f>
        <v>-4.888967558429886E-2</v>
      </c>
    </row>
    <row r="15" spans="1:12" x14ac:dyDescent="0.3">
      <c r="A15" t="s">
        <v>122</v>
      </c>
      <c r="B15">
        <f>B13/SUM(B13:B14)</f>
        <v>0.5</v>
      </c>
      <c r="D15">
        <f>D13/SUM(D13:D14)</f>
        <v>0.5</v>
      </c>
      <c r="F15" s="23"/>
      <c r="G15" s="23"/>
    </row>
    <row r="16" spans="1:12" x14ac:dyDescent="0.3">
      <c r="A16" t="s">
        <v>90</v>
      </c>
      <c r="B16">
        <v>3</v>
      </c>
      <c r="D16">
        <v>3</v>
      </c>
      <c r="F16" s="23"/>
      <c r="G16" s="101"/>
      <c r="H16" s="101"/>
    </row>
    <row r="17" spans="1:8" x14ac:dyDescent="0.3">
      <c r="A17" t="s">
        <v>48</v>
      </c>
      <c r="B17">
        <f>1/SUM(B13+B14+B16)</f>
        <v>0.2</v>
      </c>
      <c r="D17">
        <f>1/SUM(D13+D14+D16)</f>
        <v>0.2</v>
      </c>
      <c r="F17" s="4"/>
      <c r="G17" s="101"/>
      <c r="H17" s="101"/>
    </row>
    <row r="18" spans="1:8" x14ac:dyDescent="0.3">
      <c r="A18" t="s">
        <v>91</v>
      </c>
      <c r="B18">
        <f>B16/SUM(B13+B16)</f>
        <v>0.75</v>
      </c>
      <c r="D18">
        <f>D16/SUM(D13+D16)</f>
        <v>0.75</v>
      </c>
      <c r="F18" s="23"/>
    </row>
    <row r="19" spans="1:8" x14ac:dyDescent="0.3">
      <c r="A19" t="s">
        <v>98</v>
      </c>
      <c r="B19">
        <f>B16/SUM(B16+B14+B13)</f>
        <v>0.6</v>
      </c>
      <c r="D19">
        <f>D16/SUM(D16+D14+D13)</f>
        <v>0.6</v>
      </c>
    </row>
  </sheetData>
  <mergeCells count="3">
    <mergeCell ref="A1:B1"/>
    <mergeCell ref="F3:K3"/>
    <mergeCell ref="J4:K4"/>
  </mergeCells>
  <conditionalFormatting sqref="J6:K8">
    <cfRule type="cellIs" dxfId="27" priority="1" operator="greaterThan">
      <formula>0</formula>
    </cfRule>
    <cfRule type="cellIs" dxfId="26" priority="2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5"/>
  <sheetViews>
    <sheetView topLeftCell="A12" workbookViewId="0">
      <selection activeCell="B28" sqref="B28"/>
    </sheetView>
  </sheetViews>
  <sheetFormatPr defaultRowHeight="14.4" x14ac:dyDescent="0.3"/>
  <cols>
    <col min="1" max="1" width="36.5546875" bestFit="1" customWidth="1"/>
    <col min="2" max="2" width="22.21875" bestFit="1" customWidth="1"/>
    <col min="3" max="3" width="33.109375" bestFit="1" customWidth="1"/>
    <col min="4" max="4" width="24.21875" bestFit="1" customWidth="1"/>
    <col min="5" max="5" width="36.6640625" bestFit="1" customWidth="1"/>
    <col min="6" max="6" width="19.21875" style="1" bestFit="1" customWidth="1"/>
  </cols>
  <sheetData>
    <row r="1" spans="1:6" x14ac:dyDescent="0.3">
      <c r="A1" t="s">
        <v>8</v>
      </c>
      <c r="C1" t="s">
        <v>9</v>
      </c>
      <c r="E1" t="s">
        <v>10</v>
      </c>
    </row>
    <row r="3" spans="1:6" x14ac:dyDescent="0.3">
      <c r="E3" t="s">
        <v>30</v>
      </c>
      <c r="F3" s="1">
        <f>D6*Summary!B7</f>
        <v>156.25008029538705</v>
      </c>
    </row>
    <row r="4" spans="1:6" x14ac:dyDescent="0.3">
      <c r="E4" s="21" t="s">
        <v>31</v>
      </c>
      <c r="F4" s="22">
        <f>MIN(F3,Summary!$B$12)</f>
        <v>100</v>
      </c>
    </row>
    <row r="5" spans="1:6" x14ac:dyDescent="0.3">
      <c r="E5" s="4" t="s">
        <v>16</v>
      </c>
      <c r="F5" s="5">
        <f>MAX((1-Summary!B15)*(F3-F4+Summary!$B$11)-Summary!$B$11,0)</f>
        <v>20.625040147693525</v>
      </c>
    </row>
    <row r="6" spans="1:6" x14ac:dyDescent="0.3">
      <c r="C6" t="s">
        <v>18</v>
      </c>
      <c r="D6" s="1">
        <f>B14*Summary!B7</f>
        <v>125.0000321181507</v>
      </c>
      <c r="E6" s="19" t="s">
        <v>92</v>
      </c>
      <c r="F6" s="20">
        <f>F3-F4-F5</f>
        <v>35.625040147693525</v>
      </c>
    </row>
    <row r="7" spans="1:6" x14ac:dyDescent="0.3">
      <c r="C7" s="21" t="s">
        <v>19</v>
      </c>
      <c r="D7" s="22">
        <f>(F4*Summary!$B$9+F11*Summary!$B$10)*Summary!$B$6</f>
        <v>97.560975609756113</v>
      </c>
    </row>
    <row r="8" spans="1:6" x14ac:dyDescent="0.3">
      <c r="C8" t="s">
        <v>20</v>
      </c>
      <c r="D8" s="18">
        <f>(F5*Summary!$B$9+F12*Summary!$B$10)*Summary!$B$6</f>
        <v>10.060992608874207</v>
      </c>
    </row>
    <row r="9" spans="1:6" x14ac:dyDescent="0.3">
      <c r="C9" t="s">
        <v>21</v>
      </c>
      <c r="D9" s="1">
        <f>MAX((1-Summary!B15)*(D6-D7+Summary!$B$11)-Summary!$B$11,0)</f>
        <v>6.2195282541972929</v>
      </c>
    </row>
    <row r="10" spans="1:6" x14ac:dyDescent="0.3">
      <c r="C10" s="4" t="s">
        <v>22</v>
      </c>
      <c r="D10" s="5">
        <f>MAX(D8,D9)</f>
        <v>10.060992608874207</v>
      </c>
      <c r="E10" t="s">
        <v>32</v>
      </c>
      <c r="F10" s="1">
        <f>D6*Summary!B8</f>
        <v>100</v>
      </c>
    </row>
    <row r="11" spans="1:6" x14ac:dyDescent="0.3">
      <c r="C11" s="19" t="s">
        <v>23</v>
      </c>
      <c r="D11" s="20">
        <f>(F6*Summary!$B$9+F13*Summary!$B$10)*Summary!$B$6</f>
        <v>17.378063899520384</v>
      </c>
      <c r="E11" s="21" t="s">
        <v>33</v>
      </c>
      <c r="F11" s="22">
        <f>MIN(F10,Summary!$B$12)</f>
        <v>100</v>
      </c>
    </row>
    <row r="12" spans="1:6" x14ac:dyDescent="0.3">
      <c r="C12" s="19" t="s">
        <v>24</v>
      </c>
      <c r="D12" s="20" t="b">
        <f>IF(D11=D6-D7-D10,TRUE,D11-D6+D7+D10)</f>
        <v>1</v>
      </c>
      <c r="E12" s="4" t="s">
        <v>16</v>
      </c>
      <c r="F12" s="5">
        <f>MAX((1-Summary!B15)*(F10-F11+Summary!$B$11)-Summary!$B$11,0)</f>
        <v>0</v>
      </c>
    </row>
    <row r="13" spans="1:6" x14ac:dyDescent="0.3">
      <c r="C13" t="s">
        <v>40</v>
      </c>
      <c r="D13" s="1">
        <f>MAX(D9-D8,0)</f>
        <v>0</v>
      </c>
      <c r="E13" s="19" t="s">
        <v>92</v>
      </c>
      <c r="F13" s="20">
        <f>F10-F11-F12</f>
        <v>0</v>
      </c>
    </row>
    <row r="14" spans="1:6" x14ac:dyDescent="0.3">
      <c r="A14" t="s">
        <v>7</v>
      </c>
      <c r="B14" s="1">
        <v>100</v>
      </c>
      <c r="D14" s="1"/>
      <c r="E14" s="4"/>
      <c r="F14" s="5"/>
    </row>
    <row r="15" spans="1:6" x14ac:dyDescent="0.3">
      <c r="A15" s="21" t="s">
        <v>11</v>
      </c>
      <c r="B15" s="22">
        <f>(D7*Summary!$B$9+D23*Summary!$B$10)*Summary!$B$6</f>
        <v>86.615097825333862</v>
      </c>
    </row>
    <row r="16" spans="1:6" x14ac:dyDescent="0.3">
      <c r="A16" t="s">
        <v>13</v>
      </c>
      <c r="B16" s="18">
        <f>(D10*Summary!$B$9+D26*Summary!$B$10)*Summary!$B$6</f>
        <v>4.9078000115864562</v>
      </c>
    </row>
    <row r="17" spans="1:6" x14ac:dyDescent="0.3">
      <c r="A17" t="s">
        <v>12</v>
      </c>
      <c r="B17" s="1">
        <f>MAX((1-Summary!B15)*(B14-B15+Summary!$B$11)-Summary!$B$11,0)</f>
        <v>0</v>
      </c>
      <c r="E17" s="2"/>
      <c r="F17" s="3"/>
    </row>
    <row r="18" spans="1:6" x14ac:dyDescent="0.3">
      <c r="A18" s="4" t="s">
        <v>16</v>
      </c>
      <c r="B18" s="5">
        <f>MAX(B16,B17)</f>
        <v>4.9078000115864562</v>
      </c>
    </row>
    <row r="19" spans="1:6" x14ac:dyDescent="0.3">
      <c r="A19" s="19" t="s">
        <v>105</v>
      </c>
      <c r="B19" s="20">
        <f>(D11*Summary!$B$9+D27*Summary!$B$10)*Summary!$B$6</f>
        <v>8.4771021630796906</v>
      </c>
      <c r="C19" s="17"/>
    </row>
    <row r="20" spans="1:6" x14ac:dyDescent="0.3">
      <c r="A20" s="19" t="s">
        <v>106</v>
      </c>
      <c r="B20" s="20">
        <f>IF(B19=B14-B15-B18,TRUE,B19-B14+B15+B18)</f>
        <v>1.0658141036401503E-14</v>
      </c>
      <c r="C20" s="25"/>
      <c r="E20" t="s">
        <v>35</v>
      </c>
      <c r="F20" s="1">
        <f>D22*Summary!B7</f>
        <v>100</v>
      </c>
    </row>
    <row r="21" spans="1:6" x14ac:dyDescent="0.3">
      <c r="A21" t="s">
        <v>40</v>
      </c>
      <c r="B21" s="1">
        <f>MAX(B17-B16,(D13*Summary!$B$9+D29*Summary!$B$10)*Summary!$B$6)</f>
        <v>0</v>
      </c>
      <c r="D21" s="1"/>
      <c r="E21" s="21" t="s">
        <v>36</v>
      </c>
      <c r="F21" s="22">
        <f>MIN(F20,Summary!$B$12)</f>
        <v>100</v>
      </c>
    </row>
    <row r="22" spans="1:6" x14ac:dyDescent="0.3">
      <c r="A22" t="s">
        <v>39</v>
      </c>
      <c r="B22" s="1">
        <f>Summary!B12+Summary!B11*Summary!B13</f>
        <v>115</v>
      </c>
      <c r="C22" t="s">
        <v>25</v>
      </c>
      <c r="D22" s="1">
        <f>B14*Summary!B8</f>
        <v>79.999979444388842</v>
      </c>
      <c r="E22" s="4" t="s">
        <v>16</v>
      </c>
      <c r="F22" s="5">
        <f>MAX((1-Summary!B15)*(F20-F21+Summary!$B$11)-Summary!$B$11,0)</f>
        <v>0</v>
      </c>
    </row>
    <row r="23" spans="1:6" x14ac:dyDescent="0.3">
      <c r="B23" s="1"/>
      <c r="C23" s="21" t="s">
        <v>26</v>
      </c>
      <c r="D23" s="22">
        <f>(F20*Summary!$B$9+F27*Summary!$B$10)*Summary!$B$6</f>
        <v>79.999979444388842</v>
      </c>
      <c r="E23" s="19" t="s">
        <v>92</v>
      </c>
      <c r="F23" s="20">
        <f>F20-F21-F22</f>
        <v>0</v>
      </c>
    </row>
    <row r="24" spans="1:6" x14ac:dyDescent="0.3">
      <c r="C24" t="s">
        <v>27</v>
      </c>
      <c r="D24" s="18">
        <f>(F22*Summary!$B$9+F28*Summary!$B$10)*Summary!$B$6</f>
        <v>0</v>
      </c>
    </row>
    <row r="25" spans="1:6" x14ac:dyDescent="0.3">
      <c r="C25" t="s">
        <v>28</v>
      </c>
      <c r="D25" s="1">
        <f>MAX(0.5*(D22-D23+Summary!$B$11)-Summary!$B$11,0)</f>
        <v>0</v>
      </c>
    </row>
    <row r="26" spans="1:6" x14ac:dyDescent="0.3">
      <c r="A26" s="4" t="s">
        <v>41</v>
      </c>
      <c r="B26" s="5">
        <f>'AM Call-from class'!F12</f>
        <v>9.8156000231729124</v>
      </c>
      <c r="C26" s="4" t="s">
        <v>29</v>
      </c>
      <c r="D26" s="5">
        <f>MAX(D24,D25)</f>
        <v>0</v>
      </c>
      <c r="E26" t="s">
        <v>37</v>
      </c>
      <c r="F26" s="1">
        <f>D22*Summary!B8</f>
        <v>63.999967111026365</v>
      </c>
    </row>
    <row r="27" spans="1:6" x14ac:dyDescent="0.3">
      <c r="A27" s="23" t="s">
        <v>124</v>
      </c>
      <c r="B27" s="24" t="b">
        <f>IF(B18/B26=(1-Summary!B15),TRUE,"WARNING")</f>
        <v>1</v>
      </c>
      <c r="C27" s="19" t="s">
        <v>34</v>
      </c>
      <c r="D27" s="20">
        <f>(F23*Summary!$B$9+F29*Summary!$B$10)*Summary!$B$6</f>
        <v>0</v>
      </c>
      <c r="E27" s="21" t="s">
        <v>38</v>
      </c>
      <c r="F27" s="22">
        <f>MIN(F26,Summary!$B$12)</f>
        <v>63.999967111026365</v>
      </c>
    </row>
    <row r="28" spans="1:6" x14ac:dyDescent="0.3">
      <c r="C28" s="19" t="s">
        <v>52</v>
      </c>
      <c r="D28" s="20" t="b">
        <f>IF(D27=D22-D23-D26,TRUE,D27-D22+D23+D26)</f>
        <v>1</v>
      </c>
      <c r="E28" s="4" t="s">
        <v>16</v>
      </c>
      <c r="F28" s="5">
        <f>MAX((1-Summary!B15)*(F26-F27+Summary!$B$11)-Summary!$B$11,0)</f>
        <v>0</v>
      </c>
    </row>
    <row r="29" spans="1:6" x14ac:dyDescent="0.3">
      <c r="C29" t="s">
        <v>40</v>
      </c>
      <c r="D29" s="1">
        <f>MAX(D25-D24,0)</f>
        <v>0</v>
      </c>
      <c r="E29" s="19" t="s">
        <v>92</v>
      </c>
      <c r="F29" s="20">
        <f>F26-F27-F28</f>
        <v>0</v>
      </c>
    </row>
    <row r="30" spans="1:6" x14ac:dyDescent="0.3">
      <c r="D30" s="1"/>
      <c r="E30" s="4"/>
      <c r="F30" s="5"/>
    </row>
    <row r="33" spans="1:1" x14ac:dyDescent="0.3">
      <c r="A33" s="16"/>
    </row>
    <row r="35" spans="1:1" x14ac:dyDescent="0.3">
      <c r="A35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3"/>
  <sheetViews>
    <sheetView topLeftCell="E1" workbookViewId="0">
      <selection activeCell="F5" sqref="F5"/>
    </sheetView>
  </sheetViews>
  <sheetFormatPr defaultRowHeight="14.4" x14ac:dyDescent="0.3"/>
  <cols>
    <col min="1" max="1" width="36.109375" bestFit="1" customWidth="1"/>
    <col min="2" max="2" width="22.88671875" bestFit="1" customWidth="1"/>
    <col min="3" max="3" width="33.109375" bestFit="1" customWidth="1"/>
    <col min="4" max="4" width="31.5546875" bestFit="1" customWidth="1"/>
    <col min="5" max="5" width="24.21875" bestFit="1" customWidth="1"/>
    <col min="6" max="6" width="24.21875" customWidth="1"/>
    <col min="7" max="7" width="30.109375" bestFit="1" customWidth="1"/>
    <col min="8" max="8" width="15.88671875" bestFit="1" customWidth="1"/>
    <col min="9" max="9" width="19.44140625" bestFit="1" customWidth="1"/>
    <col min="10" max="10" width="34.21875" bestFit="1" customWidth="1"/>
  </cols>
  <sheetData>
    <row r="1" spans="1:11" x14ac:dyDescent="0.3">
      <c r="A1" t="s">
        <v>8</v>
      </c>
      <c r="C1" t="s">
        <v>9</v>
      </c>
      <c r="E1" t="s">
        <v>10</v>
      </c>
      <c r="F1" s="1"/>
      <c r="G1" s="108" t="s">
        <v>53</v>
      </c>
      <c r="H1" s="108"/>
      <c r="I1" s="108"/>
      <c r="J1" s="108"/>
    </row>
    <row r="2" spans="1:11" x14ac:dyDescent="0.3">
      <c r="F2" s="1"/>
    </row>
    <row r="3" spans="1:11" x14ac:dyDescent="0.3">
      <c r="E3" t="s">
        <v>30</v>
      </c>
      <c r="F3" s="1">
        <f>D6*Summary!B7</f>
        <v>156.25008029538705</v>
      </c>
      <c r="H3" t="s">
        <v>46</v>
      </c>
      <c r="I3" t="s">
        <v>16</v>
      </c>
      <c r="J3" t="s">
        <v>51</v>
      </c>
    </row>
    <row r="4" spans="1:11" x14ac:dyDescent="0.3">
      <c r="E4" s="21" t="s">
        <v>31</v>
      </c>
      <c r="F4" s="22">
        <f>MAX(H8,H9)</f>
        <v>102.75004817723223</v>
      </c>
      <c r="G4" t="s">
        <v>42</v>
      </c>
      <c r="H4" s="1">
        <f>Summary!$B$19*(POINT2!F3+Summary!$B$11)</f>
        <v>102.75004817723223</v>
      </c>
      <c r="I4" s="1">
        <f>MAX(Summary!$B$17*(F3+Summary!$B$11)-Summary!$B$11,0)</f>
        <v>19.25001605907741</v>
      </c>
      <c r="J4" s="109" t="str">
        <f>IF(I4&gt;I5," warrant killed"," warrant Not killed")</f>
        <v xml:space="preserve"> warrant killed</v>
      </c>
      <c r="K4" s="1"/>
    </row>
    <row r="5" spans="1:11" x14ac:dyDescent="0.3">
      <c r="E5" s="4" t="s">
        <v>16</v>
      </c>
      <c r="F5" s="5">
        <f>MAX((1-Summary!B15)*(F3-F4+Summary!$B$11)-Summary!$B$11,0)</f>
        <v>19.25001605907741</v>
      </c>
      <c r="G5" t="s">
        <v>43</v>
      </c>
      <c r="H5" s="1">
        <f>Summary!$B$18*POINT2!F3</f>
        <v>117.18756022154028</v>
      </c>
      <c r="I5" s="1">
        <v>0</v>
      </c>
      <c r="J5" s="109"/>
    </row>
    <row r="6" spans="1:11" x14ac:dyDescent="0.3">
      <c r="C6" t="s">
        <v>18</v>
      </c>
      <c r="D6" s="1">
        <f>B14*Summary!B7</f>
        <v>125.0000321181507</v>
      </c>
      <c r="E6" s="19" t="s">
        <v>92</v>
      </c>
      <c r="F6" s="20">
        <f>F3-F4-F5</f>
        <v>34.25001605907741</v>
      </c>
      <c r="G6" t="s">
        <v>44</v>
      </c>
      <c r="H6" s="1">
        <f>MIN(F3+Summary!$B$11,Summary!$B$12)</f>
        <v>100</v>
      </c>
      <c r="I6" s="1">
        <f>MAX((1-Summary!$B$15)*(F3-H6+Summary!$B$11)-Summary!$B$11,0)</f>
        <v>20.625040147693525</v>
      </c>
      <c r="J6" s="109" t="str">
        <f>IF(I6&gt;I7,"warrant killed","warrant Not killed")</f>
        <v>warrant killed</v>
      </c>
    </row>
    <row r="7" spans="1:11" x14ac:dyDescent="0.3">
      <c r="C7" s="21" t="s">
        <v>19</v>
      </c>
      <c r="D7" s="22">
        <f>(F4*Summary!$B$9+F11*Summary!$B$10)*Summary!$B$6</f>
        <v>98.902462180790764</v>
      </c>
      <c r="F7" s="1"/>
      <c r="G7" t="s">
        <v>45</v>
      </c>
      <c r="H7" s="1">
        <f>MIN(F3,Summary!$B$12)</f>
        <v>100</v>
      </c>
      <c r="I7" s="1">
        <v>0</v>
      </c>
      <c r="J7" s="109"/>
      <c r="K7" s="17"/>
    </row>
    <row r="8" spans="1:11" x14ac:dyDescent="0.3">
      <c r="C8" t="s">
        <v>20</v>
      </c>
      <c r="D8" s="18">
        <f>(F5*Summary!$B$9+F12*Summary!$B$10)*Summary!$B$6</f>
        <v>9.3902493233568798</v>
      </c>
      <c r="F8" s="1"/>
      <c r="G8" t="s">
        <v>49</v>
      </c>
      <c r="H8" s="1">
        <f>IF(J4=" warrant killed",H4,H5)</f>
        <v>102.75004817723223</v>
      </c>
      <c r="J8" s="109" t="str">
        <f>IF(H8&gt;H9,CONCATENATE("bond converted, ",J4),CONCATENATE("bond not converted, ",J6))</f>
        <v>bond converted,  warrant killed</v>
      </c>
    </row>
    <row r="9" spans="1:11" x14ac:dyDescent="0.3">
      <c r="C9" t="s">
        <v>21</v>
      </c>
      <c r="D9" s="1">
        <f>MAX((1-Summary!B15)*(D6-D7+Summary!$B$11)-Summary!$B$11,0)</f>
        <v>5.5487849686799677</v>
      </c>
      <c r="F9" s="1"/>
      <c r="G9" t="s">
        <v>50</v>
      </c>
      <c r="H9" s="1">
        <f>IF(J6="warrant killed",H6,H7)</f>
        <v>100</v>
      </c>
      <c r="J9" s="109"/>
    </row>
    <row r="10" spans="1:11" x14ac:dyDescent="0.3">
      <c r="C10" s="4" t="s">
        <v>22</v>
      </c>
      <c r="D10" s="5">
        <f>MAX(D8,D9)</f>
        <v>9.3902493233568798</v>
      </c>
      <c r="E10" t="s">
        <v>32</v>
      </c>
      <c r="F10" s="1">
        <f>D6*Summary!B8</f>
        <v>100</v>
      </c>
      <c r="I10" s="19" t="s">
        <v>52</v>
      </c>
      <c r="J10" s="20" t="b">
        <f>IF(F6=Summary!B17*(POINT2!F3+Summary!B11),TRUE,"WARNING")</f>
        <v>1</v>
      </c>
      <c r="K10" s="1"/>
    </row>
    <row r="11" spans="1:11" x14ac:dyDescent="0.3">
      <c r="C11" s="19" t="s">
        <v>23</v>
      </c>
      <c r="D11" s="20">
        <f>(F6*Summary!$B$9+F13*Summary!$B$10)*Summary!$B$6</f>
        <v>16.707320614003056</v>
      </c>
      <c r="E11" s="21" t="s">
        <v>33</v>
      </c>
      <c r="F11" s="22">
        <f>MAX(H24,H25)</f>
        <v>100</v>
      </c>
      <c r="G11" t="s">
        <v>55</v>
      </c>
      <c r="H11" t="b">
        <f>IF(IF(I4&gt;I5,1,0)*IF(I6&gt;I7,1,0)=1,TRUE,FALSE)</f>
        <v>1</v>
      </c>
      <c r="I11" s="4" t="s">
        <v>100</v>
      </c>
      <c r="J11" s="5" t="b" cm="1">
        <f t="array" ref="J11">IF(I4=F5,TRUE,WARNING)</f>
        <v>1</v>
      </c>
    </row>
    <row r="12" spans="1:11" x14ac:dyDescent="0.3">
      <c r="C12" s="19" t="s">
        <v>24</v>
      </c>
      <c r="D12" s="20" t="b">
        <f>IF(D11=D6-D7-D10,TRUE,D11-D6+D7+D10)</f>
        <v>1</v>
      </c>
      <c r="E12" s="4" t="s">
        <v>16</v>
      </c>
      <c r="F12" s="5">
        <f>MAX((1-Summary!B15)*(F10-F11+Summary!$B$11)-Summary!$B$11,0)</f>
        <v>0</v>
      </c>
      <c r="G12" t="s">
        <v>56</v>
      </c>
      <c r="H12" t="b">
        <f>IF(IF(H4&gt;H6,1,0)*IF(H5&gt;H7,1,0)=1,TRUE,FALSE)</f>
        <v>1</v>
      </c>
      <c r="I12" s="1"/>
      <c r="J12" s="1"/>
      <c r="K12" s="109"/>
    </row>
    <row r="13" spans="1:11" x14ac:dyDescent="0.3">
      <c r="C13" t="s">
        <v>40</v>
      </c>
      <c r="D13" s="1">
        <f>MAX(D9-D8,0)</f>
        <v>0</v>
      </c>
      <c r="E13" s="19" t="s">
        <v>92</v>
      </c>
      <c r="F13" s="20">
        <f>F10-F11-F12</f>
        <v>0</v>
      </c>
      <c r="I13" s="1"/>
      <c r="J13" s="1"/>
      <c r="K13" s="109"/>
    </row>
    <row r="14" spans="1:11" x14ac:dyDescent="0.3">
      <c r="A14" t="s">
        <v>7</v>
      </c>
      <c r="B14" s="1">
        <v>100</v>
      </c>
      <c r="D14" s="1"/>
      <c r="E14" s="4"/>
      <c r="F14" s="5"/>
      <c r="G14" s="1">
        <f>0.75*(F3-I4)</f>
        <v>102.75004817723223</v>
      </c>
      <c r="I14" s="1"/>
      <c r="J14" s="1"/>
      <c r="K14" s="109"/>
    </row>
    <row r="15" spans="1:11" x14ac:dyDescent="0.3">
      <c r="A15" s="21" t="s">
        <v>11</v>
      </c>
      <c r="B15" s="22">
        <f>(D7*Summary!$B$9+D23*Summary!$B$10)*Summary!$B$6</f>
        <v>87.269481350380872</v>
      </c>
      <c r="F15" s="1"/>
      <c r="I15" s="1"/>
      <c r="J15" s="1"/>
      <c r="K15" s="109"/>
    </row>
    <row r="16" spans="1:11" x14ac:dyDescent="0.3">
      <c r="A16" t="s">
        <v>13</v>
      </c>
      <c r="B16" s="18">
        <f>(D10*Summary!$B$9+D26*Summary!$B$10)*Summary!$B$6</f>
        <v>4.5806082490629549</v>
      </c>
      <c r="F16" s="1"/>
      <c r="I16" s="1"/>
      <c r="K16" s="109"/>
    </row>
    <row r="17" spans="1:11" x14ac:dyDescent="0.3">
      <c r="A17" t="s">
        <v>12</v>
      </c>
      <c r="B17" s="1">
        <f>MAX((1-Summary!B15)*(B14-B15+Summary!$B$11)-Summary!$B$11,0)</f>
        <v>0</v>
      </c>
      <c r="E17" s="2"/>
      <c r="F17" s="3"/>
      <c r="G17" s="108" t="s">
        <v>54</v>
      </c>
      <c r="H17" s="108"/>
      <c r="I17" s="108"/>
      <c r="J17" s="108"/>
      <c r="K17" s="109"/>
    </row>
    <row r="18" spans="1:11" x14ac:dyDescent="0.3">
      <c r="A18" s="4" t="s">
        <v>16</v>
      </c>
      <c r="B18" s="5">
        <f>MAX(B16,B17)</f>
        <v>4.5806082490629549</v>
      </c>
      <c r="F18" s="1"/>
    </row>
    <row r="19" spans="1:11" x14ac:dyDescent="0.3">
      <c r="A19" s="19" t="s">
        <v>17</v>
      </c>
      <c r="B19" s="20">
        <f>(D11*Summary!$B$9+D27*Summary!$B$10)*Summary!$B$6</f>
        <v>8.1499104005561875</v>
      </c>
      <c r="C19" s="17"/>
      <c r="F19" s="1"/>
      <c r="H19" t="s">
        <v>46</v>
      </c>
      <c r="I19" t="s">
        <v>16</v>
      </c>
      <c r="J19" t="s">
        <v>51</v>
      </c>
    </row>
    <row r="20" spans="1:11" x14ac:dyDescent="0.3">
      <c r="A20" s="19" t="s">
        <v>52</v>
      </c>
      <c r="B20" s="20">
        <f>IF(B19=B14-B15-B18,TRUE,B19-B14+B15+B18)</f>
        <v>2.1316282072803006E-14</v>
      </c>
      <c r="C20" s="25"/>
      <c r="E20" t="s">
        <v>35</v>
      </c>
      <c r="F20" s="1">
        <f>D22*Summary!B7</f>
        <v>100</v>
      </c>
      <c r="G20" t="s">
        <v>42</v>
      </c>
      <c r="H20" s="1">
        <f>Summary!$B$19*(POINT2!F20+Summary!$B$11)</f>
        <v>69</v>
      </c>
      <c r="I20" s="1">
        <f>MAX(Summary!$B$17*(F20+Summary!$B$11)-Summary!$B$11,0)</f>
        <v>8</v>
      </c>
      <c r="J20" s="109" t="str">
        <f>IF(I20&gt;I21," warrant killed"," warrant Not killed")</f>
        <v xml:space="preserve"> warrant killed</v>
      </c>
      <c r="K20" s="1">
        <f>0.75*(F20-0)</f>
        <v>75</v>
      </c>
    </row>
    <row r="21" spans="1:11" x14ac:dyDescent="0.3">
      <c r="A21" t="s">
        <v>40</v>
      </c>
      <c r="B21" s="1">
        <f>MAX(B17-B16,(D13*Summary!$B$9+D29*Summary!$B$10)*Summary!$B$6)</f>
        <v>0</v>
      </c>
      <c r="D21" s="1"/>
      <c r="E21" s="21" t="s">
        <v>36</v>
      </c>
      <c r="F21" s="22">
        <f>MAX(H24,H25)</f>
        <v>100</v>
      </c>
      <c r="G21" t="s">
        <v>43</v>
      </c>
      <c r="H21" s="1">
        <f>Summary!$B$18*POINT2!F20</f>
        <v>75</v>
      </c>
      <c r="I21" s="1">
        <v>0</v>
      </c>
      <c r="J21" s="109"/>
    </row>
    <row r="22" spans="1:11" x14ac:dyDescent="0.3">
      <c r="A22" t="s">
        <v>39</v>
      </c>
      <c r="B22" s="1">
        <f>F4+Summary!B11*Summary!B13</f>
        <v>117.75004817723223</v>
      </c>
      <c r="C22" t="s">
        <v>25</v>
      </c>
      <c r="D22" s="1">
        <f>B14*Summary!B8</f>
        <v>79.999979444388842</v>
      </c>
      <c r="E22" s="4" t="s">
        <v>16</v>
      </c>
      <c r="F22" s="5">
        <f>MAX((1-Summary!B15)*(F20-F21+Summary!$B$11)-Summary!$B$11,0)</f>
        <v>0</v>
      </c>
      <c r="G22" t="s">
        <v>44</v>
      </c>
      <c r="H22" s="1">
        <f>MIN(F20+Summary!$B$11,Summary!$B$12)</f>
        <v>100</v>
      </c>
      <c r="I22" s="1">
        <f>MAX(Summary!$B$15*(F20-H22+Summary!$B$11)-Summary!$B$11,0)</f>
        <v>0</v>
      </c>
      <c r="J22" s="109" t="str">
        <f>IF(I22&gt;I23,"warrant killed","warrant Not killed")</f>
        <v>warrant Not killed</v>
      </c>
    </row>
    <row r="23" spans="1:11" x14ac:dyDescent="0.3">
      <c r="B23" s="1"/>
      <c r="C23" s="21" t="s">
        <v>26</v>
      </c>
      <c r="D23" s="22">
        <f>(F20*Summary!$B$9+F29*Summary!$B$10)*Summary!$B$6</f>
        <v>79.999979444388842</v>
      </c>
      <c r="E23" s="19" t="s">
        <v>92</v>
      </c>
      <c r="F23" s="20">
        <f>F20-F21-F22</f>
        <v>0</v>
      </c>
      <c r="G23" t="s">
        <v>45</v>
      </c>
      <c r="H23" s="1">
        <f>MIN(F20,Summary!$B$12)</f>
        <v>100</v>
      </c>
      <c r="I23" s="1">
        <v>0</v>
      </c>
      <c r="J23" s="109"/>
    </row>
    <row r="24" spans="1:11" x14ac:dyDescent="0.3">
      <c r="C24" t="s">
        <v>27</v>
      </c>
      <c r="D24" s="18">
        <f>(F22*Summary!$B$9+F30*Summary!$B$10)*Summary!$B$6</f>
        <v>0</v>
      </c>
      <c r="F24" s="1"/>
      <c r="G24" t="s">
        <v>49</v>
      </c>
      <c r="H24" s="1">
        <f>IF(J20=" warrant killed",H20,H21)</f>
        <v>69</v>
      </c>
      <c r="J24" s="109" t="str">
        <f>IF(H24&gt;H25,CONCATENATE("bond converted, ",J20),CONCATENATE("bond not converted, ",J22))</f>
        <v>bond not converted, warrant Not killed</v>
      </c>
    </row>
    <row r="25" spans="1:11" x14ac:dyDescent="0.3">
      <c r="C25" t="s">
        <v>28</v>
      </c>
      <c r="D25" s="1">
        <f>MAX((1-Summary!B15)*(D22-D23+Summary!$B$11)-Summary!$B$11,0)</f>
        <v>0</v>
      </c>
      <c r="F25" s="1"/>
      <c r="G25" t="s">
        <v>50</v>
      </c>
      <c r="H25" s="1">
        <f>IF(J22="warrant killed",H22,H23)</f>
        <v>100</v>
      </c>
      <c r="J25" s="109"/>
    </row>
    <row r="26" spans="1:11" x14ac:dyDescent="0.3">
      <c r="A26" s="4" t="s">
        <v>41</v>
      </c>
      <c r="B26" s="5">
        <f>'AM Call (2)-from class'!F12</f>
        <v>9.1612164981259099</v>
      </c>
      <c r="C26" s="4" t="s">
        <v>29</v>
      </c>
      <c r="D26" s="5">
        <f>MAX(D24,D25)</f>
        <v>0</v>
      </c>
      <c r="F26" s="1"/>
    </row>
    <row r="27" spans="1:11" x14ac:dyDescent="0.3">
      <c r="A27" s="23" t="s">
        <v>126</v>
      </c>
      <c r="B27" s="24" t="b">
        <f>IF(B18/B26=(1-Summary!B15),TRUE,"WARNING")</f>
        <v>1</v>
      </c>
      <c r="C27" s="19" t="s">
        <v>34</v>
      </c>
      <c r="D27" s="20">
        <f>(F23*Summary!$B$9+F31*Summary!$B$10)*Summary!$B$6</f>
        <v>0</v>
      </c>
      <c r="E27" s="21"/>
      <c r="F27" s="22"/>
      <c r="H27" t="s">
        <v>46</v>
      </c>
      <c r="I27" t="s">
        <v>16</v>
      </c>
      <c r="J27" t="s">
        <v>51</v>
      </c>
    </row>
    <row r="28" spans="1:11" x14ac:dyDescent="0.3">
      <c r="C28" s="19" t="s">
        <v>52</v>
      </c>
      <c r="D28" s="20" t="b">
        <f>IF(D27=D22-D23-D26,TRUE,D27-D22+D23+D26)</f>
        <v>1</v>
      </c>
      <c r="E28" t="s">
        <v>37</v>
      </c>
      <c r="F28" s="1">
        <f>D22*Summary!B8</f>
        <v>63.999967111026365</v>
      </c>
      <c r="G28" t="s">
        <v>42</v>
      </c>
      <c r="H28" s="1">
        <f>Summary!$B$19*(F28+Summary!$B$11)</f>
        <v>47.39998026661582</v>
      </c>
      <c r="I28" s="1">
        <f>MAX(Summary!$B$17*(F28+Summary!$B$11)-Summary!$B$11,0)</f>
        <v>0.79999342220527403</v>
      </c>
      <c r="J28" s="109" t="str">
        <f>IF(I28&gt;I29," warrant killed"," warrant Not killed")</f>
        <v xml:space="preserve"> warrant killed</v>
      </c>
      <c r="K28" s="1">
        <f>0.75*(F28-0)</f>
        <v>47.999975333269774</v>
      </c>
    </row>
    <row r="29" spans="1:11" x14ac:dyDescent="0.3">
      <c r="C29" t="s">
        <v>40</v>
      </c>
      <c r="D29" s="1">
        <f>MAX(D25-D24,0)</f>
        <v>0</v>
      </c>
      <c r="E29" s="21" t="s">
        <v>38</v>
      </c>
      <c r="F29" s="22">
        <f>MAX(H32,H33)</f>
        <v>63.999967111026365</v>
      </c>
      <c r="G29" t="s">
        <v>43</v>
      </c>
      <c r="H29" s="1">
        <f>Summary!$B$18*POINT2!F28</f>
        <v>47.999975333269774</v>
      </c>
      <c r="I29" s="1">
        <v>0</v>
      </c>
      <c r="J29" s="109"/>
    </row>
    <row r="30" spans="1:11" x14ac:dyDescent="0.3">
      <c r="E30" s="4" t="s">
        <v>16</v>
      </c>
      <c r="F30" s="5">
        <f>MAX((1-Summary!B15)*(F28-F29+Summary!$B$11)-Summary!$B$11,0)</f>
        <v>0</v>
      </c>
      <c r="G30" t="s">
        <v>44</v>
      </c>
      <c r="H30" s="1">
        <f>MIN(F28+Summary!$B$11,Summary!$B$12)</f>
        <v>78.999967111026365</v>
      </c>
      <c r="I30" s="1">
        <f>MAX(Summary!$B$15*(F28-H30+Summary!$B$11)-Summary!$B$11,0)</f>
        <v>0</v>
      </c>
      <c r="J30" s="109" t="str">
        <f>IF(I30&gt;I31,"warrant killed","warrant Not killed")</f>
        <v>warrant Not killed</v>
      </c>
    </row>
    <row r="31" spans="1:11" x14ac:dyDescent="0.3">
      <c r="E31" s="19" t="s">
        <v>92</v>
      </c>
      <c r="F31" s="20">
        <f>F28-F29-F30</f>
        <v>0</v>
      </c>
      <c r="G31" t="s">
        <v>45</v>
      </c>
      <c r="H31" s="1">
        <f>MIN(F28,Summary!$B$12)</f>
        <v>63.999967111026365</v>
      </c>
      <c r="I31" s="1">
        <v>0</v>
      </c>
      <c r="J31" s="109"/>
    </row>
    <row r="32" spans="1:11" x14ac:dyDescent="0.3">
      <c r="G32" t="s">
        <v>49</v>
      </c>
      <c r="H32" s="1">
        <f>IF(J28=" warrant killed",H28,H29)</f>
        <v>47.39998026661582</v>
      </c>
      <c r="J32" s="109" t="str">
        <f>IF(H32&gt;H33,CONCATENATE("bond converted, ",J28),CONCATENATE("bond not converted, ",J30))</f>
        <v>bond not converted, warrant Not killed</v>
      </c>
    </row>
    <row r="33" spans="7:10" x14ac:dyDescent="0.3">
      <c r="G33" t="s">
        <v>50</v>
      </c>
      <c r="H33" s="1">
        <f>IF(J30="warrant killed",H30,H31)</f>
        <v>63.999967111026365</v>
      </c>
      <c r="J33" s="109"/>
    </row>
  </sheetData>
  <mergeCells count="14">
    <mergeCell ref="G1:J1"/>
    <mergeCell ref="G17:J17"/>
    <mergeCell ref="J4:J5"/>
    <mergeCell ref="J6:J7"/>
    <mergeCell ref="J8:J9"/>
    <mergeCell ref="J32:J33"/>
    <mergeCell ref="K12:K13"/>
    <mergeCell ref="K14:K15"/>
    <mergeCell ref="K16:K17"/>
    <mergeCell ref="J28:J29"/>
    <mergeCell ref="J30:J31"/>
    <mergeCell ref="J20:J21"/>
    <mergeCell ref="J22:J23"/>
    <mergeCell ref="J24:J25"/>
  </mergeCells>
  <conditionalFormatting sqref="I16">
    <cfRule type="top10" dxfId="25" priority="25" rank="1"/>
  </conditionalFormatting>
  <conditionalFormatting sqref="J12:J13">
    <cfRule type="top10" dxfId="24" priority="24" rank="1"/>
  </conditionalFormatting>
  <conditionalFormatting sqref="J14:J15">
    <cfRule type="top10" dxfId="23" priority="23" rank="1"/>
  </conditionalFormatting>
  <conditionalFormatting sqref="K12">
    <cfRule type="expression" dxfId="22" priority="22">
      <formula>IF(I16&gt;I17,TRUE,FALSE)</formula>
    </cfRule>
  </conditionalFormatting>
  <conditionalFormatting sqref="K14">
    <cfRule type="expression" dxfId="21" priority="21">
      <formula>IF(I16&lt;I17,TRUE,FALSE)</formula>
    </cfRule>
  </conditionalFormatting>
  <conditionalFormatting sqref="J28">
    <cfRule type="expression" dxfId="20" priority="17">
      <formula>IF(H32&gt;H33,TRUE,FALSE)</formula>
    </cfRule>
  </conditionalFormatting>
  <conditionalFormatting sqref="J30">
    <cfRule type="expression" dxfId="19" priority="16">
      <formula>IF(H32&lt;H33,TRUE,FALSE)</formula>
    </cfRule>
  </conditionalFormatting>
  <conditionalFormatting sqref="I4:I5">
    <cfRule type="top10" dxfId="18" priority="13" rank="1"/>
  </conditionalFormatting>
  <conditionalFormatting sqref="H8:H9">
    <cfRule type="top10" dxfId="17" priority="12" rank="1"/>
  </conditionalFormatting>
  <conditionalFormatting sqref="I6:I7">
    <cfRule type="top10" dxfId="16" priority="11" rank="1"/>
  </conditionalFormatting>
  <conditionalFormatting sqref="J20">
    <cfRule type="expression" dxfId="15" priority="10">
      <formula>IF(H24&gt;H25,TRUE,FALSE)</formula>
    </cfRule>
  </conditionalFormatting>
  <conditionalFormatting sqref="J22">
    <cfRule type="expression" dxfId="14" priority="9">
      <formula>IF(H24&lt;H25,TRUE,FALSE)</formula>
    </cfRule>
  </conditionalFormatting>
  <conditionalFormatting sqref="J4">
    <cfRule type="expression" dxfId="13" priority="8">
      <formula>IF(H8&gt;H9,TRUE,FALSE)</formula>
    </cfRule>
  </conditionalFormatting>
  <conditionalFormatting sqref="J6">
    <cfRule type="expression" dxfId="12" priority="7">
      <formula>IF(H8&lt;H9,TRUE,FALSE)</formula>
    </cfRule>
  </conditionalFormatting>
  <conditionalFormatting sqref="I20:I21">
    <cfRule type="top10" dxfId="11" priority="6" rank="1"/>
  </conditionalFormatting>
  <conditionalFormatting sqref="H24:H25">
    <cfRule type="top10" dxfId="10" priority="5" rank="1"/>
  </conditionalFormatting>
  <conditionalFormatting sqref="I22:I23">
    <cfRule type="top10" dxfId="9" priority="4" rank="1"/>
  </conditionalFormatting>
  <conditionalFormatting sqref="I28:I29">
    <cfRule type="top10" dxfId="8" priority="3" rank="1"/>
  </conditionalFormatting>
  <conditionalFormatting sqref="H32:H33">
    <cfRule type="top10" dxfId="7" priority="2" rank="1"/>
  </conditionalFormatting>
  <conditionalFormatting sqref="I30:I31">
    <cfRule type="top10" dxfId="6" priority="1" rank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7"/>
  <sheetViews>
    <sheetView zoomScale="141" zoomScaleNormal="120" workbookViewId="0">
      <selection activeCell="D12" sqref="D12"/>
    </sheetView>
  </sheetViews>
  <sheetFormatPr defaultRowHeight="14.4" x14ac:dyDescent="0.3"/>
  <sheetData>
    <row r="1" spans="1:12" x14ac:dyDescent="0.3">
      <c r="A1" s="108" t="s">
        <v>86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</row>
    <row r="2" spans="1:12" x14ac:dyDescent="0.3">
      <c r="A2" s="13" t="s">
        <v>85</v>
      </c>
      <c r="B2" s="14">
        <f>Summary!B4</f>
        <v>2.5000000000000001E-2</v>
      </c>
    </row>
    <row r="3" spans="1:12" x14ac:dyDescent="0.3">
      <c r="A3" s="13" t="s">
        <v>84</v>
      </c>
      <c r="B3" s="14">
        <f>Summary!B2</f>
        <v>0.31557299999999999</v>
      </c>
      <c r="K3" s="7" t="s">
        <v>83</v>
      </c>
      <c r="L3" s="6">
        <f>I6*B8</f>
        <v>156.25008029538705</v>
      </c>
    </row>
    <row r="4" spans="1:12" x14ac:dyDescent="0.3">
      <c r="A4" s="13" t="s">
        <v>82</v>
      </c>
      <c r="B4" s="13">
        <v>100</v>
      </c>
      <c r="K4" s="7" t="s">
        <v>81</v>
      </c>
      <c r="L4" s="6">
        <f>MAX(L3-$B$6,0)</f>
        <v>41.25008029538705</v>
      </c>
    </row>
    <row r="5" spans="1:12" x14ac:dyDescent="0.3">
      <c r="A5" s="13" t="s">
        <v>80</v>
      </c>
      <c r="B5" s="13">
        <v>0.5</v>
      </c>
      <c r="K5" s="7" t="s">
        <v>79</v>
      </c>
      <c r="L5" s="6">
        <f>L4</f>
        <v>41.25008029538705</v>
      </c>
    </row>
    <row r="6" spans="1:12" x14ac:dyDescent="0.3">
      <c r="A6" s="13" t="s">
        <v>78</v>
      </c>
      <c r="B6" s="13">
        <f>'POINT 1'!B22</f>
        <v>115</v>
      </c>
      <c r="H6" s="7" t="s">
        <v>77</v>
      </c>
      <c r="I6" s="7">
        <f>F9*B8</f>
        <v>125.0000321181507</v>
      </c>
    </row>
    <row r="7" spans="1:12" x14ac:dyDescent="0.3">
      <c r="H7" s="7" t="s">
        <v>76</v>
      </c>
      <c r="I7" s="7">
        <f>(L5*$B$10+L9*$B$11)/(1+$B$2)</f>
        <v>20.121985217748414</v>
      </c>
      <c r="K7" s="7" t="s">
        <v>75</v>
      </c>
      <c r="L7" s="7">
        <f>I6*B9</f>
        <v>100</v>
      </c>
    </row>
    <row r="8" spans="1:12" x14ac:dyDescent="0.3">
      <c r="A8" s="11" t="s">
        <v>3</v>
      </c>
      <c r="B8" s="11">
        <f>EXP(B3*B5^0.5)</f>
        <v>1.2500003211815069</v>
      </c>
      <c r="H8" s="7" t="s">
        <v>74</v>
      </c>
      <c r="I8" s="8">
        <f>MAX(I6-$B$6,0)</f>
        <v>10.000032118150699</v>
      </c>
      <c r="K8" s="7" t="s">
        <v>73</v>
      </c>
      <c r="L8" s="6">
        <f>MAX(L7-$B$6,0)</f>
        <v>0</v>
      </c>
    </row>
    <row r="9" spans="1:12" x14ac:dyDescent="0.3">
      <c r="A9" s="11" t="s">
        <v>4</v>
      </c>
      <c r="B9" s="11">
        <f>EXP(-B3*B5^0.5)</f>
        <v>0.79999979444388836</v>
      </c>
      <c r="E9" s="7" t="s">
        <v>72</v>
      </c>
      <c r="F9" s="7">
        <f>B4</f>
        <v>100</v>
      </c>
      <c r="H9" s="7" t="s">
        <v>71</v>
      </c>
      <c r="I9" s="9">
        <f>MAX(I7,I8)</f>
        <v>20.121985217748414</v>
      </c>
      <c r="K9" s="7" t="s">
        <v>70</v>
      </c>
      <c r="L9" s="6">
        <f>L8</f>
        <v>0</v>
      </c>
    </row>
    <row r="10" spans="1:12" x14ac:dyDescent="0.3">
      <c r="A10" s="11" t="s">
        <v>5</v>
      </c>
      <c r="B10" s="12">
        <f>((1+B2)-B9)/(B8-B9)</f>
        <v>0.49999987152748876</v>
      </c>
      <c r="E10" s="7" t="s">
        <v>69</v>
      </c>
      <c r="F10" s="7">
        <f>(I9*B10+I15*B11)/(1+$B$2)</f>
        <v>9.8156000231729124</v>
      </c>
    </row>
    <row r="11" spans="1:12" x14ac:dyDescent="0.3">
      <c r="A11" s="11" t="s">
        <v>6</v>
      </c>
      <c r="B11" s="10">
        <f>1-B10</f>
        <v>0.5000001284725113</v>
      </c>
      <c r="E11" s="7" t="s">
        <v>68</v>
      </c>
      <c r="F11" s="7">
        <f>MAX(F9-B6,0)</f>
        <v>0</v>
      </c>
      <c r="K11" s="7" t="s">
        <v>67</v>
      </c>
      <c r="L11" s="7">
        <f>I12*B8</f>
        <v>100</v>
      </c>
    </row>
    <row r="12" spans="1:12" x14ac:dyDescent="0.3">
      <c r="E12" s="7" t="s">
        <v>66</v>
      </c>
      <c r="F12" s="7">
        <f>MAX(F10,F11)</f>
        <v>9.8156000231729124</v>
      </c>
      <c r="H12" s="7" t="s">
        <v>65</v>
      </c>
      <c r="I12" s="8">
        <f>F9*B9</f>
        <v>79.999979444388842</v>
      </c>
      <c r="K12" s="7" t="s">
        <v>64</v>
      </c>
      <c r="L12" s="6">
        <f>MAX(L11-$B$6,0)</f>
        <v>0</v>
      </c>
    </row>
    <row r="13" spans="1:12" x14ac:dyDescent="0.3">
      <c r="H13" s="7" t="s">
        <v>63</v>
      </c>
      <c r="I13" s="7">
        <f>(L13*B16+L17*B17)/(1+$B$2)</f>
        <v>0</v>
      </c>
      <c r="K13" s="7" t="s">
        <v>62</v>
      </c>
      <c r="L13" s="6">
        <f>L12</f>
        <v>0</v>
      </c>
    </row>
    <row r="14" spans="1:12" x14ac:dyDescent="0.3">
      <c r="H14" s="7" t="s">
        <v>61</v>
      </c>
      <c r="I14" s="8">
        <f>MAX(I12-$B$6,0)</f>
        <v>0</v>
      </c>
    </row>
    <row r="15" spans="1:12" x14ac:dyDescent="0.3">
      <c r="H15" s="7" t="s">
        <v>60</v>
      </c>
      <c r="I15" s="9">
        <f>MAX(I13,I14)</f>
        <v>0</v>
      </c>
      <c r="K15" s="7" t="s">
        <v>59</v>
      </c>
      <c r="L15" s="8">
        <f>I12*B9</f>
        <v>63.999967111026365</v>
      </c>
    </row>
    <row r="16" spans="1:12" x14ac:dyDescent="0.3">
      <c r="K16" s="7" t="s">
        <v>58</v>
      </c>
      <c r="L16" s="6">
        <f>MAX(L15-$B$6,0)</f>
        <v>0</v>
      </c>
    </row>
    <row r="17" spans="11:12" x14ac:dyDescent="0.3">
      <c r="K17" s="7" t="s">
        <v>57</v>
      </c>
      <c r="L17" s="6">
        <f>L16</f>
        <v>0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7"/>
  <sheetViews>
    <sheetView zoomScale="141" zoomScaleNormal="120" workbookViewId="0">
      <selection activeCell="B11" sqref="B11"/>
    </sheetView>
  </sheetViews>
  <sheetFormatPr defaultRowHeight="14.4" x14ac:dyDescent="0.3"/>
  <cols>
    <col min="1" max="1" width="18.33203125" bestFit="1" customWidth="1"/>
  </cols>
  <sheetData>
    <row r="1" spans="1:12" x14ac:dyDescent="0.3">
      <c r="A1" s="108" t="s">
        <v>86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</row>
    <row r="2" spans="1:12" x14ac:dyDescent="0.3">
      <c r="A2" s="13" t="s">
        <v>85</v>
      </c>
      <c r="B2" s="14">
        <f>Summary!B4</f>
        <v>2.5000000000000001E-2</v>
      </c>
    </row>
    <row r="3" spans="1:12" x14ac:dyDescent="0.3">
      <c r="A3" s="13" t="s">
        <v>84</v>
      </c>
      <c r="B3" s="14">
        <f>Summary!B2</f>
        <v>0.31557299999999999</v>
      </c>
      <c r="K3" s="7" t="s">
        <v>83</v>
      </c>
      <c r="L3" s="6">
        <f>I6*B8</f>
        <v>156.25008029538705</v>
      </c>
    </row>
    <row r="4" spans="1:12" x14ac:dyDescent="0.3">
      <c r="A4" s="13" t="s">
        <v>82</v>
      </c>
      <c r="B4" s="13">
        <v>100</v>
      </c>
      <c r="K4" s="7" t="s">
        <v>81</v>
      </c>
      <c r="L4" s="6">
        <f>MAX(L3-$B$6,0)</f>
        <v>38.50003211815482</v>
      </c>
    </row>
    <row r="5" spans="1:12" x14ac:dyDescent="0.3">
      <c r="A5" s="13" t="s">
        <v>80</v>
      </c>
      <c r="B5" s="13">
        <v>0.5</v>
      </c>
      <c r="K5" s="7" t="s">
        <v>79</v>
      </c>
      <c r="L5" s="6">
        <f>L4</f>
        <v>38.50003211815482</v>
      </c>
    </row>
    <row r="6" spans="1:12" x14ac:dyDescent="0.3">
      <c r="A6" s="13" t="s">
        <v>78</v>
      </c>
      <c r="B6" s="15">
        <f>POINT2!B22</f>
        <v>117.75004817723223</v>
      </c>
      <c r="H6" s="7" t="s">
        <v>77</v>
      </c>
      <c r="I6" s="7">
        <f>F9*B8</f>
        <v>125.0000321181507</v>
      </c>
    </row>
    <row r="7" spans="1:12" x14ac:dyDescent="0.3">
      <c r="H7" s="7" t="s">
        <v>76</v>
      </c>
      <c r="I7" s="7">
        <f>(L5*$B$10+L9*$B$11)/(1+$B$2)</f>
        <v>18.78049864671376</v>
      </c>
      <c r="K7" s="7" t="s">
        <v>75</v>
      </c>
      <c r="L7" s="7">
        <f>I6*B9</f>
        <v>100</v>
      </c>
    </row>
    <row r="8" spans="1:12" x14ac:dyDescent="0.3">
      <c r="A8" s="11" t="s">
        <v>3</v>
      </c>
      <c r="B8" s="11">
        <f>EXP(B3*(B5^0.5))</f>
        <v>1.2500003211815069</v>
      </c>
      <c r="H8" s="7" t="s">
        <v>74</v>
      </c>
      <c r="I8" s="8">
        <f>MAX(I6-$B$6,0)</f>
        <v>7.2499839409184688</v>
      </c>
      <c r="K8" s="7" t="s">
        <v>73</v>
      </c>
      <c r="L8" s="6">
        <f>MAX(L7-$B$6,0)</f>
        <v>0</v>
      </c>
    </row>
    <row r="9" spans="1:12" x14ac:dyDescent="0.3">
      <c r="A9" s="11" t="s">
        <v>4</v>
      </c>
      <c r="B9" s="11">
        <f>EXP(-B3*(B5^0.5))</f>
        <v>0.79999979444388836</v>
      </c>
      <c r="E9" s="7" t="s">
        <v>72</v>
      </c>
      <c r="F9" s="7">
        <f>B4</f>
        <v>100</v>
      </c>
      <c r="H9" s="7" t="s">
        <v>71</v>
      </c>
      <c r="I9" s="9">
        <f>MAX(I7,I8)</f>
        <v>18.78049864671376</v>
      </c>
      <c r="K9" s="7" t="s">
        <v>70</v>
      </c>
      <c r="L9" s="6">
        <f>L8</f>
        <v>0</v>
      </c>
    </row>
    <row r="10" spans="1:12" x14ac:dyDescent="0.3">
      <c r="A10" s="11" t="s">
        <v>5</v>
      </c>
      <c r="B10" s="12">
        <f>((1+B2)-B9)/(B8-B9)</f>
        <v>0.49999987152748876</v>
      </c>
      <c r="E10" s="7" t="s">
        <v>69</v>
      </c>
      <c r="F10" s="7">
        <f>(I9*B10+I15*B11)/(1+$B$2)</f>
        <v>9.1612164981259099</v>
      </c>
    </row>
    <row r="11" spans="1:12" x14ac:dyDescent="0.3">
      <c r="A11" s="11" t="s">
        <v>6</v>
      </c>
      <c r="B11" s="10">
        <f>1-B10</f>
        <v>0.5000001284725113</v>
      </c>
      <c r="E11" s="7" t="s">
        <v>68</v>
      </c>
      <c r="F11" s="7">
        <f>MAX(F9-B6,0)</f>
        <v>0</v>
      </c>
      <c r="K11" s="7" t="s">
        <v>67</v>
      </c>
      <c r="L11" s="7">
        <f>I12*B8</f>
        <v>100</v>
      </c>
    </row>
    <row r="12" spans="1:12" x14ac:dyDescent="0.3">
      <c r="E12" s="7" t="s">
        <v>66</v>
      </c>
      <c r="F12" s="7">
        <f>MAX(F10,F11)</f>
        <v>9.1612164981259099</v>
      </c>
      <c r="H12" s="7" t="s">
        <v>65</v>
      </c>
      <c r="I12" s="8">
        <f>F9*B9</f>
        <v>79.999979444388842</v>
      </c>
      <c r="K12" s="7" t="s">
        <v>64</v>
      </c>
      <c r="L12" s="6">
        <f>MAX(L11-$B$6,0)</f>
        <v>0</v>
      </c>
    </row>
    <row r="13" spans="1:12" x14ac:dyDescent="0.3">
      <c r="H13" s="7" t="s">
        <v>63</v>
      </c>
      <c r="I13" s="7">
        <f>(L13*B16+L17*B17)/(1+$B$2)</f>
        <v>0</v>
      </c>
      <c r="K13" s="7" t="s">
        <v>62</v>
      </c>
      <c r="L13" s="6">
        <f>L12</f>
        <v>0</v>
      </c>
    </row>
    <row r="14" spans="1:12" x14ac:dyDescent="0.3">
      <c r="H14" s="7" t="s">
        <v>61</v>
      </c>
      <c r="I14" s="8">
        <f>MAX(I12-$B$6,0)</f>
        <v>0</v>
      </c>
    </row>
    <row r="15" spans="1:12" x14ac:dyDescent="0.3">
      <c r="H15" s="7" t="s">
        <v>60</v>
      </c>
      <c r="I15" s="9">
        <f>MAX(I13,I14)</f>
        <v>0</v>
      </c>
      <c r="K15" s="7" t="s">
        <v>59</v>
      </c>
      <c r="L15" s="8">
        <f>I12*B9</f>
        <v>63.999967111026365</v>
      </c>
    </row>
    <row r="16" spans="1:12" x14ac:dyDescent="0.3">
      <c r="K16" s="7" t="s">
        <v>58</v>
      </c>
      <c r="L16" s="6">
        <f>MAX(L15-$B$6,0)</f>
        <v>0</v>
      </c>
    </row>
    <row r="17" spans="11:12" x14ac:dyDescent="0.3">
      <c r="K17" s="7" t="s">
        <v>57</v>
      </c>
      <c r="L17" s="6">
        <f>L16</f>
        <v>0</v>
      </c>
    </row>
  </sheetData>
  <mergeCells count="1">
    <mergeCell ref="A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R40"/>
  <sheetViews>
    <sheetView tabSelected="1" zoomScaleNormal="100" workbookViewId="0">
      <selection activeCell="H4" sqref="H4"/>
    </sheetView>
  </sheetViews>
  <sheetFormatPr defaultRowHeight="13.8" x14ac:dyDescent="0.3"/>
  <cols>
    <col min="1" max="1" width="2.44140625" style="32" customWidth="1"/>
    <col min="2" max="2" width="2.109375" style="32" customWidth="1"/>
    <col min="3" max="3" width="10.5546875" style="32" bestFit="1" customWidth="1"/>
    <col min="4" max="4" width="15.5546875" style="34" bestFit="1" customWidth="1"/>
    <col min="5" max="5" width="14.88671875" style="35" bestFit="1" customWidth="1"/>
    <col min="6" max="6" width="10.5546875" style="32" bestFit="1" customWidth="1"/>
    <col min="7" max="7" width="15.5546875" style="34" bestFit="1" customWidth="1"/>
    <col min="8" max="8" width="14.88671875" style="35" bestFit="1" customWidth="1"/>
    <col min="9" max="9" width="10.5546875" style="32" bestFit="1" customWidth="1"/>
    <col min="10" max="10" width="17.77734375" style="34" bestFit="1" customWidth="1"/>
    <col min="11" max="11" width="14.88671875" style="35" bestFit="1" customWidth="1"/>
    <col min="12" max="12" width="2.21875" style="32" customWidth="1"/>
    <col min="13" max="13" width="26.88671875" style="32" bestFit="1" customWidth="1"/>
    <col min="14" max="14" width="7.5546875" style="32" bestFit="1" customWidth="1"/>
    <col min="15" max="15" width="6.77734375" style="32" bestFit="1" customWidth="1"/>
    <col min="16" max="16" width="23.109375" style="32" bestFit="1" customWidth="1"/>
    <col min="17" max="16384" width="8.88671875" style="32"/>
  </cols>
  <sheetData>
    <row r="1" spans="3:18" x14ac:dyDescent="0.3">
      <c r="D1" s="32"/>
      <c r="E1" s="32"/>
      <c r="G1" s="32"/>
      <c r="H1" s="32"/>
      <c r="J1" s="32"/>
      <c r="K1" s="32"/>
      <c r="M1" s="37"/>
      <c r="Q1" s="102"/>
    </row>
    <row r="2" spans="3:18" ht="16.95" customHeight="1" x14ac:dyDescent="0.4">
      <c r="C2" s="116" t="s">
        <v>111</v>
      </c>
      <c r="D2" s="117"/>
      <c r="E2" s="118"/>
      <c r="F2" s="116" t="s">
        <v>109</v>
      </c>
      <c r="G2" s="117"/>
      <c r="H2" s="118"/>
      <c r="I2" s="116" t="s">
        <v>110</v>
      </c>
      <c r="J2" s="119"/>
      <c r="K2" s="118"/>
      <c r="L2" s="42"/>
      <c r="M2" s="42"/>
      <c r="N2" s="42"/>
      <c r="O2" s="42"/>
      <c r="P2" s="43"/>
      <c r="Q2" s="36"/>
      <c r="R2" s="36"/>
    </row>
    <row r="3" spans="3:18" ht="16.95" customHeight="1" x14ac:dyDescent="0.4">
      <c r="C3" s="44"/>
      <c r="D3" s="45" t="s">
        <v>114</v>
      </c>
      <c r="E3" s="106" t="s">
        <v>115</v>
      </c>
      <c r="F3" s="46"/>
      <c r="G3" s="45" t="s">
        <v>114</v>
      </c>
      <c r="H3" s="106" t="s">
        <v>115</v>
      </c>
      <c r="I3" s="47"/>
      <c r="J3" s="45" t="s">
        <v>114</v>
      </c>
      <c r="K3" s="106" t="s">
        <v>115</v>
      </c>
      <c r="L3" s="42"/>
      <c r="M3" s="42"/>
      <c r="N3" s="42"/>
      <c r="O3" s="42"/>
      <c r="P3" s="43"/>
      <c r="Q3" s="36"/>
      <c r="R3" s="36"/>
    </row>
    <row r="4" spans="3:18" ht="16.95" customHeight="1" x14ac:dyDescent="0.4">
      <c r="C4" s="48"/>
      <c r="D4" s="42"/>
      <c r="E4" s="42"/>
      <c r="F4" s="48"/>
      <c r="G4" s="49"/>
      <c r="H4" s="50"/>
      <c r="I4" s="51"/>
      <c r="J4" s="52" t="s">
        <v>116</v>
      </c>
      <c r="K4" s="53"/>
      <c r="L4" s="42"/>
      <c r="M4" s="126" t="s">
        <v>133</v>
      </c>
      <c r="N4" s="126"/>
      <c r="O4" s="126"/>
      <c r="P4" s="126"/>
      <c r="Q4" s="36"/>
      <c r="R4" s="36"/>
    </row>
    <row r="5" spans="3:18" ht="16.95" customHeight="1" x14ac:dyDescent="0.4">
      <c r="C5" s="48"/>
      <c r="D5" s="42"/>
      <c r="E5" s="42"/>
      <c r="F5" s="51"/>
      <c r="G5" s="42"/>
      <c r="H5" s="54"/>
      <c r="I5" s="55" t="s">
        <v>7</v>
      </c>
      <c r="J5" s="56">
        <v>156.25008029538705</v>
      </c>
      <c r="K5" s="57"/>
      <c r="L5" s="42"/>
      <c r="M5" s="39"/>
      <c r="N5" s="89" t="s">
        <v>46</v>
      </c>
      <c r="O5" s="90" t="s">
        <v>16</v>
      </c>
      <c r="P5" s="58" t="s">
        <v>135</v>
      </c>
      <c r="Q5" s="36"/>
      <c r="R5" s="36"/>
    </row>
    <row r="6" spans="3:18" ht="16.95" customHeight="1" x14ac:dyDescent="0.4">
      <c r="C6" s="48"/>
      <c r="D6" s="42"/>
      <c r="E6" s="42"/>
      <c r="F6" s="48"/>
      <c r="G6" s="59"/>
      <c r="H6" s="60"/>
      <c r="I6" s="61" t="s">
        <v>132</v>
      </c>
      <c r="J6" s="62">
        <v>100</v>
      </c>
      <c r="K6" s="127">
        <v>102.75</v>
      </c>
      <c r="L6" s="42"/>
      <c r="M6" s="91" t="s">
        <v>42</v>
      </c>
      <c r="N6" s="89">
        <v>102.75004817723223</v>
      </c>
      <c r="O6" s="88">
        <v>19.25001605907741</v>
      </c>
      <c r="P6" s="123" t="s">
        <v>129</v>
      </c>
      <c r="Q6" s="36"/>
      <c r="R6" s="36"/>
    </row>
    <row r="7" spans="3:18" ht="16.95" customHeight="1" x14ac:dyDescent="0.4">
      <c r="C7" s="48"/>
      <c r="D7" s="42"/>
      <c r="E7" s="42"/>
      <c r="F7" s="48"/>
      <c r="G7" s="42"/>
      <c r="H7" s="54"/>
      <c r="I7" s="63" t="s">
        <v>16</v>
      </c>
      <c r="J7" s="64">
        <v>20.625040147693525</v>
      </c>
      <c r="K7" s="128">
        <v>19.25</v>
      </c>
      <c r="L7" s="42"/>
      <c r="M7" s="91" t="s">
        <v>43</v>
      </c>
      <c r="N7" s="89">
        <v>117.18756022154028</v>
      </c>
      <c r="O7" s="89">
        <v>0</v>
      </c>
      <c r="P7" s="123"/>
      <c r="Q7" s="36"/>
      <c r="R7" s="36"/>
    </row>
    <row r="8" spans="3:18" ht="16.95" customHeight="1" x14ac:dyDescent="0.4">
      <c r="C8" s="48"/>
      <c r="D8" s="42"/>
      <c r="E8" s="42"/>
      <c r="F8" s="120" t="s">
        <v>117</v>
      </c>
      <c r="G8" s="121"/>
      <c r="H8" s="122"/>
      <c r="I8" s="103" t="s">
        <v>113</v>
      </c>
      <c r="J8" s="104">
        <v>35.625040147693525</v>
      </c>
      <c r="K8" s="107">
        <v>34.25</v>
      </c>
      <c r="L8" s="42"/>
      <c r="M8" s="91" t="s">
        <v>44</v>
      </c>
      <c r="N8" s="89">
        <v>100</v>
      </c>
      <c r="O8" s="92">
        <v>20.625040147693525</v>
      </c>
      <c r="P8" s="124" t="s">
        <v>130</v>
      </c>
      <c r="Q8" s="36"/>
      <c r="R8" s="36"/>
    </row>
    <row r="9" spans="3:18" ht="16.95" customHeight="1" x14ac:dyDescent="0.4">
      <c r="C9" s="48"/>
      <c r="D9" s="42"/>
      <c r="E9" s="42"/>
      <c r="F9" s="55" t="s">
        <v>7</v>
      </c>
      <c r="G9" s="56">
        <v>125.0000321181507</v>
      </c>
      <c r="H9" s="57"/>
      <c r="I9" s="120" t="s">
        <v>118</v>
      </c>
      <c r="J9" s="121"/>
      <c r="K9" s="122"/>
      <c r="L9" s="42"/>
      <c r="M9" s="91" t="s">
        <v>45</v>
      </c>
      <c r="N9" s="89">
        <v>100</v>
      </c>
      <c r="O9" s="89">
        <v>0</v>
      </c>
      <c r="P9" s="124"/>
      <c r="Q9" s="36"/>
      <c r="R9" s="36"/>
    </row>
    <row r="10" spans="3:18" ht="16.95" customHeight="1" x14ac:dyDescent="0.4">
      <c r="C10" s="48"/>
      <c r="D10" s="42"/>
      <c r="E10" s="42"/>
      <c r="F10" s="61" t="s">
        <v>132</v>
      </c>
      <c r="G10" s="62">
        <v>97.560975609756113</v>
      </c>
      <c r="H10" s="127">
        <v>98.9</v>
      </c>
      <c r="I10" s="55" t="s">
        <v>7</v>
      </c>
      <c r="J10" s="56">
        <v>100</v>
      </c>
      <c r="K10" s="57"/>
      <c r="L10" s="42"/>
      <c r="M10" s="91" t="s">
        <v>127</v>
      </c>
      <c r="N10" s="88">
        <v>102.75004817723223</v>
      </c>
      <c r="O10" s="89"/>
      <c r="P10" s="123" t="s">
        <v>131</v>
      </c>
      <c r="Q10" s="36"/>
      <c r="R10" s="36"/>
    </row>
    <row r="11" spans="3:18" ht="16.95" customHeight="1" x14ac:dyDescent="0.4">
      <c r="C11" s="65"/>
      <c r="D11" s="42"/>
      <c r="E11" s="42"/>
      <c r="F11" s="63" t="s">
        <v>16</v>
      </c>
      <c r="G11" s="64">
        <v>10.060992608874207</v>
      </c>
      <c r="H11" s="128">
        <v>9.39</v>
      </c>
      <c r="I11" s="61" t="s">
        <v>132</v>
      </c>
      <c r="J11" s="62">
        <v>100</v>
      </c>
      <c r="K11" s="127">
        <v>100</v>
      </c>
      <c r="L11" s="42"/>
      <c r="M11" s="93" t="s">
        <v>128</v>
      </c>
      <c r="N11" s="94">
        <v>100</v>
      </c>
      <c r="O11" s="89"/>
      <c r="P11" s="123"/>
      <c r="Q11" s="36"/>
      <c r="R11" s="36"/>
    </row>
    <row r="12" spans="3:18" ht="16.95" customHeight="1" x14ac:dyDescent="0.4">
      <c r="C12" s="51"/>
      <c r="D12" s="42"/>
      <c r="E12" s="42"/>
      <c r="F12" s="103" t="s">
        <v>113</v>
      </c>
      <c r="G12" s="104">
        <v>17.378063899520384</v>
      </c>
      <c r="H12" s="107">
        <v>16.71</v>
      </c>
      <c r="I12" s="63" t="s">
        <v>16</v>
      </c>
      <c r="J12" s="64">
        <v>0</v>
      </c>
      <c r="K12" s="128">
        <v>0</v>
      </c>
      <c r="L12" s="42"/>
      <c r="M12" s="66"/>
      <c r="N12" s="67"/>
      <c r="O12" s="68"/>
      <c r="P12" s="43"/>
      <c r="Q12" s="36"/>
      <c r="R12" s="36"/>
    </row>
    <row r="13" spans="3:18" ht="16.95" customHeight="1" x14ac:dyDescent="0.4">
      <c r="C13" s="55" t="s">
        <v>7</v>
      </c>
      <c r="D13" s="56">
        <v>100</v>
      </c>
      <c r="E13" s="57"/>
      <c r="F13" s="69"/>
      <c r="G13" s="70"/>
      <c r="H13" s="71"/>
      <c r="I13" s="103" t="s">
        <v>113</v>
      </c>
      <c r="J13" s="104">
        <v>0</v>
      </c>
      <c r="K13" s="107">
        <v>0</v>
      </c>
      <c r="L13" s="42"/>
      <c r="M13" s="42"/>
      <c r="N13" s="42"/>
      <c r="O13" s="42"/>
      <c r="P13" s="43"/>
      <c r="Q13" s="36"/>
      <c r="R13" s="36"/>
    </row>
    <row r="14" spans="3:18" ht="16.95" customHeight="1" x14ac:dyDescent="0.4">
      <c r="C14" s="61" t="s">
        <v>132</v>
      </c>
      <c r="D14" s="62">
        <v>86.615097825333862</v>
      </c>
      <c r="E14" s="127">
        <v>87.269481350380872</v>
      </c>
      <c r="F14" s="69"/>
      <c r="G14" s="70"/>
      <c r="H14" s="71" t="s">
        <v>112</v>
      </c>
      <c r="I14" s="110" t="s">
        <v>119</v>
      </c>
      <c r="J14" s="111"/>
      <c r="K14" s="112"/>
      <c r="L14" s="42"/>
      <c r="M14" s="72"/>
      <c r="N14" s="73"/>
      <c r="O14" s="74"/>
      <c r="P14" s="43"/>
      <c r="Q14" s="36"/>
      <c r="R14" s="36"/>
    </row>
    <row r="15" spans="3:18" ht="16.95" customHeight="1" x14ac:dyDescent="0.4">
      <c r="C15" s="63" t="s">
        <v>16</v>
      </c>
      <c r="D15" s="64">
        <v>4.9078000115864562</v>
      </c>
      <c r="E15" s="128">
        <v>4.5806082490629549</v>
      </c>
      <c r="F15" s="65"/>
      <c r="G15" s="75"/>
      <c r="H15" s="53"/>
      <c r="I15" s="55" t="s">
        <v>7</v>
      </c>
      <c r="J15" s="56">
        <v>100</v>
      </c>
      <c r="K15" s="57"/>
      <c r="L15" s="42"/>
      <c r="M15" s="125" t="s">
        <v>136</v>
      </c>
      <c r="N15" s="125"/>
      <c r="O15" s="125"/>
      <c r="P15" s="43"/>
      <c r="Q15" s="36"/>
      <c r="R15" s="36"/>
    </row>
    <row r="16" spans="3:18" ht="16.95" customHeight="1" x14ac:dyDescent="0.4">
      <c r="C16" s="103" t="s">
        <v>113</v>
      </c>
      <c r="D16" s="104">
        <v>8.4771021630796906</v>
      </c>
      <c r="E16" s="107">
        <v>8.1499104005561875</v>
      </c>
      <c r="F16" s="113" t="s">
        <v>120</v>
      </c>
      <c r="G16" s="114"/>
      <c r="H16" s="115"/>
      <c r="I16" s="61" t="s">
        <v>132</v>
      </c>
      <c r="J16" s="62">
        <v>100</v>
      </c>
      <c r="K16" s="127">
        <v>100</v>
      </c>
      <c r="L16" s="42"/>
      <c r="M16" s="38"/>
      <c r="N16" s="95" t="s">
        <v>102</v>
      </c>
      <c r="O16" s="95" t="s">
        <v>103</v>
      </c>
      <c r="P16" s="43"/>
      <c r="Q16" s="36"/>
      <c r="R16" s="36"/>
    </row>
    <row r="17" spans="3:18" ht="16.95" customHeight="1" x14ac:dyDescent="0.4">
      <c r="C17" s="76"/>
      <c r="D17" s="77"/>
      <c r="E17" s="78"/>
      <c r="F17" s="55" t="s">
        <v>7</v>
      </c>
      <c r="G17" s="56">
        <v>79.999979444388842</v>
      </c>
      <c r="H17" s="57"/>
      <c r="I17" s="63" t="s">
        <v>16</v>
      </c>
      <c r="J17" s="64">
        <v>0</v>
      </c>
      <c r="K17" s="128">
        <v>0</v>
      </c>
      <c r="L17" s="42"/>
      <c r="M17" s="40" t="s">
        <v>134</v>
      </c>
      <c r="N17" s="96">
        <v>0.65438352504700958</v>
      </c>
      <c r="O17" s="97">
        <v>7.5550745941155122E-3</v>
      </c>
      <c r="P17" s="43"/>
      <c r="Q17" s="36"/>
      <c r="R17" s="36"/>
    </row>
    <row r="18" spans="3:18" ht="16.95" customHeight="1" x14ac:dyDescent="0.4">
      <c r="C18" s="51"/>
      <c r="D18" s="42"/>
      <c r="E18" s="54"/>
      <c r="F18" s="61" t="s">
        <v>132</v>
      </c>
      <c r="G18" s="62">
        <v>79.999979444388842</v>
      </c>
      <c r="H18" s="127">
        <v>79.999979444388842</v>
      </c>
      <c r="I18" s="103" t="s">
        <v>113</v>
      </c>
      <c r="J18" s="104">
        <v>0</v>
      </c>
      <c r="K18" s="107">
        <v>0</v>
      </c>
      <c r="L18" s="42"/>
      <c r="M18" s="41" t="s">
        <v>16</v>
      </c>
      <c r="N18" s="96">
        <v>-0.32719176252350124</v>
      </c>
      <c r="O18" s="97">
        <v>-6.666770482722581E-2</v>
      </c>
      <c r="P18" s="43"/>
      <c r="Q18" s="36"/>
      <c r="R18" s="36"/>
    </row>
    <row r="19" spans="3:18" ht="16.95" customHeight="1" x14ac:dyDescent="0.4">
      <c r="C19" s="51"/>
      <c r="D19" s="42"/>
      <c r="E19" s="54"/>
      <c r="F19" s="63" t="s">
        <v>16</v>
      </c>
      <c r="G19" s="64">
        <v>0</v>
      </c>
      <c r="H19" s="128">
        <v>0</v>
      </c>
      <c r="I19" s="110" t="s">
        <v>121</v>
      </c>
      <c r="J19" s="111"/>
      <c r="K19" s="112"/>
      <c r="L19" s="42"/>
      <c r="M19" s="105" t="s">
        <v>113</v>
      </c>
      <c r="N19" s="96">
        <v>-0.32719176252350302</v>
      </c>
      <c r="O19" s="97">
        <v>-3.859712390261389E-2</v>
      </c>
      <c r="P19" s="43"/>
      <c r="Q19" s="36"/>
      <c r="R19" s="36"/>
    </row>
    <row r="20" spans="3:18" ht="16.95" customHeight="1" x14ac:dyDescent="0.4">
      <c r="C20" s="51"/>
      <c r="D20" s="42"/>
      <c r="E20" s="54"/>
      <c r="F20" s="103" t="s">
        <v>113</v>
      </c>
      <c r="G20" s="104">
        <v>0</v>
      </c>
      <c r="H20" s="107">
        <v>0</v>
      </c>
      <c r="I20" s="55" t="s">
        <v>7</v>
      </c>
      <c r="J20" s="56">
        <v>63.999967111026365</v>
      </c>
      <c r="K20" s="57"/>
      <c r="L20" s="42"/>
      <c r="M20" s="42"/>
      <c r="N20" s="42"/>
      <c r="O20" s="42"/>
      <c r="P20" s="43"/>
      <c r="Q20" s="36"/>
      <c r="R20" s="36"/>
    </row>
    <row r="21" spans="3:18" ht="16.95" customHeight="1" x14ac:dyDescent="0.4">
      <c r="C21" s="51"/>
      <c r="D21" s="42"/>
      <c r="E21" s="54"/>
      <c r="F21" s="79"/>
      <c r="G21" s="72"/>
      <c r="H21" s="80"/>
      <c r="I21" s="61" t="s">
        <v>132</v>
      </c>
      <c r="J21" s="62">
        <v>63.999967111026365</v>
      </c>
      <c r="K21" s="127">
        <v>63.999967111026365</v>
      </c>
      <c r="L21" s="42"/>
      <c r="M21" s="72"/>
      <c r="N21" s="73"/>
      <c r="O21" s="74"/>
      <c r="P21" s="43"/>
      <c r="Q21" s="36"/>
      <c r="R21" s="36"/>
    </row>
    <row r="22" spans="3:18" ht="16.95" customHeight="1" x14ac:dyDescent="0.4">
      <c r="C22" s="51"/>
      <c r="D22" s="42"/>
      <c r="E22" s="54"/>
      <c r="F22" s="79"/>
      <c r="G22" s="72"/>
      <c r="H22" s="80"/>
      <c r="I22" s="63" t="s">
        <v>16</v>
      </c>
      <c r="J22" s="64">
        <v>0</v>
      </c>
      <c r="K22" s="128">
        <v>0</v>
      </c>
      <c r="L22" s="42"/>
      <c r="M22" s="81"/>
      <c r="N22" s="73"/>
      <c r="O22" s="74"/>
      <c r="P22" s="43"/>
      <c r="Q22" s="36"/>
      <c r="R22" s="36"/>
    </row>
    <row r="23" spans="3:18" ht="16.95" customHeight="1" x14ac:dyDescent="0.4">
      <c r="C23" s="82"/>
      <c r="D23" s="83"/>
      <c r="E23" s="84"/>
      <c r="F23" s="85"/>
      <c r="G23" s="86"/>
      <c r="H23" s="87"/>
      <c r="I23" s="103" t="s">
        <v>113</v>
      </c>
      <c r="J23" s="104">
        <v>0</v>
      </c>
      <c r="K23" s="107">
        <v>0</v>
      </c>
      <c r="L23" s="42"/>
      <c r="M23" s="70"/>
      <c r="N23" s="73"/>
      <c r="O23" s="74"/>
      <c r="P23" s="43"/>
      <c r="Q23" s="36"/>
      <c r="R23" s="36"/>
    </row>
    <row r="24" spans="3:18" x14ac:dyDescent="0.3">
      <c r="D24" s="32"/>
      <c r="E24" s="32"/>
      <c r="G24" s="33"/>
      <c r="H24" s="33"/>
      <c r="J24" s="32"/>
      <c r="K24" s="32"/>
    </row>
    <row r="25" spans="3:18" x14ac:dyDescent="0.3">
      <c r="D25" s="32"/>
      <c r="E25" s="32"/>
      <c r="G25" s="32"/>
      <c r="H25" s="32"/>
      <c r="J25" s="32"/>
      <c r="K25" s="32"/>
    </row>
    <row r="26" spans="3:18" x14ac:dyDescent="0.3">
      <c r="D26" s="32"/>
      <c r="E26" s="32"/>
      <c r="G26" s="32"/>
      <c r="H26" s="32"/>
      <c r="J26" s="32"/>
      <c r="K26" s="32"/>
    </row>
    <row r="27" spans="3:18" x14ac:dyDescent="0.3">
      <c r="D27" s="32"/>
      <c r="E27" s="32"/>
      <c r="G27" s="32"/>
      <c r="H27" s="32"/>
      <c r="J27" s="32"/>
      <c r="K27" s="32"/>
    </row>
    <row r="28" spans="3:18" x14ac:dyDescent="0.3">
      <c r="D28" s="32"/>
      <c r="E28" s="32"/>
      <c r="G28" s="32"/>
      <c r="H28" s="32"/>
      <c r="J28" s="32"/>
      <c r="K28" s="32"/>
    </row>
    <row r="29" spans="3:18" x14ac:dyDescent="0.3">
      <c r="D29" s="32"/>
      <c r="E29" s="32"/>
      <c r="G29" s="32"/>
      <c r="H29" s="32"/>
      <c r="J29" s="32"/>
      <c r="K29" s="32"/>
    </row>
    <row r="30" spans="3:18" x14ac:dyDescent="0.3">
      <c r="D30" s="32"/>
      <c r="E30" s="32"/>
      <c r="G30" s="32"/>
      <c r="H30" s="32"/>
      <c r="J30" s="32"/>
      <c r="K30" s="32"/>
    </row>
    <row r="31" spans="3:18" x14ac:dyDescent="0.3">
      <c r="D31" s="32"/>
      <c r="E31" s="32"/>
      <c r="G31" s="32"/>
      <c r="H31" s="32"/>
      <c r="J31" s="32"/>
      <c r="K31" s="32"/>
    </row>
    <row r="32" spans="3:18" x14ac:dyDescent="0.3">
      <c r="D32" s="32"/>
      <c r="E32" s="32"/>
      <c r="G32" s="32"/>
      <c r="H32" s="32"/>
      <c r="J32" s="32"/>
      <c r="K32" s="32"/>
    </row>
    <row r="33" s="32" customFormat="1" x14ac:dyDescent="0.3"/>
    <row r="34" s="32" customFormat="1" x14ac:dyDescent="0.3"/>
    <row r="35" s="32" customFormat="1" x14ac:dyDescent="0.3"/>
    <row r="36" s="32" customFormat="1" x14ac:dyDescent="0.3"/>
    <row r="37" s="32" customFormat="1" x14ac:dyDescent="0.3"/>
    <row r="38" s="32" customFormat="1" x14ac:dyDescent="0.3"/>
    <row r="39" s="32" customFormat="1" x14ac:dyDescent="0.3"/>
    <row r="40" s="32" customFormat="1" x14ac:dyDescent="0.3"/>
  </sheetData>
  <mergeCells count="13">
    <mergeCell ref="P10:P11"/>
    <mergeCell ref="P8:P9"/>
    <mergeCell ref="P6:P7"/>
    <mergeCell ref="M15:O15"/>
    <mergeCell ref="C2:E2"/>
    <mergeCell ref="I14:K14"/>
    <mergeCell ref="M4:P4"/>
    <mergeCell ref="I19:K19"/>
    <mergeCell ref="F16:H16"/>
    <mergeCell ref="F2:H2"/>
    <mergeCell ref="I2:K2"/>
    <mergeCell ref="I9:K9"/>
    <mergeCell ref="F8:H8"/>
  </mergeCells>
  <conditionalFormatting sqref="N21:O23">
    <cfRule type="cellIs" dxfId="5" priority="10" operator="greaterThan">
      <formula>0</formula>
    </cfRule>
    <cfRule type="cellIs" dxfId="4" priority="11" operator="lessThan">
      <formula>0</formula>
    </cfRule>
  </conditionalFormatting>
  <conditionalFormatting sqref="N14">
    <cfRule type="top10" dxfId="3" priority="8" rank="1"/>
  </conditionalFormatting>
  <conditionalFormatting sqref="O13">
    <cfRule type="top10" dxfId="2" priority="7" rank="1"/>
  </conditionalFormatting>
  <conditionalFormatting sqref="P10">
    <cfRule type="expression" dxfId="1" priority="6">
      <formula>IF(N14&gt;N15,TRUE,FALSE)</formula>
    </cfRule>
  </conditionalFormatting>
  <conditionalFormatting sqref="P12">
    <cfRule type="expression" dxfId="0" priority="5">
      <formula>IF(N14&lt;N15,TRUE,FALSE)</formula>
    </cfRule>
  </conditionalFormatting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POINT 1</vt:lpstr>
      <vt:lpstr>POINT2</vt:lpstr>
      <vt:lpstr>AM Call-from class</vt:lpstr>
      <vt:lpstr>AM Call (2)-from class</vt:lpstr>
      <vt:lpstr>to_overleaf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teruggi</dc:creator>
  <cp:lastModifiedBy>matteo teruggi</cp:lastModifiedBy>
  <cp:lastPrinted>2022-09-27T15:12:56Z</cp:lastPrinted>
  <dcterms:created xsi:type="dcterms:W3CDTF">2022-09-24T12:14:52Z</dcterms:created>
  <dcterms:modified xsi:type="dcterms:W3CDTF">2022-09-28T18:27:40Z</dcterms:modified>
</cp:coreProperties>
</file>