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teruggi2_unibo_it/Documents/Desktop/"/>
    </mc:Choice>
  </mc:AlternateContent>
  <xr:revisionPtr revIDLastSave="7" documentId="8_{D97F4AF3-8E66-421F-8828-9DB71D0020CF}" xr6:coauthVersionLast="47" xr6:coauthVersionMax="47" xr10:uidLastSave="{DC5198AD-CBA4-46C7-9728-E15319D19E67}"/>
  <bookViews>
    <workbookView xWindow="-108" yWindow="-108" windowWidth="23256" windowHeight="12576" tabRatio="500" xr2:uid="{00000000-000D-0000-FFFF-FFFF00000000}"/>
  </bookViews>
  <sheets>
    <sheet name="MAIN" sheetId="7" r:id="rId1"/>
    <sheet name="PE-LM" sheetId="2" r:id="rId2"/>
    <sheet name="GE-LM" sheetId="10" r:id="rId3"/>
  </sheets>
  <definedNames>
    <definedName name="solver_adj" localSheetId="2" hidden="1">'GE-LM'!$B$10:$B$23</definedName>
    <definedName name="solver_adj" localSheetId="0" hidden="1">MAIN!$C$11:$C$13</definedName>
    <definedName name="solver_adj" localSheetId="1" hidden="1">'PE-LM'!$B$10:$B$20</definedName>
    <definedName name="solver_cvg" localSheetId="2" hidden="1">0.000000001</definedName>
    <definedName name="solver_cvg" localSheetId="0" hidden="1">0.0001</definedName>
    <definedName name="solver_cvg" localSheetId="1" hidden="1">0.000000001</definedName>
    <definedName name="solver_drv" localSheetId="2" hidden="1">1</definedName>
    <definedName name="solver_drv" localSheetId="0" hidden="1">1</definedName>
    <definedName name="solver_drv" localSheetId="1" hidden="1">2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2" hidden="1">'GE-LM'!$E$10:$E$23</definedName>
    <definedName name="solver_lhs1" localSheetId="0" hidden="1">MAIN!$B$12</definedName>
    <definedName name="solver_lhs1" localSheetId="1" hidden="1">'PE-LM'!$E$10:$E$20</definedName>
    <definedName name="solver_lhs2" localSheetId="2" hidden="1">'GE-LM'!$E$10:$E$20</definedName>
    <definedName name="solver_lhs2" localSheetId="1" hidden="1">'PE-LM'!$E$10:$E$20</definedName>
    <definedName name="solver_lhs3" localSheetId="2" hidden="1">'GE-LM'!$E$10:$E$20</definedName>
    <definedName name="solver_lin" localSheetId="2" hidden="1">2</definedName>
    <definedName name="solver_lin" localSheetId="1" hidden="1">2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1</definedName>
    <definedName name="solver_num" localSheetId="0" hidden="1">0</definedName>
    <definedName name="solver_num" localSheetId="1" hidden="1">1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'GE-LM'!$E$16</definedName>
    <definedName name="solver_opt" localSheetId="0" hidden="1">MAIN!$E$5</definedName>
    <definedName name="solver_opt" localSheetId="1" hidden="1">'PE-LM'!$E$14</definedName>
    <definedName name="solver_pre" localSheetId="2" hidden="1">0.0000000001</definedName>
    <definedName name="solver_pre" localSheetId="0" hidden="1">0.000001</definedName>
    <definedName name="solver_pre" localSheetId="1" hidden="1">0.0000000001</definedName>
    <definedName name="solver_rbv" localSheetId="2" hidden="1">1</definedName>
    <definedName name="solver_rbv" localSheetId="0" hidden="1">1</definedName>
    <definedName name="solver_rbv" localSheetId="1" hidden="1">2</definedName>
    <definedName name="solver_rel1" localSheetId="2" hidden="1">2</definedName>
    <definedName name="solver_rel1" localSheetId="0" hidden="1">1</definedName>
    <definedName name="solver_rel1" localSheetId="1" hidden="1">2</definedName>
    <definedName name="solver_rel2" localSheetId="2" hidden="1">2</definedName>
    <definedName name="solver_rel2" localSheetId="1" hidden="1">2</definedName>
    <definedName name="solver_rel3" localSheetId="2" hidden="1">2</definedName>
    <definedName name="solver_rhs1" localSheetId="2" hidden="1">0</definedName>
    <definedName name="solver_rhs1" localSheetId="0" hidden="1">2</definedName>
    <definedName name="solver_rhs1" localSheetId="1" hidden="1">0</definedName>
    <definedName name="solver_rhs2" localSheetId="2" hidden="1">0</definedName>
    <definedName name="solver_rhs2" localSheetId="1" hidden="1">0</definedName>
    <definedName name="solver_rhs3" localSheetId="2" hidden="1">0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3</definedName>
    <definedName name="solver_typ" localSheetId="0" hidden="1">3</definedName>
    <definedName name="solver_typ" localSheetId="1" hidden="1">3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7" l="1"/>
  <c r="B9" i="7" a="1"/>
  <c r="B9" i="7" s="1"/>
  <c r="H9" i="7" s="1"/>
  <c r="E10" i="10"/>
  <c r="I9" i="7"/>
  <c r="E17" i="2"/>
  <c r="E16" i="2" a="1"/>
  <c r="E16" i="2" s="1"/>
  <c r="E14" i="2" a="1"/>
  <c r="E14" i="2" s="1"/>
  <c r="E10" i="2"/>
  <c r="G3" i="7" a="1"/>
  <c r="G3" i="7" s="1"/>
  <c r="C16" i="7"/>
  <c r="D16" i="7"/>
  <c r="B16" i="7"/>
  <c r="E17" i="10"/>
  <c r="E16" i="10" a="1"/>
  <c r="E16" i="10" s="1"/>
  <c r="E15" i="10" a="1"/>
  <c r="E15" i="10" s="1"/>
  <c r="E14" i="10" a="1"/>
  <c r="E14" i="10" s="1"/>
  <c r="E23" i="10"/>
  <c r="E22" i="10"/>
  <c r="E21" i="10"/>
  <c r="E20" i="10"/>
  <c r="E19" i="10"/>
  <c r="E18" i="10"/>
  <c r="B6" i="10"/>
  <c r="E11" i="10" s="1"/>
  <c r="E18" i="2"/>
  <c r="E15" i="2" a="1"/>
  <c r="E15" i="2" s="1"/>
  <c r="E20" i="2"/>
  <c r="E19" i="2"/>
  <c r="B6" i="2"/>
  <c r="E12" i="2" s="1"/>
  <c r="B6" i="7"/>
  <c r="C10" i="7" s="1"/>
  <c r="B10" i="7" l="1"/>
  <c r="D10" i="7"/>
  <c r="E11" i="2"/>
  <c r="E13" i="2"/>
  <c r="B17" i="7"/>
  <c r="D17" i="7"/>
  <c r="C17" i="7"/>
  <c r="C18" i="7" s="1"/>
  <c r="H20" i="7" s="1"/>
  <c r="H16" i="7"/>
  <c r="G19" i="7" s="1"/>
  <c r="B20" i="7" a="1"/>
  <c r="G10" i="7"/>
  <c r="E12" i="10"/>
  <c r="E13" i="10"/>
  <c r="B18" i="7" l="1"/>
  <c r="G20" i="7" s="1"/>
  <c r="J20" i="7" s="1"/>
  <c r="I19" i="7"/>
  <c r="H19" i="7"/>
  <c r="D18" i="7"/>
  <c r="I20" i="7" s="1"/>
  <c r="B11" i="7" a="1"/>
  <c r="B11" i="7" s="1"/>
  <c r="G12" i="7" s="1"/>
  <c r="B20" i="7"/>
  <c r="I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<sst xmlns="http://schemas.openxmlformats.org/spreadsheetml/2006/main" count="87" uniqueCount="51">
  <si>
    <t>#</t>
  </si>
  <si>
    <t>unknown</t>
  </si>
  <si>
    <t>c0</t>
  </si>
  <si>
    <t>phi0</t>
  </si>
  <si>
    <t>Equation</t>
  </si>
  <si>
    <t>value</t>
  </si>
  <si>
    <t>W0</t>
  </si>
  <si>
    <t>Payoff matrix</t>
  </si>
  <si>
    <t>Stock1</t>
  </si>
  <si>
    <t>Stock2</t>
  </si>
  <si>
    <t>Bond</t>
  </si>
  <si>
    <t>k=1</t>
  </si>
  <si>
    <t>k=2</t>
  </si>
  <si>
    <t>k=3</t>
  </si>
  <si>
    <t>Prices</t>
  </si>
  <si>
    <t>probability</t>
  </si>
  <si>
    <t>Consumption</t>
  </si>
  <si>
    <t>ck1</t>
  </si>
  <si>
    <t>ck2</t>
  </si>
  <si>
    <t>ck3</t>
  </si>
  <si>
    <t>theta1</t>
  </si>
  <si>
    <t>theta2</t>
  </si>
  <si>
    <t>theta3</t>
  </si>
  <si>
    <t>phi1</t>
  </si>
  <si>
    <t>phi2</t>
  </si>
  <si>
    <t>phi3</t>
  </si>
  <si>
    <t>p1</t>
  </si>
  <si>
    <t>p2</t>
  </si>
  <si>
    <t>p3</t>
  </si>
  <si>
    <t>Normalized state prices</t>
  </si>
  <si>
    <t>Endownment consumption</t>
  </si>
  <si>
    <t>Price stock 1</t>
  </si>
  <si>
    <t>Price stock 2</t>
  </si>
  <si>
    <t>Check</t>
  </si>
  <si>
    <t>POINT 2, by Cobb-Douglas lending=0 independently from R</t>
  </si>
  <si>
    <t>ir control</t>
  </si>
  <si>
    <t>Risk neutral probabilities</t>
  </si>
  <si>
    <t>R is also the deterministic consumption</t>
  </si>
  <si>
    <t>The higher the drawdown from deterministic consumption, the higher the probability</t>
  </si>
  <si>
    <t>Effective risk adversion</t>
  </si>
  <si>
    <t>Theta stock 1</t>
  </si>
  <si>
    <t>Theta stock 2</t>
  </si>
  <si>
    <t>Theta Bond</t>
  </si>
  <si>
    <t>Check rank</t>
  </si>
  <si>
    <t>c1km</t>
  </si>
  <si>
    <t>c1kd</t>
  </si>
  <si>
    <t>c1ku</t>
  </si>
  <si>
    <t>Check C0=1</t>
  </si>
  <si>
    <t>Shadow price Bond</t>
  </si>
  <si>
    <t>Correlation</t>
  </si>
  <si>
    <t>R increase as short-selling disappeared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</si>
</sst>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E+00"/>
    <numFmt numFmtId="166" formatCode="0.0000"/>
    <numFmt numFmtId="167" formatCode="0.0%"/>
    <numFmt numFmtId="168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4" borderId="0" xfId="0" applyNumberFormat="1" applyFill="1"/>
    <xf numFmtId="165" fontId="0" fillId="6" borderId="0" xfId="0" applyNumberFormat="1" applyFill="1"/>
    <xf numFmtId="164" fontId="0" fillId="6" borderId="0" xfId="0" applyNumberFormat="1" applyFill="1"/>
    <xf numFmtId="0" fontId="0" fillId="7" borderId="0" xfId="0" applyFill="1"/>
    <xf numFmtId="10" fontId="0" fillId="7" borderId="0" xfId="1" applyNumberFormat="1" applyFont="1" applyFill="1"/>
    <xf numFmtId="166" fontId="0" fillId="0" borderId="0" xfId="0" applyNumberFormat="1"/>
    <xf numFmtId="166" fontId="0" fillId="4" borderId="0" xfId="0" applyNumberFormat="1" applyFill="1"/>
    <xf numFmtId="0" fontId="0" fillId="8" borderId="0" xfId="0" applyFill="1"/>
    <xf numFmtId="166" fontId="0" fillId="8" borderId="0" xfId="0" applyNumberFormat="1" applyFill="1"/>
    <xf numFmtId="0" fontId="0" fillId="9" borderId="0" xfId="0" applyFill="1"/>
    <xf numFmtId="166" fontId="0" fillId="9" borderId="0" xfId="0" applyNumberFormat="1" applyFill="1"/>
    <xf numFmtId="1" fontId="0" fillId="6" borderId="0" xfId="0" applyNumberFormat="1" applyFill="1"/>
    <xf numFmtId="0" fontId="4" fillId="0" borderId="0" xfId="0" applyFont="1"/>
    <xf numFmtId="167" fontId="0" fillId="0" borderId="0" xfId="0" applyNumberFormat="1"/>
    <xf numFmtId="2" fontId="0" fillId="0" borderId="0" xfId="0" applyNumberFormat="1"/>
    <xf numFmtId="166" fontId="4" fillId="0" borderId="0" xfId="0" applyNumberFormat="1" applyFont="1"/>
    <xf numFmtId="10" fontId="0" fillId="9" borderId="0" xfId="1" applyNumberFormat="1" applyFont="1" applyFill="1"/>
    <xf numFmtId="10" fontId="0" fillId="8" borderId="0" xfId="1" applyNumberFormat="1" applyFont="1" applyFill="1"/>
    <xf numFmtId="10" fontId="0" fillId="4" borderId="0" xfId="1" applyNumberFormat="1" applyFont="1" applyFill="1"/>
    <xf numFmtId="16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A69C"/>
      <color rgb="FFFF6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557-B162-4856-9527-7D60556BC3CC}">
  <dimension ref="A1:M22"/>
  <sheetViews>
    <sheetView tabSelected="1" workbookViewId="0">
      <selection activeCell="G20" sqref="G20"/>
    </sheetView>
  </sheetViews>
  <sheetFormatPr defaultRowHeight="15.6" x14ac:dyDescent="0.3"/>
  <cols>
    <col min="1" max="1" width="23.8984375" bestFit="1" customWidth="1"/>
    <col min="2" max="2" width="11.09765625" bestFit="1" customWidth="1"/>
    <col min="3" max="4" width="10.3984375" bestFit="1" customWidth="1"/>
    <col min="7" max="7" width="15.69921875" bestFit="1" customWidth="1"/>
    <col min="8" max="8" width="10.5" bestFit="1" customWidth="1"/>
    <col min="9" max="9" width="11" bestFit="1" customWidth="1"/>
    <col min="10" max="10" width="10" bestFit="1" customWidth="1"/>
    <col min="11" max="11" width="12.5" bestFit="1" customWidth="1"/>
  </cols>
  <sheetData>
    <row r="1" spans="1:10" x14ac:dyDescent="0.3">
      <c r="A1" s="5" t="s">
        <v>7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10" x14ac:dyDescent="0.3">
      <c r="A2" s="5" t="s">
        <v>8</v>
      </c>
      <c r="B2" s="5">
        <v>1.5</v>
      </c>
      <c r="C2" s="5">
        <v>1.5</v>
      </c>
      <c r="D2" s="5">
        <v>0.5</v>
      </c>
      <c r="E2" s="5">
        <v>0.49</v>
      </c>
      <c r="G2" t="s">
        <v>43</v>
      </c>
    </row>
    <row r="3" spans="1:10" x14ac:dyDescent="0.3">
      <c r="A3" s="5" t="s">
        <v>9</v>
      </c>
      <c r="B3" s="5">
        <v>1.2</v>
      </c>
      <c r="C3" s="5">
        <v>0.9</v>
      </c>
      <c r="D3" s="5">
        <v>1.2</v>
      </c>
      <c r="E3" s="5">
        <v>0.52</v>
      </c>
      <c r="G3" s="18" t="str" cm="1">
        <f t="array" ref="G3">IF(MDETERM(B2:D4)=0,ERROR,"Complete Market")</f>
        <v>Complete Market</v>
      </c>
    </row>
    <row r="4" spans="1:10" x14ac:dyDescent="0.3">
      <c r="A4" s="5" t="s">
        <v>10</v>
      </c>
      <c r="B4" s="5">
        <v>1</v>
      </c>
      <c r="C4" s="5">
        <v>1</v>
      </c>
      <c r="D4" s="5">
        <v>1</v>
      </c>
      <c r="E4" s="5">
        <v>0.46</v>
      </c>
    </row>
    <row r="5" spans="1:10" x14ac:dyDescent="0.3">
      <c r="A5" s="5"/>
      <c r="B5" s="5"/>
      <c r="C5" s="5"/>
      <c r="D5" s="5"/>
      <c r="E5" s="5"/>
    </row>
    <row r="6" spans="1:10" x14ac:dyDescent="0.3">
      <c r="A6" s="5" t="s">
        <v>15</v>
      </c>
      <c r="B6" s="5">
        <f>1/3</f>
        <v>0.33333333333333331</v>
      </c>
      <c r="C6" s="5"/>
      <c r="D6" s="5"/>
      <c r="E6" s="5"/>
    </row>
    <row r="7" spans="1:10" x14ac:dyDescent="0.3">
      <c r="A7" s="5" t="s">
        <v>6</v>
      </c>
      <c r="B7" s="5">
        <v>2</v>
      </c>
      <c r="C7" s="5"/>
      <c r="D7" s="5"/>
      <c r="E7" s="5"/>
    </row>
    <row r="9" spans="1:10" x14ac:dyDescent="0.3">
      <c r="A9" t="s">
        <v>29</v>
      </c>
      <c r="B9" s="16" cm="1">
        <f t="array" ref="B9:D9">TRANSPOSE(MMULT(MINVERSE(B2:D4),E2:E4))</f>
        <v>0.15333333333333332</v>
      </c>
      <c r="C9" s="14">
        <v>0.10666666666666713</v>
      </c>
      <c r="D9" s="12">
        <v>0.20000000000000007</v>
      </c>
      <c r="G9" s="18" t="s">
        <v>35</v>
      </c>
      <c r="H9" s="21">
        <f>1/SUM(_xlfn.ANCHORARRAY(B9))</f>
        <v>2.1739130434782585</v>
      </c>
      <c r="I9" s="21">
        <f>(1-E4)/E4</f>
        <v>1.173913043478261</v>
      </c>
    </row>
    <row r="10" spans="1:10" x14ac:dyDescent="0.3">
      <c r="A10" s="11" t="s">
        <v>16</v>
      </c>
      <c r="B10" s="16">
        <f>($B$6/B9)</f>
        <v>2.1739130434782608</v>
      </c>
      <c r="C10" s="14">
        <f t="shared" ref="C10:D10" si="0">($B$6/C9)</f>
        <v>3.1249999999999862</v>
      </c>
      <c r="D10" s="12">
        <f t="shared" si="0"/>
        <v>1.6666666666666661</v>
      </c>
      <c r="G10" s="18" t="str">
        <f>IF(COUNTIF(_xlfn.ANCHORARRAY(B9),"&gt;0")=3,"No Arbitrage","ERROR")</f>
        <v>No Arbitrage</v>
      </c>
    </row>
    <row r="11" spans="1:10" x14ac:dyDescent="0.3">
      <c r="A11" t="s">
        <v>40</v>
      </c>
      <c r="B11" s="11" cm="1">
        <f t="array" ref="B11:B13">MMULT(TRANSPOSE(MINVERSE(B2:D4)),TRANSPOSE(B10:D10))</f>
        <v>0.50724637681159557</v>
      </c>
      <c r="G11" s="18" t="s">
        <v>47</v>
      </c>
    </row>
    <row r="12" spans="1:10" x14ac:dyDescent="0.3">
      <c r="A12" t="s">
        <v>41</v>
      </c>
      <c r="B12" s="11">
        <v>-3.1702898550724194</v>
      </c>
      <c r="G12" s="25">
        <f>B7-SUMPRODUCT(B11:B13,E2:E4)</f>
        <v>1.0000000000000016</v>
      </c>
    </row>
    <row r="13" spans="1:10" x14ac:dyDescent="0.3">
      <c r="A13" t="s">
        <v>42</v>
      </c>
      <c r="B13" s="11">
        <v>5.2173913043477711</v>
      </c>
    </row>
    <row r="15" spans="1:10" x14ac:dyDescent="0.3">
      <c r="A15" s="27" t="s">
        <v>34</v>
      </c>
      <c r="B15" s="27"/>
      <c r="C15" s="27"/>
      <c r="D15" s="27"/>
      <c r="E15" s="27"/>
      <c r="F15" s="26"/>
    </row>
    <row r="16" spans="1:10" x14ac:dyDescent="0.3">
      <c r="A16" t="s">
        <v>30</v>
      </c>
      <c r="B16" s="15">
        <f>SUM(B2:B3)</f>
        <v>2.7</v>
      </c>
      <c r="C16" s="13">
        <f>SUM(C2:C3)</f>
        <v>2.4</v>
      </c>
      <c r="D16" s="3">
        <f>SUM(D2:D3)</f>
        <v>1.7</v>
      </c>
      <c r="G16" s="18" t="s">
        <v>35</v>
      </c>
      <c r="H16" s="21">
        <f>1/SUM(B17:D17)</f>
        <v>2.1813861386138611</v>
      </c>
      <c r="I16" s="21">
        <f>(1-B22)/B22</f>
        <v>1.1813861386138613</v>
      </c>
      <c r="J16" s="18" t="s">
        <v>37</v>
      </c>
    </row>
    <row r="17" spans="1:13" x14ac:dyDescent="0.3">
      <c r="A17" t="s">
        <v>29</v>
      </c>
      <c r="B17" s="16">
        <f>$B$6/B16</f>
        <v>0.12345679012345677</v>
      </c>
      <c r="C17" s="14">
        <f t="shared" ref="C17:D17" si="1">$B$6/C16</f>
        <v>0.1388888888888889</v>
      </c>
      <c r="D17" s="12">
        <f t="shared" si="1"/>
        <v>0.19607843137254902</v>
      </c>
      <c r="G17" s="27" t="s">
        <v>38</v>
      </c>
      <c r="H17" s="27"/>
      <c r="I17" s="27"/>
      <c r="J17" s="27"/>
      <c r="K17" s="27"/>
      <c r="L17" s="27"/>
      <c r="M17" s="27"/>
    </row>
    <row r="18" spans="1:13" x14ac:dyDescent="0.3">
      <c r="A18" t="s">
        <v>36</v>
      </c>
      <c r="B18" s="22">
        <f>B17/SUM($B$17:$D$17)</f>
        <v>0.26930693069306927</v>
      </c>
      <c r="C18" s="23">
        <f t="shared" ref="C18:D18" si="2">C17/SUM($B$17:$D$17)</f>
        <v>0.30297029702970296</v>
      </c>
      <c r="D18" s="24">
        <f t="shared" si="2"/>
        <v>0.42772277227722771</v>
      </c>
      <c r="G18" t="s">
        <v>11</v>
      </c>
      <c r="H18" t="s">
        <v>12</v>
      </c>
      <c r="I18" t="s">
        <v>13</v>
      </c>
    </row>
    <row r="19" spans="1:13" x14ac:dyDescent="0.3">
      <c r="G19" s="11">
        <f>B16-$H$16</f>
        <v>0.51861386138613907</v>
      </c>
      <c r="H19" s="11">
        <f t="shared" ref="H19:I19" si="3">C16-$H$16</f>
        <v>0.21861386138613881</v>
      </c>
      <c r="I19" s="11">
        <f t="shared" si="3"/>
        <v>-0.48138613861386115</v>
      </c>
      <c r="J19" t="s">
        <v>49</v>
      </c>
    </row>
    <row r="20" spans="1:13" x14ac:dyDescent="0.3">
      <c r="A20" t="s">
        <v>31</v>
      </c>
      <c r="B20" s="11" cm="1">
        <f t="array" ref="B20:B22">MMULT(B2:D4,TRANSPOSE(B17:D17))</f>
        <v>0.49155773420479298</v>
      </c>
      <c r="C20" t="s">
        <v>33</v>
      </c>
      <c r="D20">
        <f>B20+B21</f>
        <v>1</v>
      </c>
      <c r="G20" s="19">
        <f>B18-1/3</f>
        <v>-6.4026402640264046E-2</v>
      </c>
      <c r="H20" s="19">
        <f t="shared" ref="H20:I20" si="4">C18-1/3</f>
        <v>-3.0363036303630353E-2</v>
      </c>
      <c r="I20" s="19">
        <f t="shared" si="4"/>
        <v>9.4389438943894399E-2</v>
      </c>
      <c r="J20" s="20">
        <f>CORREL(G19:I19,G20:I20)</f>
        <v>-0.99562573150439915</v>
      </c>
    </row>
    <row r="21" spans="1:13" x14ac:dyDescent="0.3">
      <c r="A21" t="s">
        <v>32</v>
      </c>
      <c r="B21" s="11">
        <v>0.50844226579520702</v>
      </c>
      <c r="G21" s="27" t="s">
        <v>39</v>
      </c>
      <c r="H21" s="27"/>
      <c r="I21" s="27"/>
      <c r="J21" s="27"/>
      <c r="K21" s="27"/>
      <c r="L21" s="27"/>
      <c r="M21" s="27"/>
    </row>
    <row r="22" spans="1:13" x14ac:dyDescent="0.3">
      <c r="A22" t="s">
        <v>48</v>
      </c>
      <c r="B22" s="11">
        <v>0.45842411038489472</v>
      </c>
      <c r="G22" s="27" t="s">
        <v>50</v>
      </c>
      <c r="H22" s="27"/>
      <c r="I22" s="27"/>
      <c r="J22" s="27"/>
      <c r="K22" s="27"/>
      <c r="L22" s="27"/>
    </row>
  </sheetData>
  <mergeCells count="4">
    <mergeCell ref="A15:E15"/>
    <mergeCell ref="G22:L22"/>
    <mergeCell ref="G17:M17"/>
    <mergeCell ref="G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B19" sqref="B19"/>
    </sheetView>
  </sheetViews>
  <sheetFormatPr defaultColWidth="10.8984375" defaultRowHeight="15.6" x14ac:dyDescent="0.3"/>
  <cols>
    <col min="1" max="1" width="11.5" style="1" customWidth="1"/>
    <col min="2" max="2" width="10.8984375" style="1"/>
    <col min="3" max="3" width="3.8984375" style="1" bestFit="1" customWidth="1"/>
    <col min="4" max="16384" width="10.8984375" style="1"/>
  </cols>
  <sheetData>
    <row r="1" spans="1:6" x14ac:dyDescent="0.3">
      <c r="A1" s="5" t="s">
        <v>7</v>
      </c>
      <c r="B1" s="5" t="s">
        <v>11</v>
      </c>
      <c r="C1" s="5" t="s">
        <v>12</v>
      </c>
      <c r="D1" s="5" t="s">
        <v>13</v>
      </c>
      <c r="F1" s="1" t="s">
        <v>14</v>
      </c>
    </row>
    <row r="2" spans="1:6" x14ac:dyDescent="0.3">
      <c r="A2" s="5" t="s">
        <v>8</v>
      </c>
      <c r="B2" s="5">
        <v>1.5</v>
      </c>
      <c r="C2" s="5">
        <v>1.5</v>
      </c>
      <c r="D2" s="5">
        <v>0.5</v>
      </c>
      <c r="F2" s="1">
        <v>0.49</v>
      </c>
    </row>
    <row r="3" spans="1:6" x14ac:dyDescent="0.3">
      <c r="A3" s="5" t="s">
        <v>9</v>
      </c>
      <c r="B3" s="5">
        <v>1.2</v>
      </c>
      <c r="C3" s="5">
        <v>0.9</v>
      </c>
      <c r="D3" s="5">
        <v>1.2</v>
      </c>
      <c r="F3" s="1">
        <v>0.52</v>
      </c>
    </row>
    <row r="4" spans="1:6" x14ac:dyDescent="0.3">
      <c r="A4" s="5" t="s">
        <v>10</v>
      </c>
      <c r="B4" s="5">
        <v>1</v>
      </c>
      <c r="C4" s="5">
        <v>1</v>
      </c>
      <c r="D4" s="5">
        <v>1</v>
      </c>
      <c r="F4" s="1">
        <v>0.46</v>
      </c>
    </row>
    <row r="5" spans="1:6" x14ac:dyDescent="0.3">
      <c r="A5" s="5"/>
      <c r="B5" s="5"/>
      <c r="C5" s="5"/>
      <c r="D5" s="5"/>
    </row>
    <row r="6" spans="1:6" x14ac:dyDescent="0.3">
      <c r="A6" s="5" t="s">
        <v>15</v>
      </c>
      <c r="B6" s="5">
        <f>1/3</f>
        <v>0.33333333333333331</v>
      </c>
    </row>
    <row r="7" spans="1:6" x14ac:dyDescent="0.3">
      <c r="A7" s="5" t="s">
        <v>6</v>
      </c>
      <c r="B7" s="5">
        <v>2</v>
      </c>
    </row>
    <row r="9" spans="1:6" x14ac:dyDescent="0.3">
      <c r="A9" s="2" t="s">
        <v>1</v>
      </c>
      <c r="B9" s="2" t="s">
        <v>5</v>
      </c>
      <c r="D9" s="4" t="s">
        <v>0</v>
      </c>
      <c r="E9" s="4" t="s">
        <v>4</v>
      </c>
    </row>
    <row r="10" spans="1:6" x14ac:dyDescent="0.3">
      <c r="A10" s="3" t="s">
        <v>2</v>
      </c>
      <c r="B10" s="6">
        <v>0.99999999995149302</v>
      </c>
      <c r="D10" s="5">
        <v>1</v>
      </c>
      <c r="E10" s="7">
        <f>(1/B10)-B17</f>
        <v>-3.340216991887246E-11</v>
      </c>
    </row>
    <row r="11" spans="1:6" x14ac:dyDescent="0.3">
      <c r="A11" s="3" t="s">
        <v>46</v>
      </c>
      <c r="B11" s="6">
        <v>2.1739130425975368</v>
      </c>
      <c r="D11" s="5">
        <v>2</v>
      </c>
      <c r="E11" s="7">
        <f>$B$6/B11-B18</f>
        <v>-2.864489201392928E-11</v>
      </c>
    </row>
    <row r="12" spans="1:6" x14ac:dyDescent="0.3">
      <c r="A12" s="3" t="s">
        <v>44</v>
      </c>
      <c r="B12" s="6">
        <v>3.1250000019701965</v>
      </c>
      <c r="D12" s="5">
        <v>3</v>
      </c>
      <c r="E12" s="7">
        <f t="shared" ref="E12:E13" si="0">$B$6/B12-B19</f>
        <v>1.6020629267643471E-11</v>
      </c>
    </row>
    <row r="13" spans="1:6" x14ac:dyDescent="0.3">
      <c r="A13" s="3" t="s">
        <v>45</v>
      </c>
      <c r="B13" s="6">
        <v>1.666666666533654</v>
      </c>
      <c r="D13" s="5">
        <v>4</v>
      </c>
      <c r="E13" s="7">
        <f t="shared" si="0"/>
        <v>-1.4221707145267715E-11</v>
      </c>
    </row>
    <row r="14" spans="1:6" x14ac:dyDescent="0.3">
      <c r="A14" s="3" t="s">
        <v>20</v>
      </c>
      <c r="B14" s="6">
        <v>0.50724637606388157</v>
      </c>
      <c r="D14" s="5">
        <v>5</v>
      </c>
      <c r="E14" s="7" cm="1">
        <f t="array" ref="E14">$F2*$B$17-SUMPRODUCT($B2:$D2,TRANSPOSE($B$18:$B$20))</f>
        <v>1.3800904863359165E-11</v>
      </c>
    </row>
    <row r="15" spans="1:6" x14ac:dyDescent="0.3">
      <c r="A15" s="3" t="s">
        <v>21</v>
      </c>
      <c r="B15" s="6">
        <v>-3.1702898645755351</v>
      </c>
      <c r="D15" s="5">
        <v>6</v>
      </c>
      <c r="E15" s="7" cm="1">
        <f t="array" ref="E15">$F3*$B$17-SUMPRODUCT($B3:$D3,TRANSPOSE($B$18:$B$20))</f>
        <v>-2.7602475860533104E-11</v>
      </c>
    </row>
    <row r="16" spans="1:6" x14ac:dyDescent="0.3">
      <c r="A16" s="3" t="s">
        <v>22</v>
      </c>
      <c r="B16" s="6">
        <v>5.2173913159923551</v>
      </c>
      <c r="D16" s="5">
        <v>7</v>
      </c>
      <c r="E16" s="7" cm="1">
        <f t="array" ref="E16">$F4*$B$17-SUMPRODUCT($B4:$D4,TRANSPOSE($B$18:$B$20))</f>
        <v>0</v>
      </c>
    </row>
    <row r="17" spans="1:5" x14ac:dyDescent="0.3">
      <c r="A17" s="3" t="s">
        <v>3</v>
      </c>
      <c r="B17" s="6">
        <v>1.0000000000819091</v>
      </c>
      <c r="D17" s="5">
        <v>8</v>
      </c>
      <c r="E17" s="7">
        <f>B10-B7+SUMPRODUCT(F2:F4,B14:B16)</f>
        <v>0</v>
      </c>
    </row>
    <row r="18" spans="1:5" x14ac:dyDescent="0.3">
      <c r="A18" s="3" t="s">
        <v>23</v>
      </c>
      <c r="B18" s="6">
        <v>0.15333333342409863</v>
      </c>
      <c r="D18" s="5">
        <v>9</v>
      </c>
      <c r="E18" s="8">
        <f>B11-SUMPRODUCT(B$2:B$4,$B$14:$B$16)</f>
        <v>0</v>
      </c>
    </row>
    <row r="19" spans="1:5" x14ac:dyDescent="0.3">
      <c r="A19" s="3" t="s">
        <v>24</v>
      </c>
      <c r="B19" s="6">
        <v>0.10666666658339666</v>
      </c>
      <c r="D19" s="5">
        <v>10</v>
      </c>
      <c r="E19" s="8">
        <f>B12-SUMPRODUCT(C$2:C$4,$B$14:$B$16)</f>
        <v>0</v>
      </c>
    </row>
    <row r="20" spans="1:5" x14ac:dyDescent="0.3">
      <c r="A20" s="3" t="s">
        <v>25</v>
      </c>
      <c r="B20" s="6">
        <v>0.2000000000301832</v>
      </c>
      <c r="D20" s="17">
        <v>11</v>
      </c>
      <c r="E20" s="8">
        <f>B13-SUMPRODUCT(D$2:D$4,$B$14:$B$16)</f>
        <v>0</v>
      </c>
    </row>
    <row r="21" spans="1:5" x14ac:dyDescent="0.3">
      <c r="A21" s="9"/>
      <c r="B21" s="1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52E1-D248-4DA4-842A-5A88F5625B8B}">
  <dimension ref="A1:E23"/>
  <sheetViews>
    <sheetView workbookViewId="0"/>
  </sheetViews>
  <sheetFormatPr defaultColWidth="10.8984375" defaultRowHeight="15.6" x14ac:dyDescent="0.3"/>
  <cols>
    <col min="1" max="1" width="11.5" style="1" customWidth="1"/>
    <col min="2" max="2" width="12.3984375" style="1" bestFit="1" customWidth="1"/>
    <col min="3" max="3" width="2.8984375" style="1" customWidth="1"/>
    <col min="4" max="16384" width="10.8984375" style="1"/>
  </cols>
  <sheetData>
    <row r="1" spans="1:5" x14ac:dyDescent="0.3">
      <c r="A1" s="5" t="s">
        <v>7</v>
      </c>
      <c r="B1" s="5" t="s">
        <v>11</v>
      </c>
      <c r="C1" s="5" t="s">
        <v>12</v>
      </c>
      <c r="D1" s="5" t="s">
        <v>13</v>
      </c>
    </row>
    <row r="2" spans="1:5" x14ac:dyDescent="0.3">
      <c r="A2" s="5" t="s">
        <v>8</v>
      </c>
      <c r="B2" s="5">
        <v>1.5</v>
      </c>
      <c r="C2" s="5">
        <v>1.5</v>
      </c>
      <c r="D2" s="5">
        <v>0.5</v>
      </c>
    </row>
    <row r="3" spans="1:5" x14ac:dyDescent="0.3">
      <c r="A3" s="5" t="s">
        <v>9</v>
      </c>
      <c r="B3" s="5">
        <v>1.2</v>
      </c>
      <c r="C3" s="5">
        <v>0.9</v>
      </c>
      <c r="D3" s="5">
        <v>1.2</v>
      </c>
    </row>
    <row r="4" spans="1:5" x14ac:dyDescent="0.3">
      <c r="A4" s="5" t="s">
        <v>10</v>
      </c>
      <c r="B4" s="5">
        <v>1</v>
      </c>
      <c r="C4" s="5">
        <v>1</v>
      </c>
      <c r="D4" s="5">
        <v>1</v>
      </c>
    </row>
    <row r="5" spans="1:5" x14ac:dyDescent="0.3">
      <c r="A5" s="5"/>
      <c r="B5" s="5"/>
      <c r="C5" s="5"/>
      <c r="D5" s="5"/>
    </row>
    <row r="6" spans="1:5" x14ac:dyDescent="0.3">
      <c r="A6" s="5" t="s">
        <v>15</v>
      </c>
      <c r="B6" s="5">
        <f>1/3</f>
        <v>0.33333333333333331</v>
      </c>
    </row>
    <row r="7" spans="1:5" x14ac:dyDescent="0.3">
      <c r="A7" s="5" t="s">
        <v>6</v>
      </c>
      <c r="B7" s="5">
        <v>2</v>
      </c>
    </row>
    <row r="9" spans="1:5" x14ac:dyDescent="0.3">
      <c r="A9" s="2" t="s">
        <v>1</v>
      </c>
      <c r="B9" s="2" t="s">
        <v>5</v>
      </c>
      <c r="D9" s="4" t="s">
        <v>0</v>
      </c>
      <c r="E9" s="4" t="s">
        <v>4</v>
      </c>
    </row>
    <row r="10" spans="1:5" x14ac:dyDescent="0.3">
      <c r="A10" s="3" t="s">
        <v>2</v>
      </c>
      <c r="B10" s="6">
        <v>0.99999999998913669</v>
      </c>
      <c r="D10" s="5">
        <v>1</v>
      </c>
      <c r="E10" s="7">
        <f>(1/B10)-B17</f>
        <v>1.7249313088996132E-11</v>
      </c>
    </row>
    <row r="11" spans="1:5" x14ac:dyDescent="0.3">
      <c r="A11" s="3" t="s">
        <v>17</v>
      </c>
      <c r="B11" s="6">
        <v>2.7</v>
      </c>
      <c r="D11" s="5">
        <v>2</v>
      </c>
      <c r="E11" s="7">
        <f>$B$6/B11-B18</f>
        <v>0</v>
      </c>
    </row>
    <row r="12" spans="1:5" x14ac:dyDescent="0.3">
      <c r="A12" s="3" t="s">
        <v>18</v>
      </c>
      <c r="B12" s="6">
        <v>2.4</v>
      </c>
      <c r="D12" s="5">
        <v>3</v>
      </c>
      <c r="E12" s="7">
        <f t="shared" ref="E12:E13" si="0">$B$6/B12-B19</f>
        <v>0</v>
      </c>
    </row>
    <row r="13" spans="1:5" x14ac:dyDescent="0.3">
      <c r="A13" s="3" t="s">
        <v>19</v>
      </c>
      <c r="B13" s="6">
        <v>1.7</v>
      </c>
      <c r="D13" s="5">
        <v>4</v>
      </c>
      <c r="E13" s="7">
        <f t="shared" si="0"/>
        <v>0</v>
      </c>
    </row>
    <row r="14" spans="1:5" x14ac:dyDescent="0.3">
      <c r="A14" s="3" t="s">
        <v>20</v>
      </c>
      <c r="B14" s="6">
        <v>1</v>
      </c>
      <c r="D14" s="5">
        <v>5</v>
      </c>
      <c r="E14" s="7" cm="1">
        <f t="array" ref="E14">B21*$B$17-SUMPRODUCT($B2:$D2,TRANSPOSE($B$18:$B$20))</f>
        <v>2.0349277818354494E-12</v>
      </c>
    </row>
    <row r="15" spans="1:5" x14ac:dyDescent="0.3">
      <c r="A15" s="3" t="s">
        <v>21</v>
      </c>
      <c r="B15" s="6">
        <v>1</v>
      </c>
      <c r="D15" s="5">
        <v>6</v>
      </c>
      <c r="E15" s="7" cm="1">
        <f t="array" ref="E15">B22*$B$17-SUMPRODUCT($B3:$D3,TRANSPOSE($B$18:$B$20))</f>
        <v>2.4419355426630318E-12</v>
      </c>
    </row>
    <row r="16" spans="1:5" x14ac:dyDescent="0.3">
      <c r="A16" s="3" t="s">
        <v>22</v>
      </c>
      <c r="B16" s="6">
        <v>0</v>
      </c>
      <c r="D16" s="5">
        <v>7</v>
      </c>
      <c r="E16" s="7" cm="1">
        <f t="array" ref="E16">B23*$B$17-SUMPRODUCT($B4:$D4,TRANSPOSE($B$18:$B$20))</f>
        <v>2.280287070277609E-12</v>
      </c>
    </row>
    <row r="17" spans="1:5" x14ac:dyDescent="0.3">
      <c r="A17" s="3" t="s">
        <v>3</v>
      </c>
      <c r="B17" s="6">
        <v>0.999999999993614</v>
      </c>
      <c r="D17" s="5">
        <v>8</v>
      </c>
      <c r="E17" s="7">
        <f>B10-B7+SUMPRODUCT(B21:B23,B14:B16)</f>
        <v>0</v>
      </c>
    </row>
    <row r="18" spans="1:5" x14ac:dyDescent="0.3">
      <c r="A18" s="3" t="s">
        <v>23</v>
      </c>
      <c r="B18" s="6">
        <v>0.12345679012345677</v>
      </c>
      <c r="D18" s="5">
        <v>9</v>
      </c>
      <c r="E18" s="8">
        <f>B11-SUMPRODUCT(B$2:B$4,$B$14:$B$16)</f>
        <v>0</v>
      </c>
    </row>
    <row r="19" spans="1:5" x14ac:dyDescent="0.3">
      <c r="A19" s="3" t="s">
        <v>24</v>
      </c>
      <c r="B19" s="6">
        <v>0.1388888888888889</v>
      </c>
      <c r="D19" s="5">
        <v>10</v>
      </c>
      <c r="E19" s="8">
        <f>B12-SUMPRODUCT(C$2:C$4,$B$14:$B$16)</f>
        <v>0</v>
      </c>
    </row>
    <row r="20" spans="1:5" x14ac:dyDescent="0.3">
      <c r="A20" s="3" t="s">
        <v>25</v>
      </c>
      <c r="B20" s="6">
        <v>0.19607843137254902</v>
      </c>
      <c r="D20" s="5">
        <v>11</v>
      </c>
      <c r="E20" s="7">
        <f>B13-SUMPRODUCT(D$2:D$4,$B$14:$B$16)</f>
        <v>0</v>
      </c>
    </row>
    <row r="21" spans="1:5" x14ac:dyDescent="0.3">
      <c r="A21" s="3" t="s">
        <v>26</v>
      </c>
      <c r="B21" s="6">
        <v>0.49155773420996701</v>
      </c>
      <c r="D21" s="5">
        <v>12</v>
      </c>
      <c r="E21" s="7">
        <f>B14-1</f>
        <v>0</v>
      </c>
    </row>
    <row r="22" spans="1:5" x14ac:dyDescent="0.3">
      <c r="A22" s="3" t="s">
        <v>27</v>
      </c>
      <c r="B22" s="6">
        <v>0.50844226580089591</v>
      </c>
      <c r="D22" s="5">
        <v>13</v>
      </c>
      <c r="E22" s="7">
        <f>B15-1</f>
        <v>0</v>
      </c>
    </row>
    <row r="23" spans="1:5" x14ac:dyDescent="0.3">
      <c r="A23" s="3" t="s">
        <v>28</v>
      </c>
      <c r="B23" s="6">
        <v>0.4584241103901025</v>
      </c>
      <c r="D23" s="5">
        <v>14</v>
      </c>
      <c r="E23" s="7">
        <f>B16-0</f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PE-LM</vt:lpstr>
      <vt:lpstr>GE-LM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matteo teruggi</cp:lastModifiedBy>
  <dcterms:created xsi:type="dcterms:W3CDTF">2018-01-03T09:57:11Z</dcterms:created>
  <dcterms:modified xsi:type="dcterms:W3CDTF">2022-10-26T14:41:05Z</dcterms:modified>
</cp:coreProperties>
</file>