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te\Desktop\portifólio dados\Excel\Projeto Bancário\"/>
    </mc:Choice>
  </mc:AlternateContent>
  <xr:revisionPtr revIDLastSave="0" documentId="13_ncr:1_{F1D5BE79-B16D-4628-AB77-9B6B4A742276}" xr6:coauthVersionLast="47" xr6:coauthVersionMax="47" xr10:uidLastSave="{00000000-0000-0000-0000-000000000000}"/>
  <bookViews>
    <workbookView xWindow="-120" yWindow="-120" windowWidth="20730" windowHeight="11160" firstSheet="4" activeTab="7" xr2:uid="{97B24519-10B8-40C4-AD5A-ACD014FD133C}"/>
  </bookViews>
  <sheets>
    <sheet name="Base_Dados_Bancaria" sheetId="1" r:id="rId1"/>
    <sheet name="ajustes" sheetId="2" r:id="rId2"/>
    <sheet name="analise_descritiva" sheetId="3" r:id="rId3"/>
    <sheet name="Segmentacao_de_Clientes" sheetId="4" r:id="rId4"/>
    <sheet name="TipoXStatus" sheetId="5" r:id="rId5"/>
    <sheet name="SaldoXTipo" sheetId="6" r:id="rId6"/>
    <sheet name="Análise Temporal" sheetId="10" r:id="rId7"/>
    <sheet name="RELATÓRIO" sheetId="11" r:id="rId8"/>
  </sheets>
  <calcPr calcId="181029"/>
  <pivotCaches>
    <pivotCache cacheId="0" r:id="rId9"/>
  </pivotCaches>
</workbook>
</file>

<file path=xl/calcChain.xml><?xml version="1.0" encoding="utf-8"?>
<calcChain xmlns="http://schemas.openxmlformats.org/spreadsheetml/2006/main">
  <c r="D7" i="11" l="1"/>
  <c r="C7" i="11"/>
  <c r="D6" i="11"/>
  <c r="C6" i="11"/>
  <c r="D5" i="11"/>
  <c r="C5" i="11"/>
  <c r="B13" i="10"/>
  <c r="B12" i="10"/>
  <c r="B11" i="10"/>
  <c r="B10" i="10"/>
  <c r="B9" i="10"/>
  <c r="B8" i="10"/>
  <c r="B7" i="10"/>
  <c r="B6" i="10"/>
  <c r="B5" i="10"/>
  <c r="B4" i="10"/>
  <c r="B3" i="10"/>
  <c r="B2" i="10"/>
  <c r="L14" i="2"/>
  <c r="L13" i="2"/>
  <c r="L12" i="2"/>
  <c r="L11" i="2"/>
  <c r="L10" i="2"/>
  <c r="L9" i="2"/>
  <c r="L8" i="2"/>
  <c r="L7" i="2"/>
  <c r="L6" i="2"/>
  <c r="L5" i="2"/>
  <c r="L4" i="2"/>
  <c r="L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G3" i="4"/>
  <c r="F3" i="4"/>
  <c r="E3" i="4"/>
  <c r="C3" i="4"/>
  <c r="B3" i="4"/>
  <c r="A3" i="4"/>
  <c r="G4" i="3"/>
  <c r="F4" i="3"/>
  <c r="E4" i="3"/>
  <c r="C5" i="3"/>
  <c r="C4" i="3"/>
  <c r="C3" i="3"/>
  <c r="B5" i="3"/>
  <c r="B4" i="3"/>
  <c r="B3" i="3"/>
</calcChain>
</file>

<file path=xl/sharedStrings.xml><?xml version="1.0" encoding="utf-8"?>
<sst xmlns="http://schemas.openxmlformats.org/spreadsheetml/2006/main" count="577" uniqueCount="338">
  <si>
    <t>Cliente_ID,Nome,Idade,Saldo_Conta,Ultima_Transacao,Tipo_Conta,Status_Conta,Pontuacao_Credito</t>
  </si>
  <si>
    <t>C001,Ursula Santos,55,8585.04,2024-03-08,PoupanÃ§a,Inativa,630</t>
  </si>
  <si>
    <t>C002,Ana Costa,53,15538.68,2024-03-26,Investimento,Inativa,551</t>
  </si>
  <si>
    <t>C003,Helena Almeida,32,48466.76,2024-03-14,Investimento,Inativa,388</t>
  </si>
  <si>
    <t>C004,Eduardo Santos,55,29379.83,2024-01-06,Investimento,Inativa,585</t>
  </si>
  <si>
    <t>C005,VinÃ­cius Oliveira,32,27567.56,2024-12-11,PoupanÃ§a,Inativa,761</t>
  </si>
  <si>
    <t>C006,Sofia Rocha,18,37650.8,2024-07-26,Investimento,Inativa,549</t>
  </si>
  <si>
    <t>C007,Bruno Silva,22,3801.1,2024-11-28,PoupanÃ§a,Inativa,775</t>
  </si>
  <si>
    <t>C008,Carlos Carvalho,63,29624.7,2024-12-26,Corrente,Ativa,688</t>
  </si>
  <si>
    <t>C009,Helena Silva,58,25639.67,2024-04-09,Investimento,Inativa,644</t>
  </si>
  <si>
    <t>C010,Rafael Carvalho,21,42783.27,2024-03-26,PoupanÃ§a,Ativa,329</t>
  </si>
  <si>
    <t>C011,William Rocha,32,8714.2,2024-12-04,PoupanÃ§a,Encerrada,806</t>
  </si>
  <si>
    <t>C012,Helena Dias,22,48078.17,2024-07-28,PoupanÃ§a,Encerrada,632</t>
  </si>
  <si>
    <t>C013,Sofia Costa,20,4925.46,2024-01-28,Corrente,Ativa,486</t>
  </si>
  <si>
    <t>C014,Ana Lima,39,10105.42,2024-08-08,Investimento,Inativa,799</t>
  </si>
  <si>
    <t>C015,William Rocha,22,30156.72,2024-04-27,PoupanÃ§a,Ativa,517</t>
  </si>
  <si>
    <t>C016,Karina Costa,50,34085.42,2024-08-12,Investimento,Encerrada,663</t>
  </si>
  <si>
    <t>C017,Eduardo Carvalho,33,12524.99,2024-05-27,PoupanÃ§a,Ativa,564</t>
  </si>
  <si>
    <t>C018,Zeca Ribeiro,35,6874.44,2024-04-08,Investimento,Encerrada,648</t>
  </si>
  <si>
    <t>C019,Daniela Oliveira,60,44624.08,2024-01-22,Corrente,Ativa,586</t>
  </si>
  <si>
    <t>C020,Mariana Santos,49,13064.55,2024-04-13,PoupanÃ§a,Ativa,582</t>
  </si>
  <si>
    <t>C021,Leonardo Martins,31,30131.44,2024-06-09,PoupanÃ§a,Ativa,310</t>
  </si>
  <si>
    <t>C022,Tiago Costa,52,31349.69,2024-02-25,Corrente,Ativa,829</t>
  </si>
  <si>
    <t>C023,Bruno Dias,26,21542.02,2024-05-12,Investimento,Ativa,495</t>
  </si>
  <si>
    <t>C024,Rafael Santos,64,29599.94,2024-11-17,PoupanÃ§a,Encerrada,387</t>
  </si>
  <si>
    <t>C025,Mariana Oliveira,54,26616.35,2024-07-22,Corrente,Ativa,547</t>
  </si>
  <si>
    <t>C026,Rafael Ferreira,54,46800.61,2024-09-11,PoupanÃ§a,Ativa,716</t>
  </si>
  <si>
    <t>C027,Ursula Martins,48,11008.7,2024-01-04,PoupanÃ§a,Ativa,800</t>
  </si>
  <si>
    <t>C028,Sofia Carvalho,33,36093.4,2024-05-06,PoupanÃ§a,Inativa,546</t>
  </si>
  <si>
    <t>C029,William Oliveira,68,12695.61,2024-10-09,Investimento,Encerrada,787</t>
  </si>
  <si>
    <t>C030,Bruno Almeida,48,20393.51,2024-01-04,Corrente,Ativa,802</t>
  </si>
  <si>
    <t>C031,Zeca Ferreira,69,33912.82,2024-10-14,Corrente,Encerrada,758</t>
  </si>
  <si>
    <t>C032,Carlos Almeida,44,15699.86,2024-06-24,Corrente,Ativa,317</t>
  </si>
  <si>
    <t>C033,Daniela Barros,30,16492.68,2024-06-14,Corrente,Inativa,395</t>
  </si>
  <si>
    <t>C034,Isabela Dias,24,37841.36,2024-10-17,PoupanÃ§a,Encerrada,601</t>
  </si>
  <si>
    <t>C035,Ursula Martins,24,4554.61,2024-02-13,Investimento,Inativa,526</t>
  </si>
  <si>
    <t>C036,Fernanda Martins,60,23455.99,2024-10-07,Corrente,Inativa,714</t>
  </si>
  <si>
    <t>C037,Leonardo Carvalho,45,49924.27,2024-05-02,Investimento,Ativa,549</t>
  </si>
  <si>
    <t>C038,VinÃ­cius Costa,40,49808.73,2024-12-14,Corrente,Encerrada,613</t>
  </si>
  <si>
    <t>C039,William Oliveira,45,4589.78,2024-01-17,Corrente,Encerrada,677</t>
  </si>
  <si>
    <t>C040,Tiago Lima,44,11444.56,2024-09-22,PoupanÃ§a,Encerrada,784</t>
  </si>
  <si>
    <t>C041,Rafael Almeida,47,13994.82,2024-12-24,PoupanÃ§a,Encerrada,843</t>
  </si>
  <si>
    <t>C042,Fernanda Dias,64,46729.71,2024-12-22,PoupanÃ§a,Ativa,652</t>
  </si>
  <si>
    <t>C043,Mariana Costa,21,44162.34,2024-04-12,Investimento,Ativa,735</t>
  </si>
  <si>
    <t>C044,Ursula Almeida,61,44084.24,2024-07-03,PoupanÃ§a,Inativa,638</t>
  </si>
  <si>
    <t>C045,VinÃ­cius Ribeiro,59,19106.83,2024-11-11,PoupanÃ§a,Ativa,660</t>
  </si>
  <si>
    <t>C046,Zeca Souza,59,8729.59,2024-10-11,Corrente,Encerrada,764</t>
  </si>
  <si>
    <t>C047,Helena Souza,24,41853.5,2024-11-28,Corrente,Ativa,577</t>
  </si>
  <si>
    <t>C048,Karina Barros,21,35473.46,2024-02-24,PoupanÃ§a,Inativa,613</t>
  </si>
  <si>
    <t>C049,Isabela Oliveira,43,30972.21,2024-05-17,PoupanÃ§a,Encerrada,557</t>
  </si>
  <si>
    <t>C050,Gabriel Ribeiro,64,49374.42,2024-05-22,Investimento,Encerrada,536</t>
  </si>
  <si>
    <t>C051,Gabriel Mendes,39,33044.84,2024-07-11,Investimento,Inativa,423</t>
  </si>
  <si>
    <t>C052,Mariana Dias,69,1383.33,2024-07-23,Corrente,Inativa,497</t>
  </si>
  <si>
    <t>C053,Eduardo Costa,24,41038.1,2024-05-18,Investimento,Encerrada,623</t>
  </si>
  <si>
    <t>C054,Eduardo Almeida,33,15669.56,2024-03-07,PoupanÃ§a,Ativa,422</t>
  </si>
  <si>
    <t>C055,Yasmin Costa,30,33506.05,2024-07-22,PoupanÃ§a,Ativa,848</t>
  </si>
  <si>
    <t>C056,Yasmin Rocha,30,47007.57,2024-07-22,Corrente,Encerrada,489</t>
  </si>
  <si>
    <t>C057,Sofia Barros,52,7580.26,2024-12-06,PoupanÃ§a,Encerrada,496</t>
  </si>
  <si>
    <t>C058,Leonardo Almeida,46,6656.0,2024-10-19,PoupanÃ§a,Encerrada,521</t>
  </si>
  <si>
    <t>C059,Eduardo Mendes,26,6244.76,2024-05-13,PoupanÃ§a,Ativa,795</t>
  </si>
  <si>
    <t>C060,Carlos Souza,45,28107.96,2024-09-27,PoupanÃ§a,Ativa,583</t>
  </si>
  <si>
    <t>C061,Daniela Pereira,29,14345.06,2024-01-10,Investimento,Encerrada,837</t>
  </si>
  <si>
    <t>C062,Ursula Lima,35,30636.66,2024-05-07,Investimento,Inativa,589</t>
  </si>
  <si>
    <t>C063,VinÃ­cius Rocha,47,36163.0,2024-07-26,Investimento,Encerrada,402</t>
  </si>
  <si>
    <t>C064,Tiago Oliveira,33,10976.27,2024-10-20,Investimento,Encerrada,498</t>
  </si>
  <si>
    <t>C065,Mariana Barros,22,32077.66,2024-11-11,Investimento,Ativa,603</t>
  </si>
  <si>
    <t>C066,Tiago Dias,46,13935.21,2024-08-15,Corrente,Encerrada,532</t>
  </si>
  <si>
    <t>C067,QuÃ©sia Costa,69,24938.06,2024-08-22,PoupanÃ§a,Ativa,669</t>
  </si>
  <si>
    <t>C068,Rafael Silva,53,45361.49,2024-04-17,Corrente,Inativa,483</t>
  </si>
  <si>
    <t>C069,VinÃ­cius Santos,24,42459.08,2024-08-26,PoupanÃ§a,Encerrada,609</t>
  </si>
  <si>
    <t>C070,VinÃ­cius Costa,21,5522.62,2024-12-06,PoupanÃ§a,Inativa,314</t>
  </si>
  <si>
    <t>C071,Zeca Ribeiro,59,21755.21,2024-11-03,PoupanÃ§a,Encerrada,846</t>
  </si>
  <si>
    <t>C072,Daniela Ferreira,52,14557.33,2024-05-17,Corrente,Inativa,429</t>
  </si>
  <si>
    <t>C073,Natan Lima,18,1173.74,2024-11-21,PoupanÃ§a,Ativa,580</t>
  </si>
  <si>
    <t>C074,OlÃ­via Silva,23,38784.84,2024-10-11,PoupanÃ§a,Encerrada,346</t>
  </si>
  <si>
    <t>C075,Yasmin Costa,66,32218.56,2024-02-27,Investimento,Encerrada,355</t>
  </si>
  <si>
    <t>C076,QuÃ©sia Lima,33,13835.81,2024-04-22,Investimento,Inativa,599</t>
  </si>
  <si>
    <t>C077,QuÃ©sia Santos,28,37320.31,2024-05-08,PoupanÃ§a,Ativa,429</t>
  </si>
  <si>
    <t>C078,Ursula Ferreira,44,28032.34,2024-04-05,Investimento,Inativa,802</t>
  </si>
  <si>
    <t>C079,Ursula Carvalho,49,21956.66,2024-01-02,Corrente,Inativa,405</t>
  </si>
  <si>
    <t>C080,Eduardo Martins,48,1473.82,2024-04-16,PoupanÃ§a,Ativa,312</t>
  </si>
  <si>
    <t>C081,Zeca Lima,31,4686.95,2024-10-28,Corrente,Inativa,591</t>
  </si>
  <si>
    <t>C082,Rafael Silva,43,44272.21,2024-02-15,Investimento,Inativa,780</t>
  </si>
  <si>
    <t>C083,Tiago Ribeiro,21,45292.5,2024-07-21,Investimento,Encerrada,790</t>
  </si>
  <si>
    <t>C084,Paulo Silva,28,27733.92,2024-10-07,Corrente,Inativa,751</t>
  </si>
  <si>
    <t>C085,Daniela Martins,42,41895.16,2024-12-23,PoupanÃ§a,Encerrada,648</t>
  </si>
  <si>
    <t>C086,JoÃ£o Almeida,18,29542.97,2024-07-16,Investimento,Ativa,488</t>
  </si>
  <si>
    <t>C087,Bruno Almeida,42,8256.6,2024-07-08,Investimento,Inativa,352</t>
  </si>
  <si>
    <t>C088,Sofia Oliveira,34,7244.83,2024-03-21,Investimento,Ativa,558</t>
  </si>
  <si>
    <t>C089,Carlos Mendes,68,16104.66,2024-12-01,Corrente,Encerrada,789</t>
  </si>
  <si>
    <t>C090,Carlos Pereira,68,45050.09,2024-02-25,Corrente,Encerrada,416</t>
  </si>
  <si>
    <t>C091,Eduardo Mendes,47,40009.99,2024-07-08,Investimento,Encerrada,366</t>
  </si>
  <si>
    <t>C092,Rafael Lima,36,43174.43,2024-03-26,PoupanÃ§a,Inativa,710</t>
  </si>
  <si>
    <t>C093,Isabela Rocha,45,45047.31,2024-12-17,Corrente,Encerrada,803</t>
  </si>
  <si>
    <t>C094,Gabriel Carvalho,62,11293.75,2024-08-02,PoupanÃ§a,Encerrada,375</t>
  </si>
  <si>
    <t>C095,William Ferreira,64,13226.96,2024-09-08,Corrente,Inativa,354</t>
  </si>
  <si>
    <t>C096,Mariana Martins,68,6036.89,2024-02-15,Corrente,Inativa,455</t>
  </si>
  <si>
    <t>C097,OlÃ­via Dias,53,39225.7,2024-03-26,PoupanÃ§a,Inativa,452</t>
  </si>
  <si>
    <t>C098,Daniela Almeida,60,44322.6,2024-08-22,PoupanÃ§a,Encerrada,611</t>
  </si>
  <si>
    <t>C099,Helena Oliveira,63,20912.49,2024-09-18,PoupanÃ§a,Encerrada,387</t>
  </si>
  <si>
    <t>C100,Karina Silva,49,31412.41,2024-10-11,Corrente,Inativa,554</t>
  </si>
  <si>
    <t>Cliente_ID</t>
  </si>
  <si>
    <t>Nome</t>
  </si>
  <si>
    <t>Idade</t>
  </si>
  <si>
    <t>Saldo_Conta</t>
  </si>
  <si>
    <t>Ultima_Transacao</t>
  </si>
  <si>
    <t>Tipo_Conta</t>
  </si>
  <si>
    <t>Status_Conta</t>
  </si>
  <si>
    <t>Pontuacao_Credito</t>
  </si>
  <si>
    <t>C001</t>
  </si>
  <si>
    <t>Ursula Santos</t>
  </si>
  <si>
    <t>Inativa</t>
  </si>
  <si>
    <t>C002</t>
  </si>
  <si>
    <t>Ana Costa</t>
  </si>
  <si>
    <t>Investimento</t>
  </si>
  <si>
    <t>C003</t>
  </si>
  <si>
    <t>Helena Almeida</t>
  </si>
  <si>
    <t>C004</t>
  </si>
  <si>
    <t>Eduardo Santos</t>
  </si>
  <si>
    <t>C005</t>
  </si>
  <si>
    <t>C006</t>
  </si>
  <si>
    <t>Sofia Rocha</t>
  </si>
  <si>
    <t>C007</t>
  </si>
  <si>
    <t>Bruno Silva</t>
  </si>
  <si>
    <t>C008</t>
  </si>
  <si>
    <t>Carlos Carvalho</t>
  </si>
  <si>
    <t>Corrente</t>
  </si>
  <si>
    <t>Ativa</t>
  </si>
  <si>
    <t>C009</t>
  </si>
  <si>
    <t>Helena Silva</t>
  </si>
  <si>
    <t>C010</t>
  </si>
  <si>
    <t>Rafael Carvalho</t>
  </si>
  <si>
    <t>C011</t>
  </si>
  <si>
    <t>William Rocha</t>
  </si>
  <si>
    <t>Encerrada</t>
  </si>
  <si>
    <t>C012</t>
  </si>
  <si>
    <t>Helena Dias</t>
  </si>
  <si>
    <t>C013</t>
  </si>
  <si>
    <t>Sofia Costa</t>
  </si>
  <si>
    <t>C014</t>
  </si>
  <si>
    <t>Ana Lima</t>
  </si>
  <si>
    <t>C015</t>
  </si>
  <si>
    <t>C016</t>
  </si>
  <si>
    <t>Karina Costa</t>
  </si>
  <si>
    <t>C017</t>
  </si>
  <si>
    <t>Eduardo Carvalho</t>
  </si>
  <si>
    <t>C018</t>
  </si>
  <si>
    <t>Zeca Ribeiro</t>
  </si>
  <si>
    <t>C019</t>
  </si>
  <si>
    <t>Daniela Oliveira</t>
  </si>
  <si>
    <t>C020</t>
  </si>
  <si>
    <t>Mariana Santos</t>
  </si>
  <si>
    <t>C021</t>
  </si>
  <si>
    <t>Leonardo Martins</t>
  </si>
  <si>
    <t>C022</t>
  </si>
  <si>
    <t>Tiago Costa</t>
  </si>
  <si>
    <t>C023</t>
  </si>
  <si>
    <t>Bruno Dias</t>
  </si>
  <si>
    <t>C024</t>
  </si>
  <si>
    <t>Rafael Santos</t>
  </si>
  <si>
    <t>C025</t>
  </si>
  <si>
    <t>Mariana Oliveira</t>
  </si>
  <si>
    <t>C026</t>
  </si>
  <si>
    <t>Rafael Ferreira</t>
  </si>
  <si>
    <t>C027</t>
  </si>
  <si>
    <t>Ursula Martins</t>
  </si>
  <si>
    <t>C028</t>
  </si>
  <si>
    <t>Sofia Carvalho</t>
  </si>
  <si>
    <t>C029</t>
  </si>
  <si>
    <t>William Oliveira</t>
  </si>
  <si>
    <t>C030</t>
  </si>
  <si>
    <t>Bruno Almeida</t>
  </si>
  <si>
    <t>C031</t>
  </si>
  <si>
    <t>Zeca Ferreira</t>
  </si>
  <si>
    <t>C032</t>
  </si>
  <si>
    <t>Carlos Almeida</t>
  </si>
  <si>
    <t>C033</t>
  </si>
  <si>
    <t>Daniela Barros</t>
  </si>
  <si>
    <t>C034</t>
  </si>
  <si>
    <t>Isabela Dias</t>
  </si>
  <si>
    <t>C035</t>
  </si>
  <si>
    <t>C036</t>
  </si>
  <si>
    <t>Fernanda Martins</t>
  </si>
  <si>
    <t>C037</t>
  </si>
  <si>
    <t>Leonardo Carvalho</t>
  </si>
  <si>
    <t>C038</t>
  </si>
  <si>
    <t>C039</t>
  </si>
  <si>
    <t>C040</t>
  </si>
  <si>
    <t>Tiago Lima</t>
  </si>
  <si>
    <t>C041</t>
  </si>
  <si>
    <t>Rafael Almeida</t>
  </si>
  <si>
    <t>C042</t>
  </si>
  <si>
    <t>Fernanda Dias</t>
  </si>
  <si>
    <t>C043</t>
  </si>
  <si>
    <t>Mariana Costa</t>
  </si>
  <si>
    <t>C044</t>
  </si>
  <si>
    <t>Ursula Almeida</t>
  </si>
  <si>
    <t>C045</t>
  </si>
  <si>
    <t>C046</t>
  </si>
  <si>
    <t>Zeca Souza</t>
  </si>
  <si>
    <t>C047</t>
  </si>
  <si>
    <t>Helena Souza</t>
  </si>
  <si>
    <t>C048</t>
  </si>
  <si>
    <t>Karina Barros</t>
  </si>
  <si>
    <t>C049</t>
  </si>
  <si>
    <t>Isabela Oliveira</t>
  </si>
  <si>
    <t>C050</t>
  </si>
  <si>
    <t>Gabriel Ribeiro</t>
  </si>
  <si>
    <t>C051</t>
  </si>
  <si>
    <t>Gabriel Mendes</t>
  </si>
  <si>
    <t>C052</t>
  </si>
  <si>
    <t>Mariana Dias</t>
  </si>
  <si>
    <t>C053</t>
  </si>
  <si>
    <t>Eduardo Costa</t>
  </si>
  <si>
    <t>C054</t>
  </si>
  <si>
    <t>Eduardo Almeida</t>
  </si>
  <si>
    <t>C055</t>
  </si>
  <si>
    <t>Yasmin Costa</t>
  </si>
  <si>
    <t>C056</t>
  </si>
  <si>
    <t>Yasmin Rocha</t>
  </si>
  <si>
    <t>C057</t>
  </si>
  <si>
    <t>Sofia Barros</t>
  </si>
  <si>
    <t>C058</t>
  </si>
  <si>
    <t>Leonardo Almeida</t>
  </si>
  <si>
    <t>C059</t>
  </si>
  <si>
    <t>Eduardo Mendes</t>
  </si>
  <si>
    <t>C060</t>
  </si>
  <si>
    <t>Carlos Souza</t>
  </si>
  <si>
    <t>C061</t>
  </si>
  <si>
    <t>Daniela Pereira</t>
  </si>
  <si>
    <t>C062</t>
  </si>
  <si>
    <t>Ursula Lima</t>
  </si>
  <si>
    <t>C063</t>
  </si>
  <si>
    <t>C064</t>
  </si>
  <si>
    <t>Tiago Oliveira</t>
  </si>
  <si>
    <t>C065</t>
  </si>
  <si>
    <t>Mariana Barros</t>
  </si>
  <si>
    <t>C066</t>
  </si>
  <si>
    <t>Tiago Dias</t>
  </si>
  <si>
    <t>C067</t>
  </si>
  <si>
    <t>C068</t>
  </si>
  <si>
    <t>Rafael Silva</t>
  </si>
  <si>
    <t>C069</t>
  </si>
  <si>
    <t>C070</t>
  </si>
  <si>
    <t>C071</t>
  </si>
  <si>
    <t>C072</t>
  </si>
  <si>
    <t>Daniela Ferreira</t>
  </si>
  <si>
    <t>C073</t>
  </si>
  <si>
    <t>Natan Lima</t>
  </si>
  <si>
    <t>C074</t>
  </si>
  <si>
    <t>C075</t>
  </si>
  <si>
    <t>C076</t>
  </si>
  <si>
    <t>C077</t>
  </si>
  <si>
    <t>C078</t>
  </si>
  <si>
    <t>Ursula Ferreira</t>
  </si>
  <si>
    <t>C079</t>
  </si>
  <si>
    <t>Ursula Carvalho</t>
  </si>
  <si>
    <t>C080</t>
  </si>
  <si>
    <t>Eduardo Martins</t>
  </si>
  <si>
    <t>C081</t>
  </si>
  <si>
    <t>Zeca Lima</t>
  </si>
  <si>
    <t>C082</t>
  </si>
  <si>
    <t>C083</t>
  </si>
  <si>
    <t>Tiago Ribeiro</t>
  </si>
  <si>
    <t>C084</t>
  </si>
  <si>
    <t>Paulo Silva</t>
  </si>
  <si>
    <t>C085</t>
  </si>
  <si>
    <t>Daniela Martins</t>
  </si>
  <si>
    <t>C086</t>
  </si>
  <si>
    <t>C087</t>
  </si>
  <si>
    <t>C088</t>
  </si>
  <si>
    <t>Sofia Oliveira</t>
  </si>
  <si>
    <t>C089</t>
  </si>
  <si>
    <t>Carlos Mendes</t>
  </si>
  <si>
    <t>C090</t>
  </si>
  <si>
    <t>Carlos Pereira</t>
  </si>
  <si>
    <t>C091</t>
  </si>
  <si>
    <t>C092</t>
  </si>
  <si>
    <t>Rafael Lima</t>
  </si>
  <si>
    <t>C093</t>
  </si>
  <si>
    <t>Isabela Rocha</t>
  </si>
  <si>
    <t>C094</t>
  </si>
  <si>
    <t>Gabriel Carvalho</t>
  </si>
  <si>
    <t>C095</t>
  </si>
  <si>
    <t>William Ferreira</t>
  </si>
  <si>
    <t>C096</t>
  </si>
  <si>
    <t>Mariana Martins</t>
  </si>
  <si>
    <t>C097</t>
  </si>
  <si>
    <t>C098</t>
  </si>
  <si>
    <t>Daniela Almeida</t>
  </si>
  <si>
    <t>C099</t>
  </si>
  <si>
    <t>Helena Oliveira</t>
  </si>
  <si>
    <t>C100</t>
  </si>
  <si>
    <t>Karina Silva</t>
  </si>
  <si>
    <t>Poupança</t>
  </si>
  <si>
    <t>Vinícius Oliveira</t>
  </si>
  <si>
    <t>Vinícius Costa</t>
  </si>
  <si>
    <t>Vinícius Ribeiro</t>
  </si>
  <si>
    <t>Vinícius Rocha</t>
  </si>
  <si>
    <t>Vinícius Santos</t>
  </si>
  <si>
    <t>Cássia Costa</t>
  </si>
  <si>
    <t>Cássia Lima</t>
  </si>
  <si>
    <t>Cássia Santos</t>
  </si>
  <si>
    <t>Olívia Silva</t>
  </si>
  <si>
    <t>Olívia Dias</t>
  </si>
  <si>
    <t>João Almeida</t>
  </si>
  <si>
    <t>Saldo Conta</t>
  </si>
  <si>
    <t>Pontuação de Crédito</t>
  </si>
  <si>
    <t>Média</t>
  </si>
  <si>
    <t>Mediana</t>
  </si>
  <si>
    <t>Desvio Padrão</t>
  </si>
  <si>
    <t xml:space="preserve">Distribuição de Idades dos Clientes </t>
  </si>
  <si>
    <t>18-25 anos</t>
  </si>
  <si>
    <t>40+ anos</t>
  </si>
  <si>
    <t>26-40 anos</t>
  </si>
  <si>
    <t>Quantidade de Clientes por Tipo de Conta</t>
  </si>
  <si>
    <t>Quantidade de Clientes por Status da Conta</t>
  </si>
  <si>
    <t>Rótulos de Linha</t>
  </si>
  <si>
    <t>Total Geral</t>
  </si>
  <si>
    <t>Rótulos de Coluna</t>
  </si>
  <si>
    <t>Distribuição de Status de Conta por Tipo</t>
  </si>
  <si>
    <t>Soma de Saldo_Conta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</si>
  <si>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</si>
  <si>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</si>
  <si>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</si>
  <si>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</si>
  <si>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</si>
  <si>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</si>
  <si>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</si>
  <si>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</si>
  <si>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</si>
  <si>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</si>
  <si>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</si>
  <si>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</si>
  <si>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</si>
  <si>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Quantidade de Transações em Cada Mês</t>
  </si>
  <si>
    <t>RELATÓRIO FINAL - ANÁLISE BANCÁRIA</t>
  </si>
  <si>
    <t>RESUMO ESTATÍSTICO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</si>
</sst>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8" fillId="33" borderId="10" xfId="0" applyFont="1" applyFill="1" applyBorder="1"/>
    <xf numFmtId="0" fontId="16" fillId="34" borderId="10" xfId="0" applyFont="1" applyFill="1" applyBorder="1"/>
    <xf numFmtId="0" fontId="18" fillId="33" borderId="10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10" xfId="0" applyFont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3" fillId="36" borderId="14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1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D0000"/>
      <color rgb="FF388600"/>
      <color rgb="FFA66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Distribuição de Idades dos Clientes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DDF-434D-8FFA-76FE4CB026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582CD4-4A31-4D83-9FF3-3F37386CA892}" type="VALUE">
                      <a:rPr lang="en-US" sz="1200"/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DDF-434D-8FFA-76FE4CB026D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" lastClr="FFFFFF">
                          <a:lumMod val="8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DDF-434D-8FFA-76FE4CB026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analise_descritiva!$E$2:$G$3</c:f>
              <c:multiLvlStrCache>
                <c:ptCount val="3"/>
                <c:lvl>
                  <c:pt idx="0">
                    <c:v>18-25 anos</c:v>
                  </c:pt>
                  <c:pt idx="1">
                    <c:v>26-40 anos</c:v>
                  </c:pt>
                  <c:pt idx="2">
                    <c:v>40+ anos</c:v>
                  </c:pt>
                </c:lvl>
                <c:lvl>
                  <c:pt idx="0">
                    <c:v>Distribuição de Idades dos Clientes </c:v>
                  </c:pt>
                </c:lvl>
              </c:multiLvlStrCache>
            </c:multiLvlStrRef>
          </c:cat>
          <c:val>
            <c:numRef>
              <c:f>analise_descritiva!$E$4:$G$4</c:f>
              <c:numCache>
                <c:formatCode>General</c:formatCode>
                <c:ptCount val="3"/>
                <c:pt idx="0">
                  <c:v>19</c:v>
                </c:pt>
                <c:pt idx="1">
                  <c:v>25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F-434D-8FFA-76FE4CB02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0744624"/>
        <c:axId val="560744984"/>
      </c:barChart>
      <c:catAx>
        <c:axId val="5607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744984"/>
        <c:crosses val="autoZero"/>
        <c:auto val="1"/>
        <c:lblAlgn val="ctr"/>
        <c:lblOffset val="100"/>
        <c:noMultiLvlLbl val="0"/>
      </c:catAx>
      <c:valAx>
        <c:axId val="56074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74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[Base_Dados_Bancaria.xlsx]TipoXStatus!Tabela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de Status de Conta por Tipo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TipoXStatus!$B$3:$B$4</c:f>
              <c:strCache>
                <c:ptCount val="1"/>
                <c:pt idx="0">
                  <c:v>Ativa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TipoXStatus!$A$5:$A$8</c:f>
              <c:strCache>
                <c:ptCount val="3"/>
                <c:pt idx="0">
                  <c:v>Corrente</c:v>
                </c:pt>
                <c:pt idx="1">
                  <c:v>Investimento</c:v>
                </c:pt>
                <c:pt idx="2">
                  <c:v>Poupança</c:v>
                </c:pt>
              </c:strCache>
            </c:strRef>
          </c:cat>
          <c:val>
            <c:numRef>
              <c:f>TipoXStatus!$B$5:$B$8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D-4DD9-AD05-4418AEE37F44}"/>
            </c:ext>
          </c:extLst>
        </c:ser>
        <c:ser>
          <c:idx val="1"/>
          <c:order val="1"/>
          <c:tx>
            <c:strRef>
              <c:f>TipoXStatus!$C$3:$C$4</c:f>
              <c:strCache>
                <c:ptCount val="1"/>
                <c:pt idx="0">
                  <c:v>Encerrada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TipoXStatus!$A$5:$A$8</c:f>
              <c:strCache>
                <c:ptCount val="3"/>
                <c:pt idx="0">
                  <c:v>Corrente</c:v>
                </c:pt>
                <c:pt idx="1">
                  <c:v>Investimento</c:v>
                </c:pt>
                <c:pt idx="2">
                  <c:v>Poupança</c:v>
                </c:pt>
              </c:strCache>
            </c:strRef>
          </c:cat>
          <c:val>
            <c:numRef>
              <c:f>TipoXStatus!$C$5:$C$8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D-4DD9-AD05-4418AEE37F44}"/>
            </c:ext>
          </c:extLst>
        </c:ser>
        <c:ser>
          <c:idx val="2"/>
          <c:order val="2"/>
          <c:tx>
            <c:strRef>
              <c:f>TipoXStatus!$D$3:$D$4</c:f>
              <c:strCache>
                <c:ptCount val="1"/>
                <c:pt idx="0">
                  <c:v>Inativa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TipoXStatus!$A$5:$A$8</c:f>
              <c:strCache>
                <c:ptCount val="3"/>
                <c:pt idx="0">
                  <c:v>Corrente</c:v>
                </c:pt>
                <c:pt idx="1">
                  <c:v>Investimento</c:v>
                </c:pt>
                <c:pt idx="2">
                  <c:v>Poupança</c:v>
                </c:pt>
              </c:strCache>
            </c:strRef>
          </c:cat>
          <c:val>
            <c:numRef>
              <c:f>TipoXStatus!$D$5:$D$8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D-4DD9-AD05-4418AEE37F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7087464"/>
        <c:axId val="437088544"/>
      </c:barChart>
      <c:catAx>
        <c:axId val="43708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088544"/>
        <c:crosses val="autoZero"/>
        <c:auto val="1"/>
        <c:lblAlgn val="ctr"/>
        <c:lblOffset val="100"/>
        <c:noMultiLvlLbl val="0"/>
      </c:catAx>
      <c:valAx>
        <c:axId val="4370885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08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>
                <a:effectLst/>
              </a:rPr>
              <a:t>Quantidade de Clientes por Tipo de Conta</a:t>
            </a:r>
            <a:r>
              <a:rPr lang="pt-BR" sz="1800" b="1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Segmentacao_de_Clientes!$A$2:$C$2</c:f>
              <c:strCache>
                <c:ptCount val="3"/>
                <c:pt idx="0">
                  <c:v>Corrente</c:v>
                </c:pt>
                <c:pt idx="1">
                  <c:v>Poupança</c:v>
                </c:pt>
                <c:pt idx="2">
                  <c:v>Investimento</c:v>
                </c:pt>
              </c:strCache>
            </c:strRef>
          </c:cat>
          <c:val>
            <c:numRef>
              <c:f>Segmentacao_de_Clientes!$A$3:$C$3</c:f>
              <c:numCache>
                <c:formatCode>General</c:formatCode>
                <c:ptCount val="3"/>
                <c:pt idx="0">
                  <c:v>28</c:v>
                </c:pt>
                <c:pt idx="1">
                  <c:v>42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E-40E8-A5C9-9B98655F48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2673856"/>
        <c:axId val="452673496"/>
      </c:barChart>
      <c:catAx>
        <c:axId val="45267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673496"/>
        <c:crosses val="autoZero"/>
        <c:auto val="1"/>
        <c:lblAlgn val="ctr"/>
        <c:lblOffset val="100"/>
        <c:noMultiLvlLbl val="0"/>
      </c:catAx>
      <c:valAx>
        <c:axId val="452673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6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>
                <a:effectLst/>
              </a:rPr>
              <a:t>Quantidade de Clientes por Status da Conta</a:t>
            </a:r>
            <a:r>
              <a:rPr lang="pt-BR" sz="1800" b="1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Segmentacao_de_Clientes!$E$2:$G$2</c:f>
              <c:strCache>
                <c:ptCount val="3"/>
                <c:pt idx="0">
                  <c:v>Ativa</c:v>
                </c:pt>
                <c:pt idx="1">
                  <c:v>Inativa</c:v>
                </c:pt>
                <c:pt idx="2">
                  <c:v>Encerrada</c:v>
                </c:pt>
              </c:strCache>
            </c:strRef>
          </c:cat>
          <c:val>
            <c:numRef>
              <c:f>Segmentacao_de_Clientes!$E$3:$G$3</c:f>
              <c:numCache>
                <c:formatCode>General</c:formatCode>
                <c:ptCount val="3"/>
                <c:pt idx="0">
                  <c:v>31</c:v>
                </c:pt>
                <c:pt idx="1">
                  <c:v>33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7-4F39-93E7-9C0A3C4492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7571384"/>
        <c:axId val="427569584"/>
      </c:barChart>
      <c:catAx>
        <c:axId val="42757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569584"/>
        <c:crosses val="autoZero"/>
        <c:auto val="1"/>
        <c:lblAlgn val="ctr"/>
        <c:lblOffset val="100"/>
        <c:noMultiLvlLbl val="0"/>
      </c:catAx>
      <c:valAx>
        <c:axId val="42756958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57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>
                <a:effectLst/>
              </a:rPr>
              <a:t>Quantidade de Clientes por Tipo de Conta</a:t>
            </a:r>
            <a:r>
              <a:rPr lang="pt-BR" sz="1800" b="1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Segmentacao_de_Clientes!$A$2:$C$2</c:f>
              <c:strCache>
                <c:ptCount val="3"/>
                <c:pt idx="0">
                  <c:v>Corrente</c:v>
                </c:pt>
                <c:pt idx="1">
                  <c:v>Poupança</c:v>
                </c:pt>
                <c:pt idx="2">
                  <c:v>Investimento</c:v>
                </c:pt>
              </c:strCache>
            </c:strRef>
          </c:cat>
          <c:val>
            <c:numRef>
              <c:f>Segmentacao_de_Clientes!$A$3:$C$3</c:f>
              <c:numCache>
                <c:formatCode>General</c:formatCode>
                <c:ptCount val="3"/>
                <c:pt idx="0">
                  <c:v>28</c:v>
                </c:pt>
                <c:pt idx="1">
                  <c:v>42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C-4EE1-8187-15C89C01EE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2673856"/>
        <c:axId val="452673496"/>
      </c:barChart>
      <c:catAx>
        <c:axId val="45267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673496"/>
        <c:crosses val="autoZero"/>
        <c:auto val="1"/>
        <c:lblAlgn val="ctr"/>
        <c:lblOffset val="100"/>
        <c:noMultiLvlLbl val="0"/>
      </c:catAx>
      <c:valAx>
        <c:axId val="452673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6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>
                <a:effectLst/>
              </a:rPr>
              <a:t>Quantidade de Clientes por Status da Conta</a:t>
            </a:r>
            <a:r>
              <a:rPr lang="pt-BR" sz="1800" b="1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Segmentacao_de_Clientes!$E$2:$G$2</c:f>
              <c:strCache>
                <c:ptCount val="3"/>
                <c:pt idx="0">
                  <c:v>Ativa</c:v>
                </c:pt>
                <c:pt idx="1">
                  <c:v>Inativa</c:v>
                </c:pt>
                <c:pt idx="2">
                  <c:v>Encerrada</c:v>
                </c:pt>
              </c:strCache>
            </c:strRef>
          </c:cat>
          <c:val>
            <c:numRef>
              <c:f>Segmentacao_de_Clientes!$E$3:$G$3</c:f>
              <c:numCache>
                <c:formatCode>General</c:formatCode>
                <c:ptCount val="3"/>
                <c:pt idx="0">
                  <c:v>31</c:v>
                </c:pt>
                <c:pt idx="1">
                  <c:v>33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0-469D-857F-24A0347676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7571384"/>
        <c:axId val="427569584"/>
      </c:barChart>
      <c:catAx>
        <c:axId val="42757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569584"/>
        <c:crosses val="autoZero"/>
        <c:auto val="1"/>
        <c:lblAlgn val="ctr"/>
        <c:lblOffset val="100"/>
        <c:noMultiLvlLbl val="0"/>
      </c:catAx>
      <c:valAx>
        <c:axId val="42756958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57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[Base_Dados_Bancaria.xlsx]TipoXStatus!Tabela dinâmica1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TipoXStatus!$B$3:$B$4</c:f>
              <c:strCache>
                <c:ptCount val="1"/>
                <c:pt idx="0">
                  <c:v>Ativa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TipoXStatus!$A$5:$A$8</c:f>
              <c:strCache>
                <c:ptCount val="3"/>
                <c:pt idx="0">
                  <c:v>Corrente</c:v>
                </c:pt>
                <c:pt idx="1">
                  <c:v>Investimento</c:v>
                </c:pt>
                <c:pt idx="2">
                  <c:v>Poupança</c:v>
                </c:pt>
              </c:strCache>
            </c:strRef>
          </c:cat>
          <c:val>
            <c:numRef>
              <c:f>TipoXStatus!$B$5:$B$8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5-4A76-8737-74A59ACB1EA5}"/>
            </c:ext>
          </c:extLst>
        </c:ser>
        <c:ser>
          <c:idx val="1"/>
          <c:order val="1"/>
          <c:tx>
            <c:strRef>
              <c:f>TipoXStatus!$C$3:$C$4</c:f>
              <c:strCache>
                <c:ptCount val="1"/>
                <c:pt idx="0">
                  <c:v>Encerrada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TipoXStatus!$A$5:$A$8</c:f>
              <c:strCache>
                <c:ptCount val="3"/>
                <c:pt idx="0">
                  <c:v>Corrente</c:v>
                </c:pt>
                <c:pt idx="1">
                  <c:v>Investimento</c:v>
                </c:pt>
                <c:pt idx="2">
                  <c:v>Poupança</c:v>
                </c:pt>
              </c:strCache>
            </c:strRef>
          </c:cat>
          <c:val>
            <c:numRef>
              <c:f>TipoXStatus!$C$5:$C$8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5-4A76-8737-74A59ACB1EA5}"/>
            </c:ext>
          </c:extLst>
        </c:ser>
        <c:ser>
          <c:idx val="2"/>
          <c:order val="2"/>
          <c:tx>
            <c:strRef>
              <c:f>TipoXStatus!$D$3:$D$4</c:f>
              <c:strCache>
                <c:ptCount val="1"/>
                <c:pt idx="0">
                  <c:v>Inativa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TipoXStatus!$A$5:$A$8</c:f>
              <c:strCache>
                <c:ptCount val="3"/>
                <c:pt idx="0">
                  <c:v>Corrente</c:v>
                </c:pt>
                <c:pt idx="1">
                  <c:v>Investimento</c:v>
                </c:pt>
                <c:pt idx="2">
                  <c:v>Poupança</c:v>
                </c:pt>
              </c:strCache>
            </c:strRef>
          </c:cat>
          <c:val>
            <c:numRef>
              <c:f>TipoXStatus!$D$5:$D$8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5-4A76-8737-74A59ACB1E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7087464"/>
        <c:axId val="437088544"/>
      </c:barChart>
      <c:catAx>
        <c:axId val="43708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088544"/>
        <c:crosses val="autoZero"/>
        <c:auto val="1"/>
        <c:lblAlgn val="ctr"/>
        <c:lblOffset val="100"/>
        <c:noMultiLvlLbl val="0"/>
      </c:catAx>
      <c:valAx>
        <c:axId val="4370885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08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[Base_Dados_Bancaria.xlsx]SaldoXTipo!Tabela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Soma do Saldo por Tipo de Conta</a:t>
            </a:r>
          </a:p>
          <a:p>
            <a:pPr>
              <a:defRPr b="1">
                <a:solidFill>
                  <a:schemeClr val="tx1"/>
                </a:solidFill>
              </a:defRPr>
            </a:pP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9525" cap="flat" cmpd="sng" algn="ctr">
            <a:solidFill>
              <a:schemeClr val="bg1"/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810ACCE-047C-485D-969F-2674BE793F38}" type="VALUE">
                  <a:rPr lang="en-US" baseline="0">
                    <a:solidFill>
                      <a:sysClr val="windowText" lastClr="000000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bg1"/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9E17331-1CB4-4356-843A-2DF89D049C99}" type="VALUE">
                  <a: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 w="9525" cap="flat" cmpd="sng" algn="ctr">
            <a:solidFill>
              <a:schemeClr val="bg1"/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2937157-4EB1-41E2-914D-DE8142F1BD9F}" type="VALUE">
                  <a:rPr lang="en-US" baseline="0">
                    <a:solidFill>
                      <a:sysClr val="windowText" lastClr="000000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SaldoXTipo!$B$3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bg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3C-418D-8B50-0BF7A1B9898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3C-418D-8B50-0BF7A1B9898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3C-418D-8B50-0BF7A1B9898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2937157-4EB1-41E2-914D-DE8142F1BD9F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B3C-418D-8B50-0BF7A1B989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10ACCE-047C-485D-969F-2674BE793F38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B3C-418D-8B50-0BF7A1B989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E17331-1CB4-4356-843A-2DF89D049C99}" type="VALUE"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3C-418D-8B50-0BF7A1B989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SaldoXTipo!$A$4:$A$7</c:f>
              <c:strCache>
                <c:ptCount val="3"/>
                <c:pt idx="0">
                  <c:v>Corrente</c:v>
                </c:pt>
                <c:pt idx="1">
                  <c:v>Investimento</c:v>
                </c:pt>
                <c:pt idx="2">
                  <c:v>Poupança</c:v>
                </c:pt>
              </c:strCache>
            </c:strRef>
          </c:cat>
          <c:val>
            <c:numRef>
              <c:f>SaldoXTipo!$B$4:$B$7</c:f>
              <c:numCache>
                <c:formatCode>_-[$R$-416]\ * #,##0.00_-;\-[$R$-416]\ * #,##0.00_-;_-[$R$-416]\ * "-"??_-;_-@_-</c:formatCode>
                <c:ptCount val="3"/>
                <c:pt idx="0">
                  <c:v>685577.52</c:v>
                </c:pt>
                <c:pt idx="1">
                  <c:v>836981.69</c:v>
                </c:pt>
                <c:pt idx="2">
                  <c:v>1060573.28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C-418D-8B50-0BF7A1B989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7131200"/>
        <c:axId val="397140480"/>
      </c:barChart>
      <c:catAx>
        <c:axId val="3971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40480"/>
        <c:crosses val="autoZero"/>
        <c:auto val="1"/>
        <c:lblAlgn val="ctr"/>
        <c:lblOffset val="100"/>
        <c:noMultiLvlLbl val="0"/>
      </c:catAx>
      <c:valAx>
        <c:axId val="3971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Quantidade de Transações em Cada Mês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C1-4E6B-A370-BFBFF2043727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C1-4E6B-A370-BFBFF20437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Temporal'!$A$2:$A$13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Temporal'!$B$2:$B$13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3</c:v>
                </c:pt>
                <c:pt idx="6">
                  <c:v>13</c:v>
                </c:pt>
                <c:pt idx="7">
                  <c:v>7</c:v>
                </c:pt>
                <c:pt idx="8">
                  <c:v>5</c:v>
                </c:pt>
                <c:pt idx="9">
                  <c:v>11</c:v>
                </c:pt>
                <c:pt idx="10">
                  <c:v>7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1-4E6B-A370-BFBFF20437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5984488"/>
        <c:axId val="505975128"/>
      </c:barChart>
      <c:catAx>
        <c:axId val="50598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975128"/>
        <c:crosses val="autoZero"/>
        <c:auto val="1"/>
        <c:lblAlgn val="ctr"/>
        <c:lblOffset val="100"/>
        <c:noMultiLvlLbl val="0"/>
      </c:catAx>
      <c:valAx>
        <c:axId val="50597512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98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Distribuição de Idades dos Clientes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7E6E6">
                <a:lumMod val="75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D63-46CF-B751-B57EFA4EA9D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582CD4-4A31-4D83-9FF3-3F37386CA892}" type="VALUE">
                      <a:rPr lang="en-US" sz="1200"/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D63-46CF-B751-B57EFA4EA9D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" lastClr="FFFFFF">
                          <a:lumMod val="8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D63-46CF-B751-B57EFA4EA9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analise_descritiva!$E$2:$G$3</c:f>
              <c:multiLvlStrCache>
                <c:ptCount val="3"/>
                <c:lvl>
                  <c:pt idx="0">
                    <c:v>18-25 anos</c:v>
                  </c:pt>
                  <c:pt idx="1">
                    <c:v>26-40 anos</c:v>
                  </c:pt>
                  <c:pt idx="2">
                    <c:v>40+ anos</c:v>
                  </c:pt>
                </c:lvl>
                <c:lvl>
                  <c:pt idx="0">
                    <c:v>Distribuição de Idades dos Clientes </c:v>
                  </c:pt>
                </c:lvl>
              </c:multiLvlStrCache>
            </c:multiLvlStrRef>
          </c:cat>
          <c:val>
            <c:numRef>
              <c:f>analise_descritiva!$E$4:$G$4</c:f>
              <c:numCache>
                <c:formatCode>General</c:formatCode>
                <c:ptCount val="3"/>
                <c:pt idx="0">
                  <c:v>19</c:v>
                </c:pt>
                <c:pt idx="1">
                  <c:v>25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63-46CF-B751-B57EFA4EA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0744624"/>
        <c:axId val="560744984"/>
      </c:barChart>
      <c:catAx>
        <c:axId val="5607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744984"/>
        <c:crosses val="autoZero"/>
        <c:auto val="1"/>
        <c:lblAlgn val="ctr"/>
        <c:lblOffset val="100"/>
        <c:noMultiLvlLbl val="0"/>
      </c:catAx>
      <c:valAx>
        <c:axId val="56074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74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472C4">
        <a:lumMod val="75000"/>
      </a:srgb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Quantidade de Transações em Cada Mês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38-44F9-94A2-587325AA892D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52A-4D68-8B56-3A538E5AD10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38-44F9-94A2-587325AA89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Temporal'!$A$2:$A$13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Temporal'!$B$2:$B$13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3</c:v>
                </c:pt>
                <c:pt idx="6">
                  <c:v>13</c:v>
                </c:pt>
                <c:pt idx="7">
                  <c:v>7</c:v>
                </c:pt>
                <c:pt idx="8">
                  <c:v>5</c:v>
                </c:pt>
                <c:pt idx="9">
                  <c:v>11</c:v>
                </c:pt>
                <c:pt idx="10">
                  <c:v>7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8-44F9-94A2-587325AA89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5984488"/>
        <c:axId val="505975128"/>
      </c:barChart>
      <c:catAx>
        <c:axId val="50598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975128"/>
        <c:crosses val="autoZero"/>
        <c:auto val="1"/>
        <c:lblAlgn val="ctr"/>
        <c:lblOffset val="100"/>
        <c:noMultiLvlLbl val="0"/>
      </c:catAx>
      <c:valAx>
        <c:axId val="50597512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98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[Base_Dados_Bancaria.xlsx]SaldoXTipo!Tabela dinâmica1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Soma do Saldo por Tipo de Conta</a:t>
            </a:r>
          </a:p>
          <a:p>
            <a:pPr>
              <a:defRPr b="1">
                <a:solidFill>
                  <a:schemeClr val="tx1"/>
                </a:solidFill>
              </a:defRPr>
            </a:pP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9525" cap="flat" cmpd="sng" algn="ctr">
            <a:solidFill>
              <a:schemeClr val="bg1"/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810ACCE-047C-485D-969F-2674BE793F38}" type="VALUE">
                  <a:rPr lang="en-US" baseline="0">
                    <a:solidFill>
                      <a:sysClr val="windowText" lastClr="0000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bg1"/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9E17331-1CB4-4356-843A-2DF89D049C99}" type="VALUE">
                  <a: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pPr algn="ctr"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 w="9525" cap="flat" cmpd="sng" algn="ctr">
            <a:solidFill>
              <a:schemeClr val="bg1"/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2937157-4EB1-41E2-914D-DE8142F1BD9F}" type="VALUE">
                  <a:rPr lang="en-US" baseline="0">
                    <a:solidFill>
                      <a:sysClr val="windowText" lastClr="0000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 w="9525" cap="flat" cmpd="sng" algn="ctr">
            <a:solidFill>
              <a:schemeClr val="bg1"/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2937157-4EB1-41E2-914D-DE8142F1BD9F}" type="VALUE">
                  <a:rPr lang="en-US" baseline="0">
                    <a:solidFill>
                      <a:sysClr val="windowText" lastClr="0000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rgbClr val="FF0000"/>
          </a:solidFill>
          <a:ln w="9525" cap="flat" cmpd="sng" algn="ctr">
            <a:solidFill>
              <a:schemeClr val="bg1"/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810ACCE-047C-485D-969F-2674BE793F38}" type="VALUE">
                  <a:rPr lang="en-US" baseline="0">
                    <a:solidFill>
                      <a:sysClr val="windowText" lastClr="0000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bg1"/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9E17331-1CB4-4356-843A-2DF89D049C99}" type="VALUE">
                  <a: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75000"/>
            </a:schemeClr>
          </a:solidFill>
          <a:ln w="9525" cap="flat" cmpd="sng" algn="ctr">
            <a:solidFill>
              <a:schemeClr val="bg1"/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2937157-4EB1-41E2-914D-DE8142F1BD9F}" type="VALUE">
                  <a:rPr lang="en-US" baseline="0">
                    <a:solidFill>
                      <a:sysClr val="windowText" lastClr="000000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rgbClr val="FF0000"/>
          </a:solidFill>
          <a:ln w="9525" cap="flat" cmpd="sng" algn="ctr">
            <a:solidFill>
              <a:schemeClr val="bg1"/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810ACCE-047C-485D-969F-2674BE793F38}" type="VALUE">
                  <a:rPr lang="en-US" baseline="0">
                    <a:solidFill>
                      <a:sysClr val="windowText" lastClr="000000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bg1"/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9E17331-1CB4-4356-843A-2DF89D049C99}" type="VALUE">
                  <a: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SaldoXTipo!$B$3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bg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89-4D61-81A6-77A6BB32A3F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89-4D61-81A6-77A6BB32A3F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89-4D61-81A6-77A6BB32A3F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2937157-4EB1-41E2-914D-DE8142F1BD9F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589-4D61-81A6-77A6BB32A3F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10ACCE-047C-485D-969F-2674BE793F38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589-4D61-81A6-77A6BB32A3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E17331-1CB4-4356-843A-2DF89D049C99}" type="VALUE"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589-4D61-81A6-77A6BB32A3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SaldoXTipo!$A$4:$A$7</c:f>
              <c:strCache>
                <c:ptCount val="3"/>
                <c:pt idx="0">
                  <c:v>Corrente</c:v>
                </c:pt>
                <c:pt idx="1">
                  <c:v>Investimento</c:v>
                </c:pt>
                <c:pt idx="2">
                  <c:v>Poupança</c:v>
                </c:pt>
              </c:strCache>
            </c:strRef>
          </c:cat>
          <c:val>
            <c:numRef>
              <c:f>SaldoXTipo!$B$4:$B$7</c:f>
              <c:numCache>
                <c:formatCode>_-[$R$-416]\ * #,##0.00_-;\-[$R$-416]\ * #,##0.00_-;_-[$R$-416]\ * "-"??_-;_-@_-</c:formatCode>
                <c:ptCount val="3"/>
                <c:pt idx="0">
                  <c:v>685577.52</c:v>
                </c:pt>
                <c:pt idx="1">
                  <c:v>836981.69</c:v>
                </c:pt>
                <c:pt idx="2">
                  <c:v>1060573.28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89-4D61-81A6-77A6BB32A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7131200"/>
        <c:axId val="397140480"/>
      </c:barChart>
      <c:catAx>
        <c:axId val="3971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40480"/>
        <c:crosses val="autoZero"/>
        <c:auto val="1"/>
        <c:lblAlgn val="ctr"/>
        <c:lblOffset val="100"/>
        <c:noMultiLvlLbl val="0"/>
      </c:catAx>
      <c:valAx>
        <c:axId val="3971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9525</xdr:rowOff>
    </xdr:from>
    <xdr:to>
      <xdr:col>9</xdr:col>
      <xdr:colOff>409575</xdr:colOff>
      <xdr:row>19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75BA95-72F9-6026-6A2D-2BC8A01DD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19049</xdr:rowOff>
    </xdr:from>
    <xdr:to>
      <xdr:col>3</xdr:col>
      <xdr:colOff>19050</xdr:colOff>
      <xdr:row>18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B174D4-4F5A-2B86-9255-1F3AE6970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4</xdr:row>
      <xdr:rowOff>19050</xdr:rowOff>
    </xdr:from>
    <xdr:to>
      <xdr:col>7</xdr:col>
      <xdr:colOff>47625</xdr:colOff>
      <xdr:row>18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30495A-1367-67E5-3EB4-1A9856B3F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4761</xdr:rowOff>
    </xdr:from>
    <xdr:to>
      <xdr:col>4</xdr:col>
      <xdr:colOff>123825</xdr:colOff>
      <xdr:row>22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A61799-525F-BDC6-1DDB-E422670FA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4762</xdr:rowOff>
    </xdr:from>
    <xdr:to>
      <xdr:col>10</xdr:col>
      <xdr:colOff>485775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71FE4A-7422-9BD0-5FF8-143AA454C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9525</xdr:rowOff>
    </xdr:from>
    <xdr:to>
      <xdr:col>9</xdr:col>
      <xdr:colOff>323850</xdr:colOff>
      <xdr:row>13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1289B5-3502-410B-A908-44C8F166C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190499</xdr:rowOff>
    </xdr:from>
    <xdr:to>
      <xdr:col>5</xdr:col>
      <xdr:colOff>19050</xdr:colOff>
      <xdr:row>23</xdr:row>
      <xdr:rowOff>180974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B3B69A-45A2-479A-B7DC-A992B7CC0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28</xdr:row>
      <xdr:rowOff>9525</xdr:rowOff>
    </xdr:from>
    <xdr:to>
      <xdr:col>4</xdr:col>
      <xdr:colOff>600075</xdr:colOff>
      <xdr:row>42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0ADFCFD-7EE3-4D45-A4F5-09FE5F67C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9526</xdr:colOff>
      <xdr:row>48</xdr:row>
      <xdr:rowOff>9525</xdr:rowOff>
    </xdr:from>
    <xdr:to>
      <xdr:col>5</xdr:col>
      <xdr:colOff>28575</xdr:colOff>
      <xdr:row>61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969ABD2-8348-45C5-B556-D75285093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15875</xdr:colOff>
      <xdr:row>89</xdr:row>
      <xdr:rowOff>6350</xdr:rowOff>
    </xdr:from>
    <xdr:to>
      <xdr:col>6</xdr:col>
      <xdr:colOff>406400</xdr:colOff>
      <xdr:row>103</xdr:row>
      <xdr:rowOff>125413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5CE2282-826A-42EE-907C-F52C12F27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581024</xdr:colOff>
      <xdr:row>64</xdr:row>
      <xdr:rowOff>123826</xdr:rowOff>
    </xdr:from>
    <xdr:to>
      <xdr:col>4</xdr:col>
      <xdr:colOff>257175</xdr:colOff>
      <xdr:row>78</xdr:row>
      <xdr:rowOff>161926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8F50310-5AC5-4407-B5BE-D96E02B7A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</xdr:colOff>
      <xdr:row>64</xdr:row>
      <xdr:rowOff>123825</xdr:rowOff>
    </xdr:from>
    <xdr:to>
      <xdr:col>11</xdr:col>
      <xdr:colOff>171451</xdr:colOff>
      <xdr:row>78</xdr:row>
      <xdr:rowOff>171450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C47E604-6685-4A5E-A323-61883BC81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2</xdr:row>
      <xdr:rowOff>9525</xdr:rowOff>
    </xdr:from>
    <xdr:to>
      <xdr:col>9</xdr:col>
      <xdr:colOff>342900</xdr:colOff>
      <xdr:row>9</xdr:row>
      <xdr:rowOff>85725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B6C786A-9ED7-09BF-D094-E8BABAE060E4}"/>
            </a:ext>
          </a:extLst>
        </xdr:cNvPr>
        <xdr:cNvSpPr txBox="1"/>
      </xdr:nvSpPr>
      <xdr:spPr>
        <a:xfrm>
          <a:off x="4981575" y="628650"/>
          <a:ext cx="2771775" cy="1466850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 TABELA AO LADO OS </a:t>
          </a:r>
          <a:r>
            <a:rPr lang="pt-BR" sz="1200" b="1" i="0" u="none" strike="noStrike">
              <a:solidFill>
                <a:srgbClr val="388600"/>
              </a:solidFill>
              <a:effectLst/>
              <a:latin typeface="+mn-lt"/>
              <a:ea typeface="+mn-ea"/>
              <a:cs typeface="+mn-cs"/>
            </a:rPr>
            <a:t>SALDOS</a:t>
          </a:r>
          <a:r>
            <a:rPr lang="pt-BR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DAS CONTAS MOSTRAM GRANDE VARIAÇÃO, INDICANDO DIVERSIDADE FINANCEIRA ENTRE OS CLIENTES, ENQUANTO AS </a:t>
          </a:r>
          <a:r>
            <a:rPr lang="pt-BR" sz="1200" b="1" i="0" u="none" strike="noStrike">
              <a:solidFill>
                <a:srgbClr val="388600"/>
              </a:solidFill>
              <a:effectLst/>
              <a:latin typeface="+mn-lt"/>
              <a:ea typeface="+mn-ea"/>
              <a:cs typeface="+mn-cs"/>
            </a:rPr>
            <a:t>PONTUAÇÕES</a:t>
          </a:r>
          <a:r>
            <a:rPr lang="pt-BR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CRÉDITO SÃO MAIS ESTÁVEIS, SUGERINDO PERFIS DE CRÉDITO SEMELHANTES.</a:t>
          </a:r>
          <a:r>
            <a:rPr lang="pt-BR" sz="1200" b="1"/>
            <a:t> </a:t>
          </a:r>
          <a:endParaRPr lang="pt-BR" sz="1200" b="1" kern="1200"/>
        </a:p>
      </xdr:txBody>
    </xdr:sp>
    <xdr:clientData/>
  </xdr:twoCellAnchor>
  <xdr:twoCellAnchor>
    <xdr:from>
      <xdr:col>6</xdr:col>
      <xdr:colOff>0</xdr:colOff>
      <xdr:row>13</xdr:row>
      <xdr:rowOff>9525</xdr:rowOff>
    </xdr:from>
    <xdr:to>
      <xdr:col>9</xdr:col>
      <xdr:colOff>600075</xdr:colOff>
      <xdr:row>19</xdr:row>
      <xdr:rowOff>9525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E4FC537-87E1-5778-4814-BD462DB4671E}"/>
            </a:ext>
          </a:extLst>
        </xdr:cNvPr>
        <xdr:cNvSpPr txBox="1"/>
      </xdr:nvSpPr>
      <xdr:spPr>
        <a:xfrm>
          <a:off x="5581650" y="2781300"/>
          <a:ext cx="2428875" cy="1143000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 kern="1200"/>
            <a:t>NO GRÁFICO</a:t>
          </a:r>
          <a:r>
            <a:rPr lang="pt-BR" sz="1200" b="1" kern="1200" baseline="0"/>
            <a:t> AO LADO, PERCEBEMOS NITIDAMENTE QUE MAIS DE </a:t>
          </a:r>
          <a:r>
            <a:rPr lang="pt-BR" sz="1200" b="1" kern="1200" baseline="0">
              <a:solidFill>
                <a:srgbClr val="FF0000"/>
              </a:solidFill>
            </a:rPr>
            <a:t>50%</a:t>
          </a:r>
          <a:r>
            <a:rPr lang="pt-BR" sz="1200" b="1" kern="1200" baseline="0"/>
            <a:t> DOS NOSSOS CLIENTES TÊM </a:t>
          </a:r>
          <a:r>
            <a:rPr lang="pt-BR" sz="1200" b="1" kern="1200" baseline="0">
              <a:solidFill>
                <a:srgbClr val="FF0000"/>
              </a:solidFill>
            </a:rPr>
            <a:t>MAIS</a:t>
          </a:r>
          <a:r>
            <a:rPr lang="pt-BR" sz="1200" b="1" kern="1200" baseline="0"/>
            <a:t> </a:t>
          </a:r>
          <a:r>
            <a:rPr lang="pt-BR" sz="1200" b="1" kern="1200" baseline="0">
              <a:solidFill>
                <a:srgbClr val="FF0000"/>
              </a:solidFill>
            </a:rPr>
            <a:t>DE 40 ANOS </a:t>
          </a:r>
          <a:r>
            <a:rPr lang="pt-BR" sz="1200" b="1" kern="1200" baseline="0"/>
            <a:t>DE IDADE.</a:t>
          </a:r>
        </a:p>
      </xdr:txBody>
    </xdr:sp>
    <xdr:clientData/>
  </xdr:twoCellAnchor>
  <xdr:twoCellAnchor>
    <xdr:from>
      <xdr:col>6</xdr:col>
      <xdr:colOff>9525</xdr:colOff>
      <xdr:row>30</xdr:row>
      <xdr:rowOff>0</xdr:rowOff>
    </xdr:from>
    <xdr:to>
      <xdr:col>11</xdr:col>
      <xdr:colOff>619125</xdr:colOff>
      <xdr:row>38</xdr:row>
      <xdr:rowOff>180975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7CC6B17-BEDA-3CCE-0D26-2EB0D6713AC7}"/>
            </a:ext>
          </a:extLst>
        </xdr:cNvPr>
        <xdr:cNvSpPr txBox="1"/>
      </xdr:nvSpPr>
      <xdr:spPr>
        <a:xfrm>
          <a:off x="5591175" y="6010275"/>
          <a:ext cx="3657600" cy="1704975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OS MESES DE </a:t>
          </a:r>
          <a:r>
            <a:rPr lang="pt-BR" sz="1200" b="1">
              <a:solidFill>
                <a:srgbClr val="FF0000"/>
              </a:solidFill>
            </a:rPr>
            <a:t>JUNHO E SETEMBRO </a:t>
          </a:r>
          <a:r>
            <a:rPr lang="pt-BR" sz="1200" b="1"/>
            <a:t>TIVERAM OS </a:t>
          </a:r>
          <a:r>
            <a:rPr lang="pt-BR" sz="1200" b="1">
              <a:solidFill>
                <a:srgbClr val="FF0000"/>
              </a:solidFill>
            </a:rPr>
            <a:t>MENORES</a:t>
          </a:r>
          <a:r>
            <a:rPr lang="pt-BR" sz="1200" b="1"/>
            <a:t> VOLUMES DE TRANSAÇÕES (3 E 5, RESPECTIVAMENTE), ENQUANTO </a:t>
          </a:r>
          <a:r>
            <a:rPr lang="pt-BR" sz="1200" b="1">
              <a:solidFill>
                <a:srgbClr val="388600"/>
              </a:solidFill>
            </a:rPr>
            <a:t>JULHO</a:t>
          </a:r>
          <a:r>
            <a:rPr lang="pt-BR" sz="1200" b="1"/>
            <a:t> REGISTROU O </a:t>
          </a:r>
          <a:r>
            <a:rPr lang="pt-BR" sz="1200" b="1">
              <a:solidFill>
                <a:srgbClr val="388600"/>
              </a:solidFill>
            </a:rPr>
            <a:t>MAIOR</a:t>
          </a:r>
          <a:r>
            <a:rPr lang="pt-BR" sz="1200" b="1"/>
            <a:t> VOLUME (13). OS PICOS EM MAIO, OUTUBRO E DEZEMBRO (11 TRANSAÇÕES) SUGEREM PERÍODOS DE MAIOR MOVIMENTAÇÃO FINANCEIRA, QUE PODEM ESTAR LIGADOS A SAZONALIDADES OU EVENTOS ESPECÍFICOS.</a:t>
          </a:r>
          <a:endParaRPr lang="pt-BR" sz="1200" b="1" kern="1200"/>
        </a:p>
      </xdr:txBody>
    </xdr:sp>
    <xdr:clientData/>
  </xdr:twoCellAnchor>
  <xdr:twoCellAnchor>
    <xdr:from>
      <xdr:col>6</xdr:col>
      <xdr:colOff>0</xdr:colOff>
      <xdr:row>48</xdr:row>
      <xdr:rowOff>190499</xdr:rowOff>
    </xdr:from>
    <xdr:to>
      <xdr:col>10</xdr:col>
      <xdr:colOff>600075</xdr:colOff>
      <xdr:row>57</xdr:row>
      <xdr:rowOff>9525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11CC880B-1CB1-D1AF-CB5C-6BDC36F9680F}"/>
            </a:ext>
          </a:extLst>
        </xdr:cNvPr>
        <xdr:cNvSpPr txBox="1"/>
      </xdr:nvSpPr>
      <xdr:spPr>
        <a:xfrm>
          <a:off x="5581650" y="9629774"/>
          <a:ext cx="3038475" cy="1533526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A </a:t>
          </a:r>
          <a:r>
            <a:rPr lang="pt-BR" sz="1200" b="1">
              <a:solidFill>
                <a:srgbClr val="388600"/>
              </a:solidFill>
            </a:rPr>
            <a:t>POUPANÇA</a:t>
          </a:r>
          <a:r>
            <a:rPr lang="pt-BR" sz="1200" b="1"/>
            <a:t> LIDERA EM SALDO (R$ 1.060.573,28), SEGUIDA POR </a:t>
          </a:r>
          <a:r>
            <a:rPr lang="pt-BR" sz="1200" b="1">
              <a:solidFill>
                <a:srgbClr val="C00000"/>
              </a:solidFill>
            </a:rPr>
            <a:t>INVESTIMENTOS</a:t>
          </a:r>
          <a:r>
            <a:rPr lang="pt-BR" sz="1200" b="1"/>
            <a:t> (R$ 836.981,69) E </a:t>
          </a:r>
          <a:r>
            <a:rPr lang="pt-BR" sz="1200" b="1">
              <a:solidFill>
                <a:schemeClr val="accent1"/>
              </a:solidFill>
            </a:rPr>
            <a:t>CORRENTE</a:t>
          </a:r>
          <a:r>
            <a:rPr lang="pt-BR" sz="1200" b="1"/>
            <a:t> (R$ 685.577,52). ISSO REFLETE UM PERFIL CONSERVADOR DOS CLIENTES E UMA OPORTUNIDADE DE PROMOVER INVESTIMENTOS.</a:t>
          </a:r>
          <a:endParaRPr lang="pt-BR" sz="1200" b="1" kern="1200"/>
        </a:p>
      </xdr:txBody>
    </xdr:sp>
    <xdr:clientData/>
  </xdr:twoCellAnchor>
  <xdr:twoCellAnchor>
    <xdr:from>
      <xdr:col>1</xdr:col>
      <xdr:colOff>0</xdr:colOff>
      <xdr:row>80</xdr:row>
      <xdr:rowOff>38100</xdr:rowOff>
    </xdr:from>
    <xdr:to>
      <xdr:col>4</xdr:col>
      <xdr:colOff>257175</xdr:colOff>
      <xdr:row>87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C9F59D88-1A38-E8C6-3944-081D01533678}"/>
            </a:ext>
          </a:extLst>
        </xdr:cNvPr>
        <xdr:cNvSpPr txBox="1"/>
      </xdr:nvSpPr>
      <xdr:spPr>
        <a:xfrm>
          <a:off x="581025" y="15573375"/>
          <a:ext cx="4038600" cy="1295400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ESSA DISTRIBUIÇÃO SUGERE UMA MAIOR PREFERÊNCIA POR POUPANÇA, INDICANDO ATRAÇÃO POR SEGURANÇA OU RENTABILIDADE. AS INSTITUIÇÕES FINANCEIRAS PODEM CONSIDERAR ESTRATÉGIAS PARA AUMENTAR A ADESÃO AOS TIPOS DE CONTA MENOS POPULARES, COMO INVESTIMENTOS.</a:t>
          </a:r>
          <a:endParaRPr lang="pt-BR" sz="1200" b="1" kern="1200"/>
        </a:p>
      </xdr:txBody>
    </xdr:sp>
    <xdr:clientData/>
  </xdr:twoCellAnchor>
  <xdr:twoCellAnchor>
    <xdr:from>
      <xdr:col>4</xdr:col>
      <xdr:colOff>600075</xdr:colOff>
      <xdr:row>79</xdr:row>
      <xdr:rowOff>142874</xdr:rowOff>
    </xdr:from>
    <xdr:to>
      <xdr:col>11</xdr:col>
      <xdr:colOff>333375</xdr:colOff>
      <xdr:row>87</xdr:row>
      <xdr:rowOff>19049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A93EAA71-6978-8172-178B-CF9B8BF8F916}"/>
            </a:ext>
          </a:extLst>
        </xdr:cNvPr>
        <xdr:cNvSpPr txBox="1"/>
      </xdr:nvSpPr>
      <xdr:spPr>
        <a:xfrm>
          <a:off x="4962525" y="15487649"/>
          <a:ext cx="4000500" cy="1400175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ESSA DISTRIBUIÇÃO SUGERE QUE A MAIOR PARTE DAS CONTAS ESTÁ EM STATUS </a:t>
          </a:r>
          <a:r>
            <a:rPr lang="pt-BR" sz="1200" b="1">
              <a:solidFill>
                <a:srgbClr val="ED0000"/>
              </a:solidFill>
            </a:rPr>
            <a:t>ENCERRADO</a:t>
          </a:r>
          <a:r>
            <a:rPr lang="pt-BR" sz="1200" b="1"/>
            <a:t>, O QUE PODE INDICAR FALHAS NO ATENDIMENTO OU NA SATISFAÇÃO DOS CLIENTES. AS INSTITUIÇÕES FINANCEIRAS PODERIAM INVESTIGAR MAIS A FUNÇÃO DAS CONTAS INATIVAS E ATIVAS PARA MELHORAR A RETENÇÃO E O COMPROMETIMENTO DOS CLIENTES.</a:t>
          </a:r>
          <a:endParaRPr lang="pt-BR" sz="1200" b="1" kern="1200"/>
        </a:p>
      </xdr:txBody>
    </xdr:sp>
    <xdr:clientData/>
  </xdr:twoCellAnchor>
  <xdr:twoCellAnchor>
    <xdr:from>
      <xdr:col>7</xdr:col>
      <xdr:colOff>0</xdr:colOff>
      <xdr:row>91</xdr:row>
      <xdr:rowOff>180975</xdr:rowOff>
    </xdr:from>
    <xdr:to>
      <xdr:col>11</xdr:col>
      <xdr:colOff>533400</xdr:colOff>
      <xdr:row>99</xdr:row>
      <xdr:rowOff>28575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3536A246-0A69-206B-E5BA-3B225291CC75}"/>
            </a:ext>
          </a:extLst>
        </xdr:cNvPr>
        <xdr:cNvSpPr txBox="1"/>
      </xdr:nvSpPr>
      <xdr:spPr>
        <a:xfrm>
          <a:off x="6191250" y="17811750"/>
          <a:ext cx="2971800" cy="1371600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 kern="1200"/>
            <a:t>O GRÁFICO AO LADO MOSTRA</a:t>
          </a:r>
          <a:r>
            <a:rPr lang="pt-BR" sz="1200" b="1" kern="1200" baseline="0"/>
            <a:t> PRATICAMENTE UM RESUMO GERAL DA UNIÃO DOS DOIS GRÁFICOS APRESENTADOS A CIMA, OU SEJA, ELE NOS MOSTRA A DISTRIBUIÇÃO DA QUANTIDADE DOS STATUS DE CONTA POR TIPO DE CONTA.</a:t>
          </a:r>
          <a:endParaRPr lang="pt-BR" sz="1200" b="1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us Silva" refreshedDate="45659.461986574075" createdVersion="8" refreshedVersion="8" minRefreshableVersion="3" recordCount="100" xr:uid="{B9378687-95AE-4B1F-9F5B-6CEE5AAEA9A1}">
  <cacheSource type="worksheet">
    <worksheetSource name="Tabela1"/>
  </cacheSource>
  <cacheFields count="8">
    <cacheField name="Cliente_ID" numFmtId="0">
      <sharedItems/>
    </cacheField>
    <cacheField name="Nome" numFmtId="0">
      <sharedItems/>
    </cacheField>
    <cacheField name="Idade" numFmtId="0">
      <sharedItems containsSemiMixedTypes="0" containsString="0" containsNumber="1" containsInteger="1" minValue="18" maxValue="69"/>
    </cacheField>
    <cacheField name="Saldo_Conta" numFmtId="164">
      <sharedItems containsSemiMixedTypes="0" containsString="0" containsNumber="1" minValue="1173.74" maxValue="49924.27"/>
    </cacheField>
    <cacheField name="Ultima_Transacao" numFmtId="14">
      <sharedItems containsSemiMixedTypes="0" containsNonDate="0" containsDate="1" containsString="0" minDate="2024-01-02T00:00:00" maxDate="2024-12-27T00:00:00"/>
    </cacheField>
    <cacheField name="Tipo_Conta" numFmtId="0">
      <sharedItems count="3">
        <s v="Poupança"/>
        <s v="Investimento"/>
        <s v="Corrente"/>
      </sharedItems>
    </cacheField>
    <cacheField name="Status_Conta" numFmtId="0">
      <sharedItems count="3">
        <s v="Inativa"/>
        <s v="Ativa"/>
        <s v="Encerrada"/>
      </sharedItems>
    </cacheField>
    <cacheField name="Pontuacao_Credito" numFmtId="0">
      <sharedItems containsSemiMixedTypes="0" containsString="0" containsNumber="1" containsInteger="1" minValue="310" maxValue="8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C001"/>
    <s v="Ursula Santos"/>
    <n v="55"/>
    <n v="8585.0400000000009"/>
    <d v="2024-03-08T00:00:00"/>
    <x v="0"/>
    <x v="0"/>
    <n v="630"/>
  </r>
  <r>
    <s v="C002"/>
    <s v="Ana Costa"/>
    <n v="53"/>
    <n v="15538.68"/>
    <d v="2024-03-26T00:00:00"/>
    <x v="1"/>
    <x v="0"/>
    <n v="551"/>
  </r>
  <r>
    <s v="C003"/>
    <s v="Helena Almeida"/>
    <n v="32"/>
    <n v="48466.76"/>
    <d v="2024-03-14T00:00:00"/>
    <x v="1"/>
    <x v="0"/>
    <n v="388"/>
  </r>
  <r>
    <s v="C004"/>
    <s v="Eduardo Santos"/>
    <n v="55"/>
    <n v="29379.83"/>
    <d v="2024-01-06T00:00:00"/>
    <x v="1"/>
    <x v="0"/>
    <n v="585"/>
  </r>
  <r>
    <s v="C005"/>
    <s v="Vinícius Oliveira"/>
    <n v="32"/>
    <n v="27567.56"/>
    <d v="2024-12-11T00:00:00"/>
    <x v="0"/>
    <x v="0"/>
    <n v="761"/>
  </r>
  <r>
    <s v="C006"/>
    <s v="Sofia Rocha"/>
    <n v="18"/>
    <n v="37650.800000000003"/>
    <d v="2024-07-26T00:00:00"/>
    <x v="1"/>
    <x v="0"/>
    <n v="549"/>
  </r>
  <r>
    <s v="C007"/>
    <s v="Bruno Silva"/>
    <n v="22"/>
    <n v="3801.1"/>
    <d v="2024-11-28T00:00:00"/>
    <x v="0"/>
    <x v="0"/>
    <n v="775"/>
  </r>
  <r>
    <s v="C008"/>
    <s v="Carlos Carvalho"/>
    <n v="63"/>
    <n v="29624.7"/>
    <d v="2024-12-26T00:00:00"/>
    <x v="2"/>
    <x v="1"/>
    <n v="688"/>
  </r>
  <r>
    <s v="C009"/>
    <s v="Helena Silva"/>
    <n v="58"/>
    <n v="25639.67"/>
    <d v="2024-04-09T00:00:00"/>
    <x v="1"/>
    <x v="0"/>
    <n v="644"/>
  </r>
  <r>
    <s v="C010"/>
    <s v="Rafael Carvalho"/>
    <n v="21"/>
    <n v="42783.27"/>
    <d v="2024-03-26T00:00:00"/>
    <x v="0"/>
    <x v="1"/>
    <n v="329"/>
  </r>
  <r>
    <s v="C011"/>
    <s v="William Rocha"/>
    <n v="32"/>
    <n v="8714.2000000000007"/>
    <d v="2024-12-04T00:00:00"/>
    <x v="0"/>
    <x v="2"/>
    <n v="806"/>
  </r>
  <r>
    <s v="C012"/>
    <s v="Helena Dias"/>
    <n v="22"/>
    <n v="48078.17"/>
    <d v="2024-07-28T00:00:00"/>
    <x v="0"/>
    <x v="2"/>
    <n v="632"/>
  </r>
  <r>
    <s v="C013"/>
    <s v="Sofia Costa"/>
    <n v="20"/>
    <n v="4925.46"/>
    <d v="2024-01-28T00:00:00"/>
    <x v="2"/>
    <x v="1"/>
    <n v="486"/>
  </r>
  <r>
    <s v="C014"/>
    <s v="Ana Lima"/>
    <n v="39"/>
    <n v="10105.42"/>
    <d v="2024-08-08T00:00:00"/>
    <x v="1"/>
    <x v="0"/>
    <n v="799"/>
  </r>
  <r>
    <s v="C015"/>
    <s v="William Rocha"/>
    <n v="22"/>
    <n v="30156.720000000001"/>
    <d v="2024-04-27T00:00:00"/>
    <x v="0"/>
    <x v="1"/>
    <n v="517"/>
  </r>
  <r>
    <s v="C016"/>
    <s v="Karina Costa"/>
    <n v="50"/>
    <n v="34085.42"/>
    <d v="2024-08-12T00:00:00"/>
    <x v="1"/>
    <x v="2"/>
    <n v="663"/>
  </r>
  <r>
    <s v="C017"/>
    <s v="Eduardo Carvalho"/>
    <n v="33"/>
    <n v="12524.99"/>
    <d v="2024-05-27T00:00:00"/>
    <x v="0"/>
    <x v="1"/>
    <n v="564"/>
  </r>
  <r>
    <s v="C018"/>
    <s v="Zeca Ribeiro"/>
    <n v="35"/>
    <n v="6874.44"/>
    <d v="2024-04-08T00:00:00"/>
    <x v="1"/>
    <x v="2"/>
    <n v="648"/>
  </r>
  <r>
    <s v="C019"/>
    <s v="Daniela Oliveira"/>
    <n v="60"/>
    <n v="44624.08"/>
    <d v="2024-01-22T00:00:00"/>
    <x v="2"/>
    <x v="1"/>
    <n v="586"/>
  </r>
  <r>
    <s v="C020"/>
    <s v="Mariana Santos"/>
    <n v="49"/>
    <n v="13064.55"/>
    <d v="2024-04-13T00:00:00"/>
    <x v="0"/>
    <x v="1"/>
    <n v="582"/>
  </r>
  <r>
    <s v="C021"/>
    <s v="Leonardo Martins"/>
    <n v="31"/>
    <n v="30131.439999999999"/>
    <d v="2024-06-09T00:00:00"/>
    <x v="0"/>
    <x v="1"/>
    <n v="310"/>
  </r>
  <r>
    <s v="C022"/>
    <s v="Tiago Costa"/>
    <n v="52"/>
    <n v="31349.69"/>
    <d v="2024-02-25T00:00:00"/>
    <x v="2"/>
    <x v="1"/>
    <n v="829"/>
  </r>
  <r>
    <s v="C023"/>
    <s v="Bruno Dias"/>
    <n v="26"/>
    <n v="21542.02"/>
    <d v="2024-05-12T00:00:00"/>
    <x v="1"/>
    <x v="1"/>
    <n v="495"/>
  </r>
  <r>
    <s v="C024"/>
    <s v="Rafael Santos"/>
    <n v="64"/>
    <n v="29599.94"/>
    <d v="2024-11-17T00:00:00"/>
    <x v="0"/>
    <x v="2"/>
    <n v="387"/>
  </r>
  <r>
    <s v="C025"/>
    <s v="Mariana Oliveira"/>
    <n v="54"/>
    <n v="26616.35"/>
    <d v="2024-07-22T00:00:00"/>
    <x v="2"/>
    <x v="1"/>
    <n v="547"/>
  </r>
  <r>
    <s v="C026"/>
    <s v="Rafael Ferreira"/>
    <n v="54"/>
    <n v="46800.61"/>
    <d v="2024-09-11T00:00:00"/>
    <x v="0"/>
    <x v="1"/>
    <n v="716"/>
  </r>
  <r>
    <s v="C027"/>
    <s v="Ursula Martins"/>
    <n v="48"/>
    <n v="11008.7"/>
    <d v="2024-01-04T00:00:00"/>
    <x v="0"/>
    <x v="1"/>
    <n v="800"/>
  </r>
  <r>
    <s v="C028"/>
    <s v="Sofia Carvalho"/>
    <n v="33"/>
    <n v="36093.4"/>
    <d v="2024-05-06T00:00:00"/>
    <x v="0"/>
    <x v="0"/>
    <n v="546"/>
  </r>
  <r>
    <s v="C029"/>
    <s v="William Oliveira"/>
    <n v="68"/>
    <n v="12695.61"/>
    <d v="2024-10-09T00:00:00"/>
    <x v="1"/>
    <x v="2"/>
    <n v="787"/>
  </r>
  <r>
    <s v="C030"/>
    <s v="Bruno Almeida"/>
    <n v="48"/>
    <n v="20393.509999999998"/>
    <d v="2024-01-04T00:00:00"/>
    <x v="2"/>
    <x v="1"/>
    <n v="802"/>
  </r>
  <r>
    <s v="C031"/>
    <s v="Zeca Ferreira"/>
    <n v="69"/>
    <n v="33912.82"/>
    <d v="2024-10-14T00:00:00"/>
    <x v="2"/>
    <x v="2"/>
    <n v="758"/>
  </r>
  <r>
    <s v="C032"/>
    <s v="Carlos Almeida"/>
    <n v="44"/>
    <n v="15699.86"/>
    <d v="2024-06-24T00:00:00"/>
    <x v="2"/>
    <x v="1"/>
    <n v="317"/>
  </r>
  <r>
    <s v="C033"/>
    <s v="Daniela Barros"/>
    <n v="30"/>
    <n v="16492.68"/>
    <d v="2024-06-14T00:00:00"/>
    <x v="2"/>
    <x v="0"/>
    <n v="395"/>
  </r>
  <r>
    <s v="C034"/>
    <s v="Isabela Dias"/>
    <n v="24"/>
    <n v="37841.360000000001"/>
    <d v="2024-10-17T00:00:00"/>
    <x v="0"/>
    <x v="2"/>
    <n v="601"/>
  </r>
  <r>
    <s v="C035"/>
    <s v="Ursula Martins"/>
    <n v="24"/>
    <n v="4554.6099999999997"/>
    <d v="2024-02-13T00:00:00"/>
    <x v="1"/>
    <x v="0"/>
    <n v="526"/>
  </r>
  <r>
    <s v="C036"/>
    <s v="Fernanda Martins"/>
    <n v="60"/>
    <n v="23455.99"/>
    <d v="2024-10-07T00:00:00"/>
    <x v="2"/>
    <x v="0"/>
    <n v="714"/>
  </r>
  <r>
    <s v="C037"/>
    <s v="Leonardo Carvalho"/>
    <n v="45"/>
    <n v="49924.27"/>
    <d v="2024-05-02T00:00:00"/>
    <x v="1"/>
    <x v="1"/>
    <n v="549"/>
  </r>
  <r>
    <s v="C038"/>
    <s v="Vinícius Costa"/>
    <n v="40"/>
    <n v="49808.73"/>
    <d v="2024-12-14T00:00:00"/>
    <x v="2"/>
    <x v="2"/>
    <n v="613"/>
  </r>
  <r>
    <s v="C039"/>
    <s v="William Oliveira"/>
    <n v="45"/>
    <n v="4589.78"/>
    <d v="2024-01-17T00:00:00"/>
    <x v="2"/>
    <x v="2"/>
    <n v="677"/>
  </r>
  <r>
    <s v="C040"/>
    <s v="Tiago Lima"/>
    <n v="44"/>
    <n v="11444.56"/>
    <d v="2024-09-22T00:00:00"/>
    <x v="0"/>
    <x v="2"/>
    <n v="784"/>
  </r>
  <r>
    <s v="C041"/>
    <s v="Rafael Almeida"/>
    <n v="47"/>
    <n v="13994.82"/>
    <d v="2024-12-24T00:00:00"/>
    <x v="0"/>
    <x v="2"/>
    <n v="843"/>
  </r>
  <r>
    <s v="C042"/>
    <s v="Fernanda Dias"/>
    <n v="64"/>
    <n v="46729.71"/>
    <d v="2024-12-22T00:00:00"/>
    <x v="0"/>
    <x v="1"/>
    <n v="652"/>
  </r>
  <r>
    <s v="C043"/>
    <s v="Mariana Costa"/>
    <n v="21"/>
    <n v="44162.34"/>
    <d v="2024-04-12T00:00:00"/>
    <x v="1"/>
    <x v="1"/>
    <n v="735"/>
  </r>
  <r>
    <s v="C044"/>
    <s v="Ursula Almeida"/>
    <n v="61"/>
    <n v="44084.24"/>
    <d v="2024-07-03T00:00:00"/>
    <x v="0"/>
    <x v="0"/>
    <n v="638"/>
  </r>
  <r>
    <s v="C045"/>
    <s v="Vinícius Ribeiro"/>
    <n v="59"/>
    <n v="19106.830000000002"/>
    <d v="2024-11-11T00:00:00"/>
    <x v="0"/>
    <x v="1"/>
    <n v="660"/>
  </r>
  <r>
    <s v="C046"/>
    <s v="Zeca Souza"/>
    <n v="59"/>
    <n v="8729.59"/>
    <d v="2024-10-11T00:00:00"/>
    <x v="2"/>
    <x v="2"/>
    <n v="764"/>
  </r>
  <r>
    <s v="C047"/>
    <s v="Helena Souza"/>
    <n v="24"/>
    <n v="41853.5"/>
    <d v="2024-11-28T00:00:00"/>
    <x v="2"/>
    <x v="1"/>
    <n v="577"/>
  </r>
  <r>
    <s v="C048"/>
    <s v="Karina Barros"/>
    <n v="21"/>
    <n v="35473.46"/>
    <d v="2024-02-24T00:00:00"/>
    <x v="0"/>
    <x v="0"/>
    <n v="613"/>
  </r>
  <r>
    <s v="C049"/>
    <s v="Isabela Oliveira"/>
    <n v="43"/>
    <n v="30972.21"/>
    <d v="2024-05-17T00:00:00"/>
    <x v="0"/>
    <x v="2"/>
    <n v="557"/>
  </r>
  <r>
    <s v="C050"/>
    <s v="Gabriel Ribeiro"/>
    <n v="64"/>
    <n v="49374.42"/>
    <d v="2024-05-22T00:00:00"/>
    <x v="1"/>
    <x v="2"/>
    <n v="536"/>
  </r>
  <r>
    <s v="C051"/>
    <s v="Gabriel Mendes"/>
    <n v="39"/>
    <n v="33044.839999999997"/>
    <d v="2024-07-11T00:00:00"/>
    <x v="1"/>
    <x v="0"/>
    <n v="423"/>
  </r>
  <r>
    <s v="C052"/>
    <s v="Mariana Dias"/>
    <n v="69"/>
    <n v="1383.33"/>
    <d v="2024-07-23T00:00:00"/>
    <x v="2"/>
    <x v="0"/>
    <n v="497"/>
  </r>
  <r>
    <s v="C053"/>
    <s v="Eduardo Costa"/>
    <n v="24"/>
    <n v="41038.1"/>
    <d v="2024-05-18T00:00:00"/>
    <x v="1"/>
    <x v="2"/>
    <n v="623"/>
  </r>
  <r>
    <s v="C054"/>
    <s v="Eduardo Almeida"/>
    <n v="33"/>
    <n v="15669.56"/>
    <d v="2024-03-07T00:00:00"/>
    <x v="0"/>
    <x v="1"/>
    <n v="422"/>
  </r>
  <r>
    <s v="C055"/>
    <s v="Yasmin Costa"/>
    <n v="30"/>
    <n v="33506.050000000003"/>
    <d v="2024-07-22T00:00:00"/>
    <x v="0"/>
    <x v="1"/>
    <n v="848"/>
  </r>
  <r>
    <s v="C056"/>
    <s v="Yasmin Rocha"/>
    <n v="30"/>
    <n v="47007.57"/>
    <d v="2024-07-22T00:00:00"/>
    <x v="2"/>
    <x v="2"/>
    <n v="489"/>
  </r>
  <r>
    <s v="C057"/>
    <s v="Sofia Barros"/>
    <n v="52"/>
    <n v="7580.26"/>
    <d v="2024-12-06T00:00:00"/>
    <x v="0"/>
    <x v="2"/>
    <n v="496"/>
  </r>
  <r>
    <s v="C058"/>
    <s v="Leonardo Almeida"/>
    <n v="46"/>
    <n v="6656"/>
    <d v="2024-10-19T00:00:00"/>
    <x v="0"/>
    <x v="2"/>
    <n v="521"/>
  </r>
  <r>
    <s v="C059"/>
    <s v="Eduardo Mendes"/>
    <n v="26"/>
    <n v="6244.76"/>
    <d v="2024-05-13T00:00:00"/>
    <x v="0"/>
    <x v="1"/>
    <n v="795"/>
  </r>
  <r>
    <s v="C060"/>
    <s v="Carlos Souza"/>
    <n v="45"/>
    <n v="28107.96"/>
    <d v="2024-09-27T00:00:00"/>
    <x v="0"/>
    <x v="1"/>
    <n v="583"/>
  </r>
  <r>
    <s v="C061"/>
    <s v="Daniela Pereira"/>
    <n v="29"/>
    <n v="14345.06"/>
    <d v="2024-01-10T00:00:00"/>
    <x v="1"/>
    <x v="2"/>
    <n v="837"/>
  </r>
  <r>
    <s v="C062"/>
    <s v="Ursula Lima"/>
    <n v="35"/>
    <n v="30636.66"/>
    <d v="2024-05-07T00:00:00"/>
    <x v="1"/>
    <x v="0"/>
    <n v="589"/>
  </r>
  <r>
    <s v="C063"/>
    <s v="Vinícius Rocha"/>
    <n v="47"/>
    <n v="36163"/>
    <d v="2024-07-26T00:00:00"/>
    <x v="1"/>
    <x v="2"/>
    <n v="402"/>
  </r>
  <r>
    <s v="C064"/>
    <s v="Tiago Oliveira"/>
    <n v="33"/>
    <n v="10976.27"/>
    <d v="2024-10-20T00:00:00"/>
    <x v="1"/>
    <x v="2"/>
    <n v="498"/>
  </r>
  <r>
    <s v="C065"/>
    <s v="Mariana Barros"/>
    <n v="22"/>
    <n v="32077.66"/>
    <d v="2024-11-11T00:00:00"/>
    <x v="1"/>
    <x v="1"/>
    <n v="603"/>
  </r>
  <r>
    <s v="C066"/>
    <s v="Tiago Dias"/>
    <n v="46"/>
    <n v="13935.21"/>
    <d v="2024-08-15T00:00:00"/>
    <x v="2"/>
    <x v="2"/>
    <n v="532"/>
  </r>
  <r>
    <s v="C067"/>
    <s v="Cássia Costa"/>
    <n v="69"/>
    <n v="24938.06"/>
    <d v="2024-08-22T00:00:00"/>
    <x v="0"/>
    <x v="1"/>
    <n v="669"/>
  </r>
  <r>
    <s v="C068"/>
    <s v="Rafael Silva"/>
    <n v="53"/>
    <n v="45361.49"/>
    <d v="2024-04-17T00:00:00"/>
    <x v="2"/>
    <x v="0"/>
    <n v="483"/>
  </r>
  <r>
    <s v="C069"/>
    <s v="Vinícius Santos"/>
    <n v="24"/>
    <n v="42459.08"/>
    <d v="2024-08-26T00:00:00"/>
    <x v="0"/>
    <x v="2"/>
    <n v="609"/>
  </r>
  <r>
    <s v="C070"/>
    <s v="Vinícius Costa"/>
    <n v="21"/>
    <n v="5522.62"/>
    <d v="2024-12-06T00:00:00"/>
    <x v="0"/>
    <x v="0"/>
    <n v="314"/>
  </r>
  <r>
    <s v="C071"/>
    <s v="Zeca Ribeiro"/>
    <n v="59"/>
    <n v="21755.21"/>
    <d v="2024-11-03T00:00:00"/>
    <x v="0"/>
    <x v="2"/>
    <n v="846"/>
  </r>
  <r>
    <s v="C072"/>
    <s v="Daniela Ferreira"/>
    <n v="52"/>
    <n v="14557.33"/>
    <d v="2024-05-17T00:00:00"/>
    <x v="2"/>
    <x v="0"/>
    <n v="429"/>
  </r>
  <r>
    <s v="C073"/>
    <s v="Natan Lima"/>
    <n v="18"/>
    <n v="1173.74"/>
    <d v="2024-11-21T00:00:00"/>
    <x v="0"/>
    <x v="1"/>
    <n v="580"/>
  </r>
  <r>
    <s v="C074"/>
    <s v="Olívia Silva"/>
    <n v="23"/>
    <n v="38784.839999999997"/>
    <d v="2024-10-11T00:00:00"/>
    <x v="0"/>
    <x v="2"/>
    <n v="346"/>
  </r>
  <r>
    <s v="C075"/>
    <s v="Yasmin Costa"/>
    <n v="66"/>
    <n v="32218.560000000001"/>
    <d v="2024-02-27T00:00:00"/>
    <x v="1"/>
    <x v="2"/>
    <n v="355"/>
  </r>
  <r>
    <s v="C076"/>
    <s v="Cássia Lima"/>
    <n v="33"/>
    <n v="13835.81"/>
    <d v="2024-04-22T00:00:00"/>
    <x v="1"/>
    <x v="0"/>
    <n v="599"/>
  </r>
  <r>
    <s v="C077"/>
    <s v="Cássia Santos"/>
    <n v="28"/>
    <n v="37320.31"/>
    <d v="2024-05-08T00:00:00"/>
    <x v="0"/>
    <x v="1"/>
    <n v="429"/>
  </r>
  <r>
    <s v="C078"/>
    <s v="Ursula Ferreira"/>
    <n v="44"/>
    <n v="28032.34"/>
    <d v="2024-04-05T00:00:00"/>
    <x v="1"/>
    <x v="0"/>
    <n v="802"/>
  </r>
  <r>
    <s v="C079"/>
    <s v="Ursula Carvalho"/>
    <n v="49"/>
    <n v="21956.66"/>
    <d v="2024-01-02T00:00:00"/>
    <x v="2"/>
    <x v="0"/>
    <n v="405"/>
  </r>
  <r>
    <s v="C080"/>
    <s v="Eduardo Martins"/>
    <n v="48"/>
    <n v="1473.82"/>
    <d v="2024-04-16T00:00:00"/>
    <x v="0"/>
    <x v="1"/>
    <n v="312"/>
  </r>
  <r>
    <s v="C081"/>
    <s v="Zeca Lima"/>
    <n v="31"/>
    <n v="4686.95"/>
    <d v="2024-10-28T00:00:00"/>
    <x v="2"/>
    <x v="0"/>
    <n v="591"/>
  </r>
  <r>
    <s v="C082"/>
    <s v="Rafael Silva"/>
    <n v="43"/>
    <n v="44272.21"/>
    <d v="2024-02-15T00:00:00"/>
    <x v="1"/>
    <x v="0"/>
    <n v="780"/>
  </r>
  <r>
    <s v="C083"/>
    <s v="Tiago Ribeiro"/>
    <n v="21"/>
    <n v="45292.5"/>
    <d v="2024-07-21T00:00:00"/>
    <x v="1"/>
    <x v="2"/>
    <n v="790"/>
  </r>
  <r>
    <s v="C084"/>
    <s v="Paulo Silva"/>
    <n v="28"/>
    <n v="27733.919999999998"/>
    <d v="2024-10-07T00:00:00"/>
    <x v="2"/>
    <x v="0"/>
    <n v="751"/>
  </r>
  <r>
    <s v="C085"/>
    <s v="Daniela Martins"/>
    <n v="42"/>
    <n v="41895.160000000003"/>
    <d v="2024-12-23T00:00:00"/>
    <x v="0"/>
    <x v="2"/>
    <n v="648"/>
  </r>
  <r>
    <s v="C086"/>
    <s v="João Almeida"/>
    <n v="18"/>
    <n v="29542.97"/>
    <d v="2024-07-16T00:00:00"/>
    <x v="1"/>
    <x v="1"/>
    <n v="488"/>
  </r>
  <r>
    <s v="C087"/>
    <s v="Bruno Almeida"/>
    <n v="42"/>
    <n v="8256.6"/>
    <d v="2024-07-08T00:00:00"/>
    <x v="1"/>
    <x v="0"/>
    <n v="352"/>
  </r>
  <r>
    <s v="C088"/>
    <s v="Sofia Oliveira"/>
    <n v="34"/>
    <n v="7244.83"/>
    <d v="2024-03-21T00:00:00"/>
    <x v="1"/>
    <x v="1"/>
    <n v="558"/>
  </r>
  <r>
    <s v="C089"/>
    <s v="Carlos Mendes"/>
    <n v="68"/>
    <n v="16104.66"/>
    <d v="2024-12-01T00:00:00"/>
    <x v="2"/>
    <x v="2"/>
    <n v="789"/>
  </r>
  <r>
    <s v="C090"/>
    <s v="Carlos Pereira"/>
    <n v="68"/>
    <n v="45050.09"/>
    <d v="2024-02-25T00:00:00"/>
    <x v="2"/>
    <x v="2"/>
    <n v="416"/>
  </r>
  <r>
    <s v="C091"/>
    <s v="Eduardo Mendes"/>
    <n v="47"/>
    <n v="40009.99"/>
    <d v="2024-07-08T00:00:00"/>
    <x v="1"/>
    <x v="2"/>
    <n v="366"/>
  </r>
  <r>
    <s v="C092"/>
    <s v="Rafael Lima"/>
    <n v="36"/>
    <n v="43174.43"/>
    <d v="2024-03-26T00:00:00"/>
    <x v="0"/>
    <x v="0"/>
    <n v="710"/>
  </r>
  <r>
    <s v="C093"/>
    <s v="Isabela Rocha"/>
    <n v="45"/>
    <n v="45047.31"/>
    <d v="2024-12-17T00:00:00"/>
    <x v="2"/>
    <x v="2"/>
    <n v="803"/>
  </r>
  <r>
    <s v="C094"/>
    <s v="Gabriel Carvalho"/>
    <n v="62"/>
    <n v="11293.75"/>
    <d v="2024-08-02T00:00:00"/>
    <x v="0"/>
    <x v="2"/>
    <n v="375"/>
  </r>
  <r>
    <s v="C095"/>
    <s v="William Ferreira"/>
    <n v="64"/>
    <n v="13226.96"/>
    <d v="2024-09-08T00:00:00"/>
    <x v="2"/>
    <x v="0"/>
    <n v="354"/>
  </r>
  <r>
    <s v="C096"/>
    <s v="Mariana Martins"/>
    <n v="68"/>
    <n v="6036.89"/>
    <d v="2024-02-15T00:00:00"/>
    <x v="2"/>
    <x v="0"/>
    <n v="455"/>
  </r>
  <r>
    <s v="C097"/>
    <s v="Olívia Dias"/>
    <n v="53"/>
    <n v="39225.699999999997"/>
    <d v="2024-03-26T00:00:00"/>
    <x v="0"/>
    <x v="0"/>
    <n v="452"/>
  </r>
  <r>
    <s v="C098"/>
    <s v="Daniela Almeida"/>
    <n v="60"/>
    <n v="44322.6"/>
    <d v="2024-08-22T00:00:00"/>
    <x v="0"/>
    <x v="2"/>
    <n v="611"/>
  </r>
  <r>
    <s v="C099"/>
    <s v="Helena Oliveira"/>
    <n v="63"/>
    <n v="20912.490000000002"/>
    <d v="2024-09-18T00:00:00"/>
    <x v="0"/>
    <x v="2"/>
    <n v="387"/>
  </r>
  <r>
    <s v="C100"/>
    <s v="Karina Silva"/>
    <n v="49"/>
    <n v="31412.41"/>
    <d v="2024-10-11T00:00:00"/>
    <x v="2"/>
    <x v="0"/>
    <n v="5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228C1-AC1C-404C-B557-A44E6CD1D33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E8" firstHeaderRow="1" firstDataRow="2" firstDataCol="1"/>
  <pivotFields count="8">
    <pivotField dataField="1" showAll="0"/>
    <pivotField showAll="0"/>
    <pivotField showAll="0"/>
    <pivotField numFmtId="164" showAll="0"/>
    <pivotField numFmtId="14" showAll="0"/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Distribuição de Status de Conta por Tipo" fld="0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290DB-7214-4FD1-8995-AA5266A62B8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3:B7" firstHeaderRow="1" firstDataRow="1" firstDataCol="1"/>
  <pivotFields count="8">
    <pivotField showAll="0"/>
    <pivotField showAll="0"/>
    <pivotField showAll="0"/>
    <pivotField dataField="1" numFmtId="164" showAll="0"/>
    <pivotField numFmtId="14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Saldo_Conta" fld="3" baseField="5" baseItem="0" numFmtId="164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5184BD-0956-4A52-AD5D-EB8904F905F9}" name="Tabela1" displayName="Tabela1" ref="A1:I101" totalsRowShown="0" headerRowDxfId="10" dataDxfId="9">
  <tableColumns count="9">
    <tableColumn id="1" xr3:uid="{1598057C-6D97-4340-898B-FD051C122BF7}" name="Cliente_ID" dataDxfId="8"/>
    <tableColumn id="2" xr3:uid="{A40BA303-A809-4958-B962-886A99D87356}" name="Nome" dataDxfId="7"/>
    <tableColumn id="3" xr3:uid="{5DB36DED-5384-4F40-835C-1E75C6CD1886}" name="Idade" dataDxfId="6"/>
    <tableColumn id="4" xr3:uid="{5DA5D499-4CFB-4B22-B369-3DEB97C516C8}" name="Saldo_Conta" dataDxfId="5"/>
    <tableColumn id="5" xr3:uid="{6E447857-7683-4325-92F3-4C44BC12C9D8}" name="Ultima_Transacao" dataDxfId="4"/>
    <tableColumn id="6" xr3:uid="{FD3B4C56-B21D-4309-A850-F2F73D8616E5}" name="Tipo_Conta" dataDxfId="3"/>
    <tableColumn id="7" xr3:uid="{EB015CD6-76A5-4227-8329-2A1412F9E331}" name="Status_Conta" dataDxfId="2"/>
    <tableColumn id="8" xr3:uid="{4F6BA52D-B9BF-4861-80FE-2C60DB26E748}" name="Pontuacao_Credito" dataDxfId="1"/>
    <tableColumn id="9" xr3:uid="{F0FBFC7F-04C5-4405-B19A-BF875C27C17A}" name="Mês" dataDxfId="0">
      <calculatedColumnFormula>TEXT(Tabela1[[#This Row],[Ultima_Transacao]],"mm")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A655-25B4-4C27-9B8C-16A21501ADA7}">
  <dimension ref="A1:A101"/>
  <sheetViews>
    <sheetView workbookViewId="0">
      <selection activeCell="D94" sqref="D94"/>
    </sheetView>
  </sheetViews>
  <sheetFormatPr defaultRowHeight="15" x14ac:dyDescent="0.25"/>
  <cols>
    <col min="1" max="1" width="89.5703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79D8-1F63-4FD4-A028-4D511355B45A}">
  <dimension ref="A1:L101"/>
  <sheetViews>
    <sheetView topLeftCell="D1" zoomScaleNormal="100" workbookViewId="0">
      <selection activeCell="N12" sqref="N12"/>
    </sheetView>
  </sheetViews>
  <sheetFormatPr defaultRowHeight="15" x14ac:dyDescent="0.25"/>
  <cols>
    <col min="1" max="1" width="12.42578125" customWidth="1"/>
    <col min="2" max="2" width="17.7109375" bestFit="1" customWidth="1"/>
    <col min="3" max="3" width="8.140625" customWidth="1"/>
    <col min="4" max="4" width="14.140625" customWidth="1"/>
    <col min="5" max="5" width="18.7109375" customWidth="1"/>
    <col min="6" max="6" width="13.140625" customWidth="1"/>
    <col min="7" max="7" width="14.7109375" customWidth="1"/>
    <col min="8" max="8" width="20" customWidth="1"/>
    <col min="9" max="9" width="14.7109375" customWidth="1"/>
    <col min="11" max="11" width="16.42578125" customWidth="1"/>
    <col min="12" max="12" width="20" customWidth="1"/>
  </cols>
  <sheetData>
    <row r="1" spans="1:12" x14ac:dyDescent="0.25">
      <c r="A1" s="1" t="s">
        <v>101</v>
      </c>
      <c r="B1" s="1" t="s">
        <v>102</v>
      </c>
      <c r="C1" s="1" t="s">
        <v>103</v>
      </c>
      <c r="D1" s="3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322</v>
      </c>
    </row>
    <row r="2" spans="1:12" x14ac:dyDescent="0.25">
      <c r="A2" s="1" t="s">
        <v>109</v>
      </c>
      <c r="B2" s="1" t="s">
        <v>110</v>
      </c>
      <c r="C2" s="1">
        <v>55</v>
      </c>
      <c r="D2" s="3">
        <v>8585.0400000000009</v>
      </c>
      <c r="E2" s="2">
        <v>45359</v>
      </c>
      <c r="F2" s="1" t="s">
        <v>294</v>
      </c>
      <c r="G2" s="1" t="s">
        <v>111</v>
      </c>
      <c r="H2" s="1">
        <v>630</v>
      </c>
      <c r="I2" s="1" t="str">
        <f>TEXT(Tabela1[[#This Row],[Ultima_Transacao]],"mm")</f>
        <v>03</v>
      </c>
      <c r="K2" s="17" t="s">
        <v>335</v>
      </c>
      <c r="L2" s="17"/>
    </row>
    <row r="3" spans="1:12" ht="15.75" x14ac:dyDescent="0.25">
      <c r="A3" s="1" t="s">
        <v>112</v>
      </c>
      <c r="B3" s="1" t="s">
        <v>113</v>
      </c>
      <c r="C3" s="1">
        <v>53</v>
      </c>
      <c r="D3" s="3">
        <v>15538.68</v>
      </c>
      <c r="E3" s="2">
        <v>45377</v>
      </c>
      <c r="F3" s="1" t="s">
        <v>114</v>
      </c>
      <c r="G3" s="1" t="s">
        <v>111</v>
      </c>
      <c r="H3" s="1">
        <v>551</v>
      </c>
      <c r="I3" s="1" t="str">
        <f>TEXT(Tabela1[[#This Row],[Ultima_Transacao]],"mm")</f>
        <v>03</v>
      </c>
      <c r="K3" s="15" t="s">
        <v>323</v>
      </c>
      <c r="L3" s="14">
        <f>COUNTIF(Tabela1[Mês],"01")</f>
        <v>8</v>
      </c>
    </row>
    <row r="4" spans="1:12" ht="15.75" x14ac:dyDescent="0.25">
      <c r="A4" s="1" t="s">
        <v>115</v>
      </c>
      <c r="B4" s="1" t="s">
        <v>116</v>
      </c>
      <c r="C4" s="1">
        <v>32</v>
      </c>
      <c r="D4" s="3">
        <v>48466.76</v>
      </c>
      <c r="E4" s="2">
        <v>45365</v>
      </c>
      <c r="F4" s="1" t="s">
        <v>114</v>
      </c>
      <c r="G4" s="1" t="s">
        <v>111</v>
      </c>
      <c r="H4" s="1">
        <v>388</v>
      </c>
      <c r="I4" s="1" t="str">
        <f>TEXT(Tabela1[[#This Row],[Ultima_Transacao]],"mm")</f>
        <v>03</v>
      </c>
      <c r="K4" s="15" t="s">
        <v>324</v>
      </c>
      <c r="L4" s="14">
        <f>COUNTIF(Tabela1[Mês],"02")</f>
        <v>7</v>
      </c>
    </row>
    <row r="5" spans="1:12" ht="15.75" x14ac:dyDescent="0.25">
      <c r="A5" s="1" t="s">
        <v>117</v>
      </c>
      <c r="B5" s="1" t="s">
        <v>118</v>
      </c>
      <c r="C5" s="1">
        <v>55</v>
      </c>
      <c r="D5" s="3">
        <v>29379.83</v>
      </c>
      <c r="E5" s="2">
        <v>45297</v>
      </c>
      <c r="F5" s="1" t="s">
        <v>114</v>
      </c>
      <c r="G5" s="1" t="s">
        <v>111</v>
      </c>
      <c r="H5" s="1">
        <v>585</v>
      </c>
      <c r="I5" s="1" t="str">
        <f>TEXT(Tabela1[[#This Row],[Ultima_Transacao]],"mm")</f>
        <v>01</v>
      </c>
      <c r="K5" s="15" t="s">
        <v>325</v>
      </c>
      <c r="L5" s="14">
        <f>COUNTIF(Tabela1[Mês],"03")</f>
        <v>8</v>
      </c>
    </row>
    <row r="6" spans="1:12" ht="15.75" x14ac:dyDescent="0.25">
      <c r="A6" s="1" t="s">
        <v>119</v>
      </c>
      <c r="B6" s="1" t="s">
        <v>295</v>
      </c>
      <c r="C6" s="1">
        <v>32</v>
      </c>
      <c r="D6" s="3">
        <v>27567.56</v>
      </c>
      <c r="E6" s="2">
        <v>45637</v>
      </c>
      <c r="F6" s="1" t="s">
        <v>294</v>
      </c>
      <c r="G6" s="1" t="s">
        <v>111</v>
      </c>
      <c r="H6" s="1">
        <v>761</v>
      </c>
      <c r="I6" s="1" t="str">
        <f>TEXT(Tabela1[[#This Row],[Ultima_Transacao]],"mm")</f>
        <v>12</v>
      </c>
      <c r="K6" s="15" t="s">
        <v>326</v>
      </c>
      <c r="L6" s="14">
        <f>COUNTIF(Tabela1[Mês],"04")</f>
        <v>9</v>
      </c>
    </row>
    <row r="7" spans="1:12" ht="15.75" x14ac:dyDescent="0.25">
      <c r="A7" s="1" t="s">
        <v>120</v>
      </c>
      <c r="B7" s="1" t="s">
        <v>121</v>
      </c>
      <c r="C7" s="1">
        <v>18</v>
      </c>
      <c r="D7" s="3">
        <v>37650.800000000003</v>
      </c>
      <c r="E7" s="2">
        <v>45499</v>
      </c>
      <c r="F7" s="1" t="s">
        <v>114</v>
      </c>
      <c r="G7" s="1" t="s">
        <v>111</v>
      </c>
      <c r="H7" s="1">
        <v>549</v>
      </c>
      <c r="I7" s="1" t="str">
        <f>TEXT(Tabela1[[#This Row],[Ultima_Transacao]],"mm")</f>
        <v>07</v>
      </c>
      <c r="K7" s="15" t="s">
        <v>327</v>
      </c>
      <c r="L7" s="14">
        <f>COUNTIF(Tabela1[Mês],"05")</f>
        <v>11</v>
      </c>
    </row>
    <row r="8" spans="1:12" ht="15.75" x14ac:dyDescent="0.25">
      <c r="A8" s="1" t="s">
        <v>122</v>
      </c>
      <c r="B8" s="1" t="s">
        <v>123</v>
      </c>
      <c r="C8" s="1">
        <v>22</v>
      </c>
      <c r="D8" s="3">
        <v>3801.1</v>
      </c>
      <c r="E8" s="2">
        <v>45624</v>
      </c>
      <c r="F8" s="1" t="s">
        <v>294</v>
      </c>
      <c r="G8" s="1" t="s">
        <v>111</v>
      </c>
      <c r="H8" s="1">
        <v>775</v>
      </c>
      <c r="I8" s="1" t="str">
        <f>TEXT(Tabela1[[#This Row],[Ultima_Transacao]],"mm")</f>
        <v>11</v>
      </c>
      <c r="K8" s="15" t="s">
        <v>328</v>
      </c>
      <c r="L8" s="14">
        <f>COUNTIF(Tabela1[Mês],"06")</f>
        <v>3</v>
      </c>
    </row>
    <row r="9" spans="1:12" ht="15.75" x14ac:dyDescent="0.25">
      <c r="A9" s="1" t="s">
        <v>124</v>
      </c>
      <c r="B9" s="1" t="s">
        <v>125</v>
      </c>
      <c r="C9" s="1">
        <v>63</v>
      </c>
      <c r="D9" s="3">
        <v>29624.7</v>
      </c>
      <c r="E9" s="2">
        <v>45652</v>
      </c>
      <c r="F9" s="1" t="s">
        <v>126</v>
      </c>
      <c r="G9" s="1" t="s">
        <v>127</v>
      </c>
      <c r="H9" s="1">
        <v>688</v>
      </c>
      <c r="I9" s="1" t="str">
        <f>TEXT(Tabela1[[#This Row],[Ultima_Transacao]],"mm")</f>
        <v>12</v>
      </c>
      <c r="K9" s="15" t="s">
        <v>329</v>
      </c>
      <c r="L9" s="14">
        <f>COUNTIF(Tabela1[Mês],"07")</f>
        <v>13</v>
      </c>
    </row>
    <row r="10" spans="1:12" ht="15.75" x14ac:dyDescent="0.25">
      <c r="A10" s="1" t="s">
        <v>128</v>
      </c>
      <c r="B10" s="1" t="s">
        <v>129</v>
      </c>
      <c r="C10" s="1">
        <v>58</v>
      </c>
      <c r="D10" s="3">
        <v>25639.67</v>
      </c>
      <c r="E10" s="2">
        <v>45391</v>
      </c>
      <c r="F10" s="1" t="s">
        <v>114</v>
      </c>
      <c r="G10" s="1" t="s">
        <v>111</v>
      </c>
      <c r="H10" s="1">
        <v>644</v>
      </c>
      <c r="I10" s="1" t="str">
        <f>TEXT(Tabela1[[#This Row],[Ultima_Transacao]],"mm")</f>
        <v>04</v>
      </c>
      <c r="K10" s="15" t="s">
        <v>330</v>
      </c>
      <c r="L10" s="14">
        <f>COUNTIF(Tabela1[Mês],"08")</f>
        <v>7</v>
      </c>
    </row>
    <row r="11" spans="1:12" ht="15.75" x14ac:dyDescent="0.25">
      <c r="A11" s="1" t="s">
        <v>130</v>
      </c>
      <c r="B11" s="1" t="s">
        <v>131</v>
      </c>
      <c r="C11" s="1">
        <v>21</v>
      </c>
      <c r="D11" s="3">
        <v>42783.27</v>
      </c>
      <c r="E11" s="2">
        <v>45377</v>
      </c>
      <c r="F11" s="1" t="s">
        <v>294</v>
      </c>
      <c r="G11" s="1" t="s">
        <v>127</v>
      </c>
      <c r="H11" s="1">
        <v>329</v>
      </c>
      <c r="I11" s="1" t="str">
        <f>TEXT(Tabela1[[#This Row],[Ultima_Transacao]],"mm")</f>
        <v>03</v>
      </c>
      <c r="K11" s="15" t="s">
        <v>331</v>
      </c>
      <c r="L11" s="14">
        <f>COUNTIF(Tabela1[Mês],"09")</f>
        <v>5</v>
      </c>
    </row>
    <row r="12" spans="1:12" ht="15.75" x14ac:dyDescent="0.25">
      <c r="A12" s="1" t="s">
        <v>132</v>
      </c>
      <c r="B12" s="1" t="s">
        <v>133</v>
      </c>
      <c r="C12" s="1">
        <v>32</v>
      </c>
      <c r="D12" s="3">
        <v>8714.2000000000007</v>
      </c>
      <c r="E12" s="2">
        <v>45630</v>
      </c>
      <c r="F12" s="1" t="s">
        <v>294</v>
      </c>
      <c r="G12" s="1" t="s">
        <v>134</v>
      </c>
      <c r="H12" s="1">
        <v>806</v>
      </c>
      <c r="I12" s="1" t="str">
        <f>TEXT(Tabela1[[#This Row],[Ultima_Transacao]],"mm")</f>
        <v>12</v>
      </c>
      <c r="K12" s="15" t="s">
        <v>332</v>
      </c>
      <c r="L12" s="14">
        <f>COUNTIF(Tabela1[Mês],"10")</f>
        <v>11</v>
      </c>
    </row>
    <row r="13" spans="1:12" ht="15.75" x14ac:dyDescent="0.25">
      <c r="A13" s="1" t="s">
        <v>135</v>
      </c>
      <c r="B13" s="1" t="s">
        <v>136</v>
      </c>
      <c r="C13" s="1">
        <v>22</v>
      </c>
      <c r="D13" s="3">
        <v>48078.17</v>
      </c>
      <c r="E13" s="2">
        <v>45501</v>
      </c>
      <c r="F13" s="1" t="s">
        <v>294</v>
      </c>
      <c r="G13" s="1" t="s">
        <v>134</v>
      </c>
      <c r="H13" s="1">
        <v>632</v>
      </c>
      <c r="I13" s="1" t="str">
        <f>TEXT(Tabela1[[#This Row],[Ultima_Transacao]],"mm")</f>
        <v>07</v>
      </c>
      <c r="K13" s="15" t="s">
        <v>333</v>
      </c>
      <c r="L13" s="14">
        <f>COUNTIF(Tabela1[Mês],"11")</f>
        <v>7</v>
      </c>
    </row>
    <row r="14" spans="1:12" ht="15.75" x14ac:dyDescent="0.25">
      <c r="A14" s="1" t="s">
        <v>137</v>
      </c>
      <c r="B14" s="1" t="s">
        <v>138</v>
      </c>
      <c r="C14" s="1">
        <v>20</v>
      </c>
      <c r="D14" s="3">
        <v>4925.46</v>
      </c>
      <c r="E14" s="2">
        <v>45319</v>
      </c>
      <c r="F14" s="1" t="s">
        <v>126</v>
      </c>
      <c r="G14" s="1" t="s">
        <v>127</v>
      </c>
      <c r="H14" s="1">
        <v>486</v>
      </c>
      <c r="I14" s="1" t="str">
        <f>TEXT(Tabela1[[#This Row],[Ultima_Transacao]],"mm")</f>
        <v>01</v>
      </c>
      <c r="K14" s="15" t="s">
        <v>334</v>
      </c>
      <c r="L14" s="14">
        <f>COUNTIF(Tabela1[Mês],"12")</f>
        <v>11</v>
      </c>
    </row>
    <row r="15" spans="1:12" x14ac:dyDescent="0.25">
      <c r="A15" s="1" t="s">
        <v>139</v>
      </c>
      <c r="B15" s="1" t="s">
        <v>140</v>
      </c>
      <c r="C15" s="1">
        <v>39</v>
      </c>
      <c r="D15" s="3">
        <v>10105.42</v>
      </c>
      <c r="E15" s="2">
        <v>45512</v>
      </c>
      <c r="F15" s="1" t="s">
        <v>114</v>
      </c>
      <c r="G15" s="1" t="s">
        <v>111</v>
      </c>
      <c r="H15" s="1">
        <v>799</v>
      </c>
      <c r="I15" s="1" t="str">
        <f>TEXT(Tabela1[[#This Row],[Ultima_Transacao]],"mm")</f>
        <v>08</v>
      </c>
    </row>
    <row r="16" spans="1:12" x14ac:dyDescent="0.25">
      <c r="A16" s="1" t="s">
        <v>141</v>
      </c>
      <c r="B16" s="1" t="s">
        <v>133</v>
      </c>
      <c r="C16" s="1">
        <v>22</v>
      </c>
      <c r="D16" s="3">
        <v>30156.720000000001</v>
      </c>
      <c r="E16" s="2">
        <v>45409</v>
      </c>
      <c r="F16" s="1" t="s">
        <v>294</v>
      </c>
      <c r="G16" s="1" t="s">
        <v>127</v>
      </c>
      <c r="H16" s="1">
        <v>517</v>
      </c>
      <c r="I16" s="1" t="str">
        <f>TEXT(Tabela1[[#This Row],[Ultima_Transacao]],"mm")</f>
        <v>04</v>
      </c>
    </row>
    <row r="17" spans="1:9" x14ac:dyDescent="0.25">
      <c r="A17" s="1" t="s">
        <v>142</v>
      </c>
      <c r="B17" s="1" t="s">
        <v>143</v>
      </c>
      <c r="C17" s="1">
        <v>50</v>
      </c>
      <c r="D17" s="3">
        <v>34085.42</v>
      </c>
      <c r="E17" s="2">
        <v>45516</v>
      </c>
      <c r="F17" s="1" t="s">
        <v>114</v>
      </c>
      <c r="G17" s="1" t="s">
        <v>134</v>
      </c>
      <c r="H17" s="1">
        <v>663</v>
      </c>
      <c r="I17" s="1" t="str">
        <f>TEXT(Tabela1[[#This Row],[Ultima_Transacao]],"mm")</f>
        <v>08</v>
      </c>
    </row>
    <row r="18" spans="1:9" x14ac:dyDescent="0.25">
      <c r="A18" s="1" t="s">
        <v>144</v>
      </c>
      <c r="B18" s="1" t="s">
        <v>145</v>
      </c>
      <c r="C18" s="1">
        <v>33</v>
      </c>
      <c r="D18" s="3">
        <v>12524.99</v>
      </c>
      <c r="E18" s="2">
        <v>45439</v>
      </c>
      <c r="F18" s="1" t="s">
        <v>294</v>
      </c>
      <c r="G18" s="1" t="s">
        <v>127</v>
      </c>
      <c r="H18" s="1">
        <v>564</v>
      </c>
      <c r="I18" s="1" t="str">
        <f>TEXT(Tabela1[[#This Row],[Ultima_Transacao]],"mm")</f>
        <v>05</v>
      </c>
    </row>
    <row r="19" spans="1:9" x14ac:dyDescent="0.25">
      <c r="A19" s="1" t="s">
        <v>146</v>
      </c>
      <c r="B19" s="1" t="s">
        <v>147</v>
      </c>
      <c r="C19" s="1">
        <v>35</v>
      </c>
      <c r="D19" s="3">
        <v>6874.44</v>
      </c>
      <c r="E19" s="2">
        <v>45390</v>
      </c>
      <c r="F19" s="1" t="s">
        <v>114</v>
      </c>
      <c r="G19" s="1" t="s">
        <v>134</v>
      </c>
      <c r="H19" s="1">
        <v>648</v>
      </c>
      <c r="I19" s="1" t="str">
        <f>TEXT(Tabela1[[#This Row],[Ultima_Transacao]],"mm")</f>
        <v>04</v>
      </c>
    </row>
    <row r="20" spans="1:9" x14ac:dyDescent="0.25">
      <c r="A20" s="1" t="s">
        <v>148</v>
      </c>
      <c r="B20" s="1" t="s">
        <v>149</v>
      </c>
      <c r="C20" s="1">
        <v>60</v>
      </c>
      <c r="D20" s="3">
        <v>44624.08</v>
      </c>
      <c r="E20" s="2">
        <v>45313</v>
      </c>
      <c r="F20" s="1" t="s">
        <v>126</v>
      </c>
      <c r="G20" s="1" t="s">
        <v>127</v>
      </c>
      <c r="H20" s="1">
        <v>586</v>
      </c>
      <c r="I20" s="1" t="str">
        <f>TEXT(Tabela1[[#This Row],[Ultima_Transacao]],"mm")</f>
        <v>01</v>
      </c>
    </row>
    <row r="21" spans="1:9" x14ac:dyDescent="0.25">
      <c r="A21" s="1" t="s">
        <v>150</v>
      </c>
      <c r="B21" s="1" t="s">
        <v>151</v>
      </c>
      <c r="C21" s="1">
        <v>49</v>
      </c>
      <c r="D21" s="3">
        <v>13064.55</v>
      </c>
      <c r="E21" s="2">
        <v>45395</v>
      </c>
      <c r="F21" s="1" t="s">
        <v>294</v>
      </c>
      <c r="G21" s="1" t="s">
        <v>127</v>
      </c>
      <c r="H21" s="1">
        <v>582</v>
      </c>
      <c r="I21" s="1" t="str">
        <f>TEXT(Tabela1[[#This Row],[Ultima_Transacao]],"mm")</f>
        <v>04</v>
      </c>
    </row>
    <row r="22" spans="1:9" x14ac:dyDescent="0.25">
      <c r="A22" s="1" t="s">
        <v>152</v>
      </c>
      <c r="B22" s="1" t="s">
        <v>153</v>
      </c>
      <c r="C22" s="1">
        <v>31</v>
      </c>
      <c r="D22" s="3">
        <v>30131.439999999999</v>
      </c>
      <c r="E22" s="2">
        <v>45452</v>
      </c>
      <c r="F22" s="1" t="s">
        <v>294</v>
      </c>
      <c r="G22" s="1" t="s">
        <v>127</v>
      </c>
      <c r="H22" s="1">
        <v>310</v>
      </c>
      <c r="I22" s="1" t="str">
        <f>TEXT(Tabela1[[#This Row],[Ultima_Transacao]],"mm")</f>
        <v>06</v>
      </c>
    </row>
    <row r="23" spans="1:9" x14ac:dyDescent="0.25">
      <c r="A23" s="1" t="s">
        <v>154</v>
      </c>
      <c r="B23" s="1" t="s">
        <v>155</v>
      </c>
      <c r="C23" s="1">
        <v>52</v>
      </c>
      <c r="D23" s="3">
        <v>31349.69</v>
      </c>
      <c r="E23" s="2">
        <v>45347</v>
      </c>
      <c r="F23" s="1" t="s">
        <v>126</v>
      </c>
      <c r="G23" s="1" t="s">
        <v>127</v>
      </c>
      <c r="H23" s="1">
        <v>829</v>
      </c>
      <c r="I23" s="1" t="str">
        <f>TEXT(Tabela1[[#This Row],[Ultima_Transacao]],"mm")</f>
        <v>02</v>
      </c>
    </row>
    <row r="24" spans="1:9" x14ac:dyDescent="0.25">
      <c r="A24" s="1" t="s">
        <v>156</v>
      </c>
      <c r="B24" s="1" t="s">
        <v>157</v>
      </c>
      <c r="C24" s="1">
        <v>26</v>
      </c>
      <c r="D24" s="3">
        <v>21542.02</v>
      </c>
      <c r="E24" s="2">
        <v>45424</v>
      </c>
      <c r="F24" s="1" t="s">
        <v>114</v>
      </c>
      <c r="G24" s="1" t="s">
        <v>127</v>
      </c>
      <c r="H24" s="1">
        <v>495</v>
      </c>
      <c r="I24" s="1" t="str">
        <f>TEXT(Tabela1[[#This Row],[Ultima_Transacao]],"mm")</f>
        <v>05</v>
      </c>
    </row>
    <row r="25" spans="1:9" x14ac:dyDescent="0.25">
      <c r="A25" s="1" t="s">
        <v>158</v>
      </c>
      <c r="B25" s="1" t="s">
        <v>159</v>
      </c>
      <c r="C25" s="1">
        <v>64</v>
      </c>
      <c r="D25" s="3">
        <v>29599.94</v>
      </c>
      <c r="E25" s="2">
        <v>45613</v>
      </c>
      <c r="F25" s="1" t="s">
        <v>294</v>
      </c>
      <c r="G25" s="1" t="s">
        <v>134</v>
      </c>
      <c r="H25" s="1">
        <v>387</v>
      </c>
      <c r="I25" s="1" t="str">
        <f>TEXT(Tabela1[[#This Row],[Ultima_Transacao]],"mm")</f>
        <v>11</v>
      </c>
    </row>
    <row r="26" spans="1:9" x14ac:dyDescent="0.25">
      <c r="A26" s="1" t="s">
        <v>160</v>
      </c>
      <c r="B26" s="1" t="s">
        <v>161</v>
      </c>
      <c r="C26" s="1">
        <v>54</v>
      </c>
      <c r="D26" s="3">
        <v>26616.35</v>
      </c>
      <c r="E26" s="2">
        <v>45495</v>
      </c>
      <c r="F26" s="1" t="s">
        <v>126</v>
      </c>
      <c r="G26" s="1" t="s">
        <v>127</v>
      </c>
      <c r="H26" s="1">
        <v>547</v>
      </c>
      <c r="I26" s="1" t="str">
        <f>TEXT(Tabela1[[#This Row],[Ultima_Transacao]],"mm")</f>
        <v>07</v>
      </c>
    </row>
    <row r="27" spans="1:9" x14ac:dyDescent="0.25">
      <c r="A27" s="1" t="s">
        <v>162</v>
      </c>
      <c r="B27" s="1" t="s">
        <v>163</v>
      </c>
      <c r="C27" s="1">
        <v>54</v>
      </c>
      <c r="D27" s="3">
        <v>46800.61</v>
      </c>
      <c r="E27" s="2">
        <v>45546</v>
      </c>
      <c r="F27" s="1" t="s">
        <v>294</v>
      </c>
      <c r="G27" s="1" t="s">
        <v>127</v>
      </c>
      <c r="H27" s="1">
        <v>716</v>
      </c>
      <c r="I27" s="1" t="str">
        <f>TEXT(Tabela1[[#This Row],[Ultima_Transacao]],"mm")</f>
        <v>09</v>
      </c>
    </row>
    <row r="28" spans="1:9" x14ac:dyDescent="0.25">
      <c r="A28" s="1" t="s">
        <v>164</v>
      </c>
      <c r="B28" s="1" t="s">
        <v>165</v>
      </c>
      <c r="C28" s="1">
        <v>48</v>
      </c>
      <c r="D28" s="3">
        <v>11008.7</v>
      </c>
      <c r="E28" s="2">
        <v>45295</v>
      </c>
      <c r="F28" s="1" t="s">
        <v>294</v>
      </c>
      <c r="G28" s="1" t="s">
        <v>127</v>
      </c>
      <c r="H28" s="1">
        <v>800</v>
      </c>
      <c r="I28" s="1" t="str">
        <f>TEXT(Tabela1[[#This Row],[Ultima_Transacao]],"mm")</f>
        <v>01</v>
      </c>
    </row>
    <row r="29" spans="1:9" x14ac:dyDescent="0.25">
      <c r="A29" s="1" t="s">
        <v>166</v>
      </c>
      <c r="B29" s="1" t="s">
        <v>167</v>
      </c>
      <c r="C29" s="1">
        <v>33</v>
      </c>
      <c r="D29" s="3">
        <v>36093.4</v>
      </c>
      <c r="E29" s="2">
        <v>45418</v>
      </c>
      <c r="F29" s="1" t="s">
        <v>294</v>
      </c>
      <c r="G29" s="1" t="s">
        <v>111</v>
      </c>
      <c r="H29" s="1">
        <v>546</v>
      </c>
      <c r="I29" s="1" t="str">
        <f>TEXT(Tabela1[[#This Row],[Ultima_Transacao]],"mm")</f>
        <v>05</v>
      </c>
    </row>
    <row r="30" spans="1:9" x14ac:dyDescent="0.25">
      <c r="A30" s="1" t="s">
        <v>168</v>
      </c>
      <c r="B30" s="1" t="s">
        <v>169</v>
      </c>
      <c r="C30" s="1">
        <v>68</v>
      </c>
      <c r="D30" s="3">
        <v>12695.61</v>
      </c>
      <c r="E30" s="2">
        <v>45574</v>
      </c>
      <c r="F30" s="1" t="s">
        <v>114</v>
      </c>
      <c r="G30" s="1" t="s">
        <v>134</v>
      </c>
      <c r="H30" s="1">
        <v>787</v>
      </c>
      <c r="I30" s="1" t="str">
        <f>TEXT(Tabela1[[#This Row],[Ultima_Transacao]],"mm")</f>
        <v>10</v>
      </c>
    </row>
    <row r="31" spans="1:9" x14ac:dyDescent="0.25">
      <c r="A31" s="1" t="s">
        <v>170</v>
      </c>
      <c r="B31" s="1" t="s">
        <v>171</v>
      </c>
      <c r="C31" s="1">
        <v>48</v>
      </c>
      <c r="D31" s="3">
        <v>20393.509999999998</v>
      </c>
      <c r="E31" s="2">
        <v>45295</v>
      </c>
      <c r="F31" s="1" t="s">
        <v>126</v>
      </c>
      <c r="G31" s="1" t="s">
        <v>127</v>
      </c>
      <c r="H31" s="1">
        <v>802</v>
      </c>
      <c r="I31" s="1" t="str">
        <f>TEXT(Tabela1[[#This Row],[Ultima_Transacao]],"mm")</f>
        <v>01</v>
      </c>
    </row>
    <row r="32" spans="1:9" x14ac:dyDescent="0.25">
      <c r="A32" s="1" t="s">
        <v>172</v>
      </c>
      <c r="B32" s="1" t="s">
        <v>173</v>
      </c>
      <c r="C32" s="1">
        <v>69</v>
      </c>
      <c r="D32" s="3">
        <v>33912.82</v>
      </c>
      <c r="E32" s="2">
        <v>45579</v>
      </c>
      <c r="F32" s="1" t="s">
        <v>126</v>
      </c>
      <c r="G32" s="1" t="s">
        <v>134</v>
      </c>
      <c r="H32" s="1">
        <v>758</v>
      </c>
      <c r="I32" s="1" t="str">
        <f>TEXT(Tabela1[[#This Row],[Ultima_Transacao]],"mm")</f>
        <v>10</v>
      </c>
    </row>
    <row r="33" spans="1:9" x14ac:dyDescent="0.25">
      <c r="A33" s="1" t="s">
        <v>174</v>
      </c>
      <c r="B33" s="1" t="s">
        <v>175</v>
      </c>
      <c r="C33" s="1">
        <v>44</v>
      </c>
      <c r="D33" s="3">
        <v>15699.86</v>
      </c>
      <c r="E33" s="2">
        <v>45467</v>
      </c>
      <c r="F33" s="1" t="s">
        <v>126</v>
      </c>
      <c r="G33" s="1" t="s">
        <v>127</v>
      </c>
      <c r="H33" s="1">
        <v>317</v>
      </c>
      <c r="I33" s="1" t="str">
        <f>TEXT(Tabela1[[#This Row],[Ultima_Transacao]],"mm")</f>
        <v>06</v>
      </c>
    </row>
    <row r="34" spans="1:9" x14ac:dyDescent="0.25">
      <c r="A34" s="1" t="s">
        <v>176</v>
      </c>
      <c r="B34" s="1" t="s">
        <v>177</v>
      </c>
      <c r="C34" s="1">
        <v>30</v>
      </c>
      <c r="D34" s="3">
        <v>16492.68</v>
      </c>
      <c r="E34" s="2">
        <v>45457</v>
      </c>
      <c r="F34" s="1" t="s">
        <v>126</v>
      </c>
      <c r="G34" s="1" t="s">
        <v>111</v>
      </c>
      <c r="H34" s="1">
        <v>395</v>
      </c>
      <c r="I34" s="1" t="str">
        <f>TEXT(Tabela1[[#This Row],[Ultima_Transacao]],"mm")</f>
        <v>06</v>
      </c>
    </row>
    <row r="35" spans="1:9" x14ac:dyDescent="0.25">
      <c r="A35" s="1" t="s">
        <v>178</v>
      </c>
      <c r="B35" s="1" t="s">
        <v>179</v>
      </c>
      <c r="C35" s="1">
        <v>24</v>
      </c>
      <c r="D35" s="3">
        <v>37841.360000000001</v>
      </c>
      <c r="E35" s="2">
        <v>45582</v>
      </c>
      <c r="F35" s="1" t="s">
        <v>294</v>
      </c>
      <c r="G35" s="1" t="s">
        <v>134</v>
      </c>
      <c r="H35" s="1">
        <v>601</v>
      </c>
      <c r="I35" s="1" t="str">
        <f>TEXT(Tabela1[[#This Row],[Ultima_Transacao]],"mm")</f>
        <v>10</v>
      </c>
    </row>
    <row r="36" spans="1:9" x14ac:dyDescent="0.25">
      <c r="A36" s="1" t="s">
        <v>180</v>
      </c>
      <c r="B36" s="1" t="s">
        <v>165</v>
      </c>
      <c r="C36" s="1">
        <v>24</v>
      </c>
      <c r="D36" s="3">
        <v>4554.6099999999997</v>
      </c>
      <c r="E36" s="2">
        <v>45335</v>
      </c>
      <c r="F36" s="1" t="s">
        <v>114</v>
      </c>
      <c r="G36" s="1" t="s">
        <v>111</v>
      </c>
      <c r="H36" s="1">
        <v>526</v>
      </c>
      <c r="I36" s="1" t="str">
        <f>TEXT(Tabela1[[#This Row],[Ultima_Transacao]],"mm")</f>
        <v>02</v>
      </c>
    </row>
    <row r="37" spans="1:9" x14ac:dyDescent="0.25">
      <c r="A37" s="1" t="s">
        <v>181</v>
      </c>
      <c r="B37" s="1" t="s">
        <v>182</v>
      </c>
      <c r="C37" s="1">
        <v>60</v>
      </c>
      <c r="D37" s="3">
        <v>23455.99</v>
      </c>
      <c r="E37" s="2">
        <v>45572</v>
      </c>
      <c r="F37" s="1" t="s">
        <v>126</v>
      </c>
      <c r="G37" s="1" t="s">
        <v>111</v>
      </c>
      <c r="H37" s="1">
        <v>714</v>
      </c>
      <c r="I37" s="1" t="str">
        <f>TEXT(Tabela1[[#This Row],[Ultima_Transacao]],"mm")</f>
        <v>10</v>
      </c>
    </row>
    <row r="38" spans="1:9" x14ac:dyDescent="0.25">
      <c r="A38" s="1" t="s">
        <v>183</v>
      </c>
      <c r="B38" s="1" t="s">
        <v>184</v>
      </c>
      <c r="C38" s="1">
        <v>45</v>
      </c>
      <c r="D38" s="3">
        <v>49924.27</v>
      </c>
      <c r="E38" s="2">
        <v>45414</v>
      </c>
      <c r="F38" s="1" t="s">
        <v>114</v>
      </c>
      <c r="G38" s="1" t="s">
        <v>127</v>
      </c>
      <c r="H38" s="1">
        <v>549</v>
      </c>
      <c r="I38" s="1" t="str">
        <f>TEXT(Tabela1[[#This Row],[Ultima_Transacao]],"mm")</f>
        <v>05</v>
      </c>
    </row>
    <row r="39" spans="1:9" x14ac:dyDescent="0.25">
      <c r="A39" s="1" t="s">
        <v>185</v>
      </c>
      <c r="B39" s="1" t="s">
        <v>296</v>
      </c>
      <c r="C39" s="1">
        <v>40</v>
      </c>
      <c r="D39" s="3">
        <v>49808.73</v>
      </c>
      <c r="E39" s="2">
        <v>45640</v>
      </c>
      <c r="F39" s="1" t="s">
        <v>126</v>
      </c>
      <c r="G39" s="1" t="s">
        <v>134</v>
      </c>
      <c r="H39" s="1">
        <v>613</v>
      </c>
      <c r="I39" s="1" t="str">
        <f>TEXT(Tabela1[[#This Row],[Ultima_Transacao]],"mm")</f>
        <v>12</v>
      </c>
    </row>
    <row r="40" spans="1:9" x14ac:dyDescent="0.25">
      <c r="A40" s="1" t="s">
        <v>186</v>
      </c>
      <c r="B40" s="1" t="s">
        <v>169</v>
      </c>
      <c r="C40" s="1">
        <v>45</v>
      </c>
      <c r="D40" s="3">
        <v>4589.78</v>
      </c>
      <c r="E40" s="2">
        <v>45308</v>
      </c>
      <c r="F40" s="1" t="s">
        <v>126</v>
      </c>
      <c r="G40" s="1" t="s">
        <v>134</v>
      </c>
      <c r="H40" s="1">
        <v>677</v>
      </c>
      <c r="I40" s="1" t="str">
        <f>TEXT(Tabela1[[#This Row],[Ultima_Transacao]],"mm")</f>
        <v>01</v>
      </c>
    </row>
    <row r="41" spans="1:9" x14ac:dyDescent="0.25">
      <c r="A41" s="1" t="s">
        <v>187</v>
      </c>
      <c r="B41" s="1" t="s">
        <v>188</v>
      </c>
      <c r="C41" s="1">
        <v>44</v>
      </c>
      <c r="D41" s="3">
        <v>11444.56</v>
      </c>
      <c r="E41" s="2">
        <v>45557</v>
      </c>
      <c r="F41" s="1" t="s">
        <v>294</v>
      </c>
      <c r="G41" s="1" t="s">
        <v>134</v>
      </c>
      <c r="H41" s="1">
        <v>784</v>
      </c>
      <c r="I41" s="1" t="str">
        <f>TEXT(Tabela1[[#This Row],[Ultima_Transacao]],"mm")</f>
        <v>09</v>
      </c>
    </row>
    <row r="42" spans="1:9" x14ac:dyDescent="0.25">
      <c r="A42" s="1" t="s">
        <v>189</v>
      </c>
      <c r="B42" s="1" t="s">
        <v>190</v>
      </c>
      <c r="C42" s="1">
        <v>47</v>
      </c>
      <c r="D42" s="3">
        <v>13994.82</v>
      </c>
      <c r="E42" s="2">
        <v>45650</v>
      </c>
      <c r="F42" s="1" t="s">
        <v>294</v>
      </c>
      <c r="G42" s="1" t="s">
        <v>134</v>
      </c>
      <c r="H42" s="1">
        <v>843</v>
      </c>
      <c r="I42" s="1" t="str">
        <f>TEXT(Tabela1[[#This Row],[Ultima_Transacao]],"mm")</f>
        <v>12</v>
      </c>
    </row>
    <row r="43" spans="1:9" x14ac:dyDescent="0.25">
      <c r="A43" s="1" t="s">
        <v>191</v>
      </c>
      <c r="B43" s="1" t="s">
        <v>192</v>
      </c>
      <c r="C43" s="1">
        <v>64</v>
      </c>
      <c r="D43" s="3">
        <v>46729.71</v>
      </c>
      <c r="E43" s="2">
        <v>45648</v>
      </c>
      <c r="F43" s="1" t="s">
        <v>294</v>
      </c>
      <c r="G43" s="1" t="s">
        <v>127</v>
      </c>
      <c r="H43" s="1">
        <v>652</v>
      </c>
      <c r="I43" s="1" t="str">
        <f>TEXT(Tabela1[[#This Row],[Ultima_Transacao]],"mm")</f>
        <v>12</v>
      </c>
    </row>
    <row r="44" spans="1:9" x14ac:dyDescent="0.25">
      <c r="A44" s="1" t="s">
        <v>193</v>
      </c>
      <c r="B44" s="1" t="s">
        <v>194</v>
      </c>
      <c r="C44" s="1">
        <v>21</v>
      </c>
      <c r="D44" s="3">
        <v>44162.34</v>
      </c>
      <c r="E44" s="2">
        <v>45394</v>
      </c>
      <c r="F44" s="1" t="s">
        <v>114</v>
      </c>
      <c r="G44" s="1" t="s">
        <v>127</v>
      </c>
      <c r="H44" s="1">
        <v>735</v>
      </c>
      <c r="I44" s="1" t="str">
        <f>TEXT(Tabela1[[#This Row],[Ultima_Transacao]],"mm")</f>
        <v>04</v>
      </c>
    </row>
    <row r="45" spans="1:9" x14ac:dyDescent="0.25">
      <c r="A45" s="1" t="s">
        <v>195</v>
      </c>
      <c r="B45" s="1" t="s">
        <v>196</v>
      </c>
      <c r="C45" s="1">
        <v>61</v>
      </c>
      <c r="D45" s="3">
        <v>44084.24</v>
      </c>
      <c r="E45" s="2">
        <v>45476</v>
      </c>
      <c r="F45" s="1" t="s">
        <v>294</v>
      </c>
      <c r="G45" s="1" t="s">
        <v>111</v>
      </c>
      <c r="H45" s="1">
        <v>638</v>
      </c>
      <c r="I45" s="1" t="str">
        <f>TEXT(Tabela1[[#This Row],[Ultima_Transacao]],"mm")</f>
        <v>07</v>
      </c>
    </row>
    <row r="46" spans="1:9" x14ac:dyDescent="0.25">
      <c r="A46" s="1" t="s">
        <v>197</v>
      </c>
      <c r="B46" s="1" t="s">
        <v>297</v>
      </c>
      <c r="C46" s="1">
        <v>59</v>
      </c>
      <c r="D46" s="3">
        <v>19106.830000000002</v>
      </c>
      <c r="E46" s="2">
        <v>45607</v>
      </c>
      <c r="F46" s="1" t="s">
        <v>294</v>
      </c>
      <c r="G46" s="1" t="s">
        <v>127</v>
      </c>
      <c r="H46" s="1">
        <v>660</v>
      </c>
      <c r="I46" s="1" t="str">
        <f>TEXT(Tabela1[[#This Row],[Ultima_Transacao]],"mm")</f>
        <v>11</v>
      </c>
    </row>
    <row r="47" spans="1:9" x14ac:dyDescent="0.25">
      <c r="A47" s="1" t="s">
        <v>198</v>
      </c>
      <c r="B47" s="1" t="s">
        <v>199</v>
      </c>
      <c r="C47" s="1">
        <v>59</v>
      </c>
      <c r="D47" s="3">
        <v>8729.59</v>
      </c>
      <c r="E47" s="2">
        <v>45576</v>
      </c>
      <c r="F47" s="1" t="s">
        <v>126</v>
      </c>
      <c r="G47" s="1" t="s">
        <v>134</v>
      </c>
      <c r="H47" s="1">
        <v>764</v>
      </c>
      <c r="I47" s="1" t="str">
        <f>TEXT(Tabela1[[#This Row],[Ultima_Transacao]],"mm")</f>
        <v>10</v>
      </c>
    </row>
    <row r="48" spans="1:9" x14ac:dyDescent="0.25">
      <c r="A48" s="1" t="s">
        <v>200</v>
      </c>
      <c r="B48" s="1" t="s">
        <v>201</v>
      </c>
      <c r="C48" s="1">
        <v>24</v>
      </c>
      <c r="D48" s="3">
        <v>41853.5</v>
      </c>
      <c r="E48" s="2">
        <v>45624</v>
      </c>
      <c r="F48" s="1" t="s">
        <v>126</v>
      </c>
      <c r="G48" s="1" t="s">
        <v>127</v>
      </c>
      <c r="H48" s="1">
        <v>577</v>
      </c>
      <c r="I48" s="1" t="str">
        <f>TEXT(Tabela1[[#This Row],[Ultima_Transacao]],"mm")</f>
        <v>11</v>
      </c>
    </row>
    <row r="49" spans="1:9" x14ac:dyDescent="0.25">
      <c r="A49" s="1" t="s">
        <v>202</v>
      </c>
      <c r="B49" s="1" t="s">
        <v>203</v>
      </c>
      <c r="C49" s="1">
        <v>21</v>
      </c>
      <c r="D49" s="3">
        <v>35473.46</v>
      </c>
      <c r="E49" s="2">
        <v>45346</v>
      </c>
      <c r="F49" s="1" t="s">
        <v>294</v>
      </c>
      <c r="G49" s="1" t="s">
        <v>111</v>
      </c>
      <c r="H49" s="1">
        <v>613</v>
      </c>
      <c r="I49" s="1" t="str">
        <f>TEXT(Tabela1[[#This Row],[Ultima_Transacao]],"mm")</f>
        <v>02</v>
      </c>
    </row>
    <row r="50" spans="1:9" x14ac:dyDescent="0.25">
      <c r="A50" s="1" t="s">
        <v>204</v>
      </c>
      <c r="B50" s="1" t="s">
        <v>205</v>
      </c>
      <c r="C50" s="1">
        <v>43</v>
      </c>
      <c r="D50" s="3">
        <v>30972.21</v>
      </c>
      <c r="E50" s="2">
        <v>45429</v>
      </c>
      <c r="F50" s="1" t="s">
        <v>294</v>
      </c>
      <c r="G50" s="1" t="s">
        <v>134</v>
      </c>
      <c r="H50" s="1">
        <v>557</v>
      </c>
      <c r="I50" s="1" t="str">
        <f>TEXT(Tabela1[[#This Row],[Ultima_Transacao]],"mm")</f>
        <v>05</v>
      </c>
    </row>
    <row r="51" spans="1:9" x14ac:dyDescent="0.25">
      <c r="A51" s="1" t="s">
        <v>206</v>
      </c>
      <c r="B51" s="1" t="s">
        <v>207</v>
      </c>
      <c r="C51" s="1">
        <v>64</v>
      </c>
      <c r="D51" s="3">
        <v>49374.42</v>
      </c>
      <c r="E51" s="2">
        <v>45434</v>
      </c>
      <c r="F51" s="1" t="s">
        <v>114</v>
      </c>
      <c r="G51" s="1" t="s">
        <v>134</v>
      </c>
      <c r="H51" s="1">
        <v>536</v>
      </c>
      <c r="I51" s="1" t="str">
        <f>TEXT(Tabela1[[#This Row],[Ultima_Transacao]],"mm")</f>
        <v>05</v>
      </c>
    </row>
    <row r="52" spans="1:9" x14ac:dyDescent="0.25">
      <c r="A52" s="1" t="s">
        <v>208</v>
      </c>
      <c r="B52" s="1" t="s">
        <v>209</v>
      </c>
      <c r="C52" s="1">
        <v>39</v>
      </c>
      <c r="D52" s="3">
        <v>33044.839999999997</v>
      </c>
      <c r="E52" s="2">
        <v>45484</v>
      </c>
      <c r="F52" s="1" t="s">
        <v>114</v>
      </c>
      <c r="G52" s="1" t="s">
        <v>111</v>
      </c>
      <c r="H52" s="1">
        <v>423</v>
      </c>
      <c r="I52" s="1" t="str">
        <f>TEXT(Tabela1[[#This Row],[Ultima_Transacao]],"mm")</f>
        <v>07</v>
      </c>
    </row>
    <row r="53" spans="1:9" x14ac:dyDescent="0.25">
      <c r="A53" s="1" t="s">
        <v>210</v>
      </c>
      <c r="B53" s="1" t="s">
        <v>211</v>
      </c>
      <c r="C53" s="1">
        <v>69</v>
      </c>
      <c r="D53" s="3">
        <v>1383.33</v>
      </c>
      <c r="E53" s="2">
        <v>45496</v>
      </c>
      <c r="F53" s="1" t="s">
        <v>126</v>
      </c>
      <c r="G53" s="1" t="s">
        <v>111</v>
      </c>
      <c r="H53" s="1">
        <v>497</v>
      </c>
      <c r="I53" s="1" t="str">
        <f>TEXT(Tabela1[[#This Row],[Ultima_Transacao]],"mm")</f>
        <v>07</v>
      </c>
    </row>
    <row r="54" spans="1:9" x14ac:dyDescent="0.25">
      <c r="A54" s="1" t="s">
        <v>212</v>
      </c>
      <c r="B54" s="1" t="s">
        <v>213</v>
      </c>
      <c r="C54" s="1">
        <v>24</v>
      </c>
      <c r="D54" s="3">
        <v>41038.1</v>
      </c>
      <c r="E54" s="2">
        <v>45430</v>
      </c>
      <c r="F54" s="1" t="s">
        <v>114</v>
      </c>
      <c r="G54" s="1" t="s">
        <v>134</v>
      </c>
      <c r="H54" s="1">
        <v>623</v>
      </c>
      <c r="I54" s="1" t="str">
        <f>TEXT(Tabela1[[#This Row],[Ultima_Transacao]],"mm")</f>
        <v>05</v>
      </c>
    </row>
    <row r="55" spans="1:9" x14ac:dyDescent="0.25">
      <c r="A55" s="1" t="s">
        <v>214</v>
      </c>
      <c r="B55" s="1" t="s">
        <v>215</v>
      </c>
      <c r="C55" s="1">
        <v>33</v>
      </c>
      <c r="D55" s="3">
        <v>15669.56</v>
      </c>
      <c r="E55" s="2">
        <v>45358</v>
      </c>
      <c r="F55" s="1" t="s">
        <v>294</v>
      </c>
      <c r="G55" s="1" t="s">
        <v>127</v>
      </c>
      <c r="H55" s="1">
        <v>422</v>
      </c>
      <c r="I55" s="1" t="str">
        <f>TEXT(Tabela1[[#This Row],[Ultima_Transacao]],"mm")</f>
        <v>03</v>
      </c>
    </row>
    <row r="56" spans="1:9" x14ac:dyDescent="0.25">
      <c r="A56" s="1" t="s">
        <v>216</v>
      </c>
      <c r="B56" s="1" t="s">
        <v>217</v>
      </c>
      <c r="C56" s="1">
        <v>30</v>
      </c>
      <c r="D56" s="3">
        <v>33506.050000000003</v>
      </c>
      <c r="E56" s="2">
        <v>45495</v>
      </c>
      <c r="F56" s="1" t="s">
        <v>294</v>
      </c>
      <c r="G56" s="1" t="s">
        <v>127</v>
      </c>
      <c r="H56" s="1">
        <v>848</v>
      </c>
      <c r="I56" s="1" t="str">
        <f>TEXT(Tabela1[[#This Row],[Ultima_Transacao]],"mm")</f>
        <v>07</v>
      </c>
    </row>
    <row r="57" spans="1:9" x14ac:dyDescent="0.25">
      <c r="A57" s="1" t="s">
        <v>218</v>
      </c>
      <c r="B57" s="1" t="s">
        <v>219</v>
      </c>
      <c r="C57" s="1">
        <v>30</v>
      </c>
      <c r="D57" s="3">
        <v>47007.57</v>
      </c>
      <c r="E57" s="2">
        <v>45495</v>
      </c>
      <c r="F57" s="1" t="s">
        <v>126</v>
      </c>
      <c r="G57" s="1" t="s">
        <v>134</v>
      </c>
      <c r="H57" s="1">
        <v>489</v>
      </c>
      <c r="I57" s="1" t="str">
        <f>TEXT(Tabela1[[#This Row],[Ultima_Transacao]],"mm")</f>
        <v>07</v>
      </c>
    </row>
    <row r="58" spans="1:9" x14ac:dyDescent="0.25">
      <c r="A58" s="1" t="s">
        <v>220</v>
      </c>
      <c r="B58" s="1" t="s">
        <v>221</v>
      </c>
      <c r="C58" s="1">
        <v>52</v>
      </c>
      <c r="D58" s="3">
        <v>7580.26</v>
      </c>
      <c r="E58" s="2">
        <v>45632</v>
      </c>
      <c r="F58" s="1" t="s">
        <v>294</v>
      </c>
      <c r="G58" s="1" t="s">
        <v>134</v>
      </c>
      <c r="H58" s="1">
        <v>496</v>
      </c>
      <c r="I58" s="1" t="str">
        <f>TEXT(Tabela1[[#This Row],[Ultima_Transacao]],"mm")</f>
        <v>12</v>
      </c>
    </row>
    <row r="59" spans="1:9" x14ac:dyDescent="0.25">
      <c r="A59" s="1" t="s">
        <v>222</v>
      </c>
      <c r="B59" s="1" t="s">
        <v>223</v>
      </c>
      <c r="C59" s="1">
        <v>46</v>
      </c>
      <c r="D59" s="3">
        <v>6656</v>
      </c>
      <c r="E59" s="2">
        <v>45584</v>
      </c>
      <c r="F59" s="1" t="s">
        <v>294</v>
      </c>
      <c r="G59" s="1" t="s">
        <v>134</v>
      </c>
      <c r="H59" s="1">
        <v>521</v>
      </c>
      <c r="I59" s="1" t="str">
        <f>TEXT(Tabela1[[#This Row],[Ultima_Transacao]],"mm")</f>
        <v>10</v>
      </c>
    </row>
    <row r="60" spans="1:9" x14ac:dyDescent="0.25">
      <c r="A60" s="1" t="s">
        <v>224</v>
      </c>
      <c r="B60" s="1" t="s">
        <v>225</v>
      </c>
      <c r="C60" s="1">
        <v>26</v>
      </c>
      <c r="D60" s="3">
        <v>6244.76</v>
      </c>
      <c r="E60" s="2">
        <v>45425</v>
      </c>
      <c r="F60" s="1" t="s">
        <v>294</v>
      </c>
      <c r="G60" s="1" t="s">
        <v>127</v>
      </c>
      <c r="H60" s="1">
        <v>795</v>
      </c>
      <c r="I60" s="1" t="str">
        <f>TEXT(Tabela1[[#This Row],[Ultima_Transacao]],"mm")</f>
        <v>05</v>
      </c>
    </row>
    <row r="61" spans="1:9" x14ac:dyDescent="0.25">
      <c r="A61" s="1" t="s">
        <v>226</v>
      </c>
      <c r="B61" s="1" t="s">
        <v>227</v>
      </c>
      <c r="C61" s="1">
        <v>45</v>
      </c>
      <c r="D61" s="3">
        <v>28107.96</v>
      </c>
      <c r="E61" s="2">
        <v>45562</v>
      </c>
      <c r="F61" s="1" t="s">
        <v>294</v>
      </c>
      <c r="G61" s="1" t="s">
        <v>127</v>
      </c>
      <c r="H61" s="1">
        <v>583</v>
      </c>
      <c r="I61" s="1" t="str">
        <f>TEXT(Tabela1[[#This Row],[Ultima_Transacao]],"mm")</f>
        <v>09</v>
      </c>
    </row>
    <row r="62" spans="1:9" x14ac:dyDescent="0.25">
      <c r="A62" s="1" t="s">
        <v>228</v>
      </c>
      <c r="B62" s="1" t="s">
        <v>229</v>
      </c>
      <c r="C62" s="1">
        <v>29</v>
      </c>
      <c r="D62" s="3">
        <v>14345.06</v>
      </c>
      <c r="E62" s="2">
        <v>45301</v>
      </c>
      <c r="F62" s="1" t="s">
        <v>114</v>
      </c>
      <c r="G62" s="1" t="s">
        <v>134</v>
      </c>
      <c r="H62" s="1">
        <v>837</v>
      </c>
      <c r="I62" s="1" t="str">
        <f>TEXT(Tabela1[[#This Row],[Ultima_Transacao]],"mm")</f>
        <v>01</v>
      </c>
    </row>
    <row r="63" spans="1:9" x14ac:dyDescent="0.25">
      <c r="A63" s="1" t="s">
        <v>230</v>
      </c>
      <c r="B63" s="1" t="s">
        <v>231</v>
      </c>
      <c r="C63" s="1">
        <v>35</v>
      </c>
      <c r="D63" s="3">
        <v>30636.66</v>
      </c>
      <c r="E63" s="2">
        <v>45419</v>
      </c>
      <c r="F63" s="1" t="s">
        <v>114</v>
      </c>
      <c r="G63" s="1" t="s">
        <v>111</v>
      </c>
      <c r="H63" s="1">
        <v>589</v>
      </c>
      <c r="I63" s="1" t="str">
        <f>TEXT(Tabela1[[#This Row],[Ultima_Transacao]],"mm")</f>
        <v>05</v>
      </c>
    </row>
    <row r="64" spans="1:9" x14ac:dyDescent="0.25">
      <c r="A64" s="1" t="s">
        <v>232</v>
      </c>
      <c r="B64" s="1" t="s">
        <v>298</v>
      </c>
      <c r="C64" s="1">
        <v>47</v>
      </c>
      <c r="D64" s="3">
        <v>36163</v>
      </c>
      <c r="E64" s="2">
        <v>45499</v>
      </c>
      <c r="F64" s="1" t="s">
        <v>114</v>
      </c>
      <c r="G64" s="1" t="s">
        <v>134</v>
      </c>
      <c r="H64" s="1">
        <v>402</v>
      </c>
      <c r="I64" s="1" t="str">
        <f>TEXT(Tabela1[[#This Row],[Ultima_Transacao]],"mm")</f>
        <v>07</v>
      </c>
    </row>
    <row r="65" spans="1:9" x14ac:dyDescent="0.25">
      <c r="A65" s="1" t="s">
        <v>233</v>
      </c>
      <c r="B65" s="1" t="s">
        <v>234</v>
      </c>
      <c r="C65" s="1">
        <v>33</v>
      </c>
      <c r="D65" s="3">
        <v>10976.27</v>
      </c>
      <c r="E65" s="2">
        <v>45585</v>
      </c>
      <c r="F65" s="1" t="s">
        <v>114</v>
      </c>
      <c r="G65" s="1" t="s">
        <v>134</v>
      </c>
      <c r="H65" s="1">
        <v>498</v>
      </c>
      <c r="I65" s="1" t="str">
        <f>TEXT(Tabela1[[#This Row],[Ultima_Transacao]],"mm")</f>
        <v>10</v>
      </c>
    </row>
    <row r="66" spans="1:9" x14ac:dyDescent="0.25">
      <c r="A66" s="1" t="s">
        <v>235</v>
      </c>
      <c r="B66" s="1" t="s">
        <v>236</v>
      </c>
      <c r="C66" s="1">
        <v>22</v>
      </c>
      <c r="D66" s="3">
        <v>32077.66</v>
      </c>
      <c r="E66" s="2">
        <v>45607</v>
      </c>
      <c r="F66" s="1" t="s">
        <v>114</v>
      </c>
      <c r="G66" s="1" t="s">
        <v>127</v>
      </c>
      <c r="H66" s="1">
        <v>603</v>
      </c>
      <c r="I66" s="1" t="str">
        <f>TEXT(Tabela1[[#This Row],[Ultima_Transacao]],"mm")</f>
        <v>11</v>
      </c>
    </row>
    <row r="67" spans="1:9" x14ac:dyDescent="0.25">
      <c r="A67" s="1" t="s">
        <v>237</v>
      </c>
      <c r="B67" s="1" t="s">
        <v>238</v>
      </c>
      <c r="C67" s="1">
        <v>46</v>
      </c>
      <c r="D67" s="3">
        <v>13935.21</v>
      </c>
      <c r="E67" s="2">
        <v>45519</v>
      </c>
      <c r="F67" s="1" t="s">
        <v>126</v>
      </c>
      <c r="G67" s="1" t="s">
        <v>134</v>
      </c>
      <c r="H67" s="1">
        <v>532</v>
      </c>
      <c r="I67" s="1" t="str">
        <f>TEXT(Tabela1[[#This Row],[Ultima_Transacao]],"mm")</f>
        <v>08</v>
      </c>
    </row>
    <row r="68" spans="1:9" x14ac:dyDescent="0.25">
      <c r="A68" s="1" t="s">
        <v>239</v>
      </c>
      <c r="B68" s="1" t="s">
        <v>300</v>
      </c>
      <c r="C68" s="1">
        <v>69</v>
      </c>
      <c r="D68" s="3">
        <v>24938.06</v>
      </c>
      <c r="E68" s="2">
        <v>45526</v>
      </c>
      <c r="F68" s="1" t="s">
        <v>294</v>
      </c>
      <c r="G68" s="1" t="s">
        <v>127</v>
      </c>
      <c r="H68" s="1">
        <v>669</v>
      </c>
      <c r="I68" s="1" t="str">
        <f>TEXT(Tabela1[[#This Row],[Ultima_Transacao]],"mm")</f>
        <v>08</v>
      </c>
    </row>
    <row r="69" spans="1:9" x14ac:dyDescent="0.25">
      <c r="A69" s="1" t="s">
        <v>240</v>
      </c>
      <c r="B69" s="1" t="s">
        <v>241</v>
      </c>
      <c r="C69" s="1">
        <v>53</v>
      </c>
      <c r="D69" s="3">
        <v>45361.49</v>
      </c>
      <c r="E69" s="2">
        <v>45399</v>
      </c>
      <c r="F69" s="1" t="s">
        <v>126</v>
      </c>
      <c r="G69" s="1" t="s">
        <v>111</v>
      </c>
      <c r="H69" s="1">
        <v>483</v>
      </c>
      <c r="I69" s="1" t="str">
        <f>TEXT(Tabela1[[#This Row],[Ultima_Transacao]],"mm")</f>
        <v>04</v>
      </c>
    </row>
    <row r="70" spans="1:9" x14ac:dyDescent="0.25">
      <c r="A70" s="1" t="s">
        <v>242</v>
      </c>
      <c r="B70" s="1" t="s">
        <v>299</v>
      </c>
      <c r="C70" s="1">
        <v>24</v>
      </c>
      <c r="D70" s="3">
        <v>42459.08</v>
      </c>
      <c r="E70" s="2">
        <v>45530</v>
      </c>
      <c r="F70" s="1" t="s">
        <v>294</v>
      </c>
      <c r="G70" s="1" t="s">
        <v>134</v>
      </c>
      <c r="H70" s="1">
        <v>609</v>
      </c>
      <c r="I70" s="1" t="str">
        <f>TEXT(Tabela1[[#This Row],[Ultima_Transacao]],"mm")</f>
        <v>08</v>
      </c>
    </row>
    <row r="71" spans="1:9" x14ac:dyDescent="0.25">
      <c r="A71" s="1" t="s">
        <v>243</v>
      </c>
      <c r="B71" s="1" t="s">
        <v>296</v>
      </c>
      <c r="C71" s="1">
        <v>21</v>
      </c>
      <c r="D71" s="3">
        <v>5522.62</v>
      </c>
      <c r="E71" s="2">
        <v>45632</v>
      </c>
      <c r="F71" s="1" t="s">
        <v>294</v>
      </c>
      <c r="G71" s="1" t="s">
        <v>111</v>
      </c>
      <c r="H71" s="1">
        <v>314</v>
      </c>
      <c r="I71" s="1" t="str">
        <f>TEXT(Tabela1[[#This Row],[Ultima_Transacao]],"mm")</f>
        <v>12</v>
      </c>
    </row>
    <row r="72" spans="1:9" x14ac:dyDescent="0.25">
      <c r="A72" s="1" t="s">
        <v>244</v>
      </c>
      <c r="B72" s="1" t="s">
        <v>147</v>
      </c>
      <c r="C72" s="1">
        <v>59</v>
      </c>
      <c r="D72" s="3">
        <v>21755.21</v>
      </c>
      <c r="E72" s="2">
        <v>45599</v>
      </c>
      <c r="F72" s="1" t="s">
        <v>294</v>
      </c>
      <c r="G72" s="1" t="s">
        <v>134</v>
      </c>
      <c r="H72" s="1">
        <v>846</v>
      </c>
      <c r="I72" s="1" t="str">
        <f>TEXT(Tabela1[[#This Row],[Ultima_Transacao]],"mm")</f>
        <v>11</v>
      </c>
    </row>
    <row r="73" spans="1:9" x14ac:dyDescent="0.25">
      <c r="A73" s="1" t="s">
        <v>245</v>
      </c>
      <c r="B73" s="1" t="s">
        <v>246</v>
      </c>
      <c r="C73" s="1">
        <v>52</v>
      </c>
      <c r="D73" s="3">
        <v>14557.33</v>
      </c>
      <c r="E73" s="2">
        <v>45429</v>
      </c>
      <c r="F73" s="1" t="s">
        <v>126</v>
      </c>
      <c r="G73" s="1" t="s">
        <v>111</v>
      </c>
      <c r="H73" s="1">
        <v>429</v>
      </c>
      <c r="I73" s="1" t="str">
        <f>TEXT(Tabela1[[#This Row],[Ultima_Transacao]],"mm")</f>
        <v>05</v>
      </c>
    </row>
    <row r="74" spans="1:9" x14ac:dyDescent="0.25">
      <c r="A74" s="1" t="s">
        <v>247</v>
      </c>
      <c r="B74" s="1" t="s">
        <v>248</v>
      </c>
      <c r="C74" s="1">
        <v>18</v>
      </c>
      <c r="D74" s="3">
        <v>1173.74</v>
      </c>
      <c r="E74" s="2">
        <v>45617</v>
      </c>
      <c r="F74" s="1" t="s">
        <v>294</v>
      </c>
      <c r="G74" s="1" t="s">
        <v>127</v>
      </c>
      <c r="H74" s="1">
        <v>580</v>
      </c>
      <c r="I74" s="1" t="str">
        <f>TEXT(Tabela1[[#This Row],[Ultima_Transacao]],"mm")</f>
        <v>11</v>
      </c>
    </row>
    <row r="75" spans="1:9" x14ac:dyDescent="0.25">
      <c r="A75" s="1" t="s">
        <v>249</v>
      </c>
      <c r="B75" s="1" t="s">
        <v>303</v>
      </c>
      <c r="C75" s="1">
        <v>23</v>
      </c>
      <c r="D75" s="3">
        <v>38784.839999999997</v>
      </c>
      <c r="E75" s="2">
        <v>45576</v>
      </c>
      <c r="F75" s="1" t="s">
        <v>294</v>
      </c>
      <c r="G75" s="1" t="s">
        <v>134</v>
      </c>
      <c r="H75" s="1">
        <v>346</v>
      </c>
      <c r="I75" s="1" t="str">
        <f>TEXT(Tabela1[[#This Row],[Ultima_Transacao]],"mm")</f>
        <v>10</v>
      </c>
    </row>
    <row r="76" spans="1:9" x14ac:dyDescent="0.25">
      <c r="A76" s="1" t="s">
        <v>250</v>
      </c>
      <c r="B76" s="1" t="s">
        <v>217</v>
      </c>
      <c r="C76" s="1">
        <v>66</v>
      </c>
      <c r="D76" s="3">
        <v>32218.560000000001</v>
      </c>
      <c r="E76" s="2">
        <v>45349</v>
      </c>
      <c r="F76" s="1" t="s">
        <v>114</v>
      </c>
      <c r="G76" s="1" t="s">
        <v>134</v>
      </c>
      <c r="H76" s="1">
        <v>355</v>
      </c>
      <c r="I76" s="1" t="str">
        <f>TEXT(Tabela1[[#This Row],[Ultima_Transacao]],"mm")</f>
        <v>02</v>
      </c>
    </row>
    <row r="77" spans="1:9" x14ac:dyDescent="0.25">
      <c r="A77" s="1" t="s">
        <v>251</v>
      </c>
      <c r="B77" s="1" t="s">
        <v>301</v>
      </c>
      <c r="C77" s="1">
        <v>33</v>
      </c>
      <c r="D77" s="3">
        <v>13835.81</v>
      </c>
      <c r="E77" s="2">
        <v>45404</v>
      </c>
      <c r="F77" s="1" t="s">
        <v>114</v>
      </c>
      <c r="G77" s="1" t="s">
        <v>111</v>
      </c>
      <c r="H77" s="1">
        <v>599</v>
      </c>
      <c r="I77" s="1" t="str">
        <f>TEXT(Tabela1[[#This Row],[Ultima_Transacao]],"mm")</f>
        <v>04</v>
      </c>
    </row>
    <row r="78" spans="1:9" x14ac:dyDescent="0.25">
      <c r="A78" s="1" t="s">
        <v>252</v>
      </c>
      <c r="B78" s="1" t="s">
        <v>302</v>
      </c>
      <c r="C78" s="1">
        <v>28</v>
      </c>
      <c r="D78" s="3">
        <v>37320.31</v>
      </c>
      <c r="E78" s="2">
        <v>45420</v>
      </c>
      <c r="F78" s="1" t="s">
        <v>294</v>
      </c>
      <c r="G78" s="1" t="s">
        <v>127</v>
      </c>
      <c r="H78" s="1">
        <v>429</v>
      </c>
      <c r="I78" s="1" t="str">
        <f>TEXT(Tabela1[[#This Row],[Ultima_Transacao]],"mm")</f>
        <v>05</v>
      </c>
    </row>
    <row r="79" spans="1:9" x14ac:dyDescent="0.25">
      <c r="A79" s="1" t="s">
        <v>253</v>
      </c>
      <c r="B79" s="1" t="s">
        <v>254</v>
      </c>
      <c r="C79" s="1">
        <v>44</v>
      </c>
      <c r="D79" s="3">
        <v>28032.34</v>
      </c>
      <c r="E79" s="2">
        <v>45387</v>
      </c>
      <c r="F79" s="1" t="s">
        <v>114</v>
      </c>
      <c r="G79" s="1" t="s">
        <v>111</v>
      </c>
      <c r="H79" s="1">
        <v>802</v>
      </c>
      <c r="I79" s="1" t="str">
        <f>TEXT(Tabela1[[#This Row],[Ultima_Transacao]],"mm")</f>
        <v>04</v>
      </c>
    </row>
    <row r="80" spans="1:9" x14ac:dyDescent="0.25">
      <c r="A80" s="1" t="s">
        <v>255</v>
      </c>
      <c r="B80" s="1" t="s">
        <v>256</v>
      </c>
      <c r="C80" s="1">
        <v>49</v>
      </c>
      <c r="D80" s="3">
        <v>21956.66</v>
      </c>
      <c r="E80" s="2">
        <v>45293</v>
      </c>
      <c r="F80" s="1" t="s">
        <v>126</v>
      </c>
      <c r="G80" s="1" t="s">
        <v>111</v>
      </c>
      <c r="H80" s="1">
        <v>405</v>
      </c>
      <c r="I80" s="1" t="str">
        <f>TEXT(Tabela1[[#This Row],[Ultima_Transacao]],"mm")</f>
        <v>01</v>
      </c>
    </row>
    <row r="81" spans="1:9" x14ac:dyDescent="0.25">
      <c r="A81" s="1" t="s">
        <v>257</v>
      </c>
      <c r="B81" s="1" t="s">
        <v>258</v>
      </c>
      <c r="C81" s="1">
        <v>48</v>
      </c>
      <c r="D81" s="3">
        <v>1473.82</v>
      </c>
      <c r="E81" s="2">
        <v>45398</v>
      </c>
      <c r="F81" s="1" t="s">
        <v>294</v>
      </c>
      <c r="G81" s="1" t="s">
        <v>127</v>
      </c>
      <c r="H81" s="1">
        <v>312</v>
      </c>
      <c r="I81" s="1" t="str">
        <f>TEXT(Tabela1[[#This Row],[Ultima_Transacao]],"mm")</f>
        <v>04</v>
      </c>
    </row>
    <row r="82" spans="1:9" x14ac:dyDescent="0.25">
      <c r="A82" s="1" t="s">
        <v>259</v>
      </c>
      <c r="B82" s="1" t="s">
        <v>260</v>
      </c>
      <c r="C82" s="1">
        <v>31</v>
      </c>
      <c r="D82" s="3">
        <v>4686.95</v>
      </c>
      <c r="E82" s="2">
        <v>45593</v>
      </c>
      <c r="F82" s="1" t="s">
        <v>126</v>
      </c>
      <c r="G82" s="1" t="s">
        <v>111</v>
      </c>
      <c r="H82" s="1">
        <v>591</v>
      </c>
      <c r="I82" s="1" t="str">
        <f>TEXT(Tabela1[[#This Row],[Ultima_Transacao]],"mm")</f>
        <v>10</v>
      </c>
    </row>
    <row r="83" spans="1:9" x14ac:dyDescent="0.25">
      <c r="A83" s="1" t="s">
        <v>261</v>
      </c>
      <c r="B83" s="1" t="s">
        <v>241</v>
      </c>
      <c r="C83" s="1">
        <v>43</v>
      </c>
      <c r="D83" s="3">
        <v>44272.21</v>
      </c>
      <c r="E83" s="2">
        <v>45337</v>
      </c>
      <c r="F83" s="1" t="s">
        <v>114</v>
      </c>
      <c r="G83" s="1" t="s">
        <v>111</v>
      </c>
      <c r="H83" s="1">
        <v>780</v>
      </c>
      <c r="I83" s="1" t="str">
        <f>TEXT(Tabela1[[#This Row],[Ultima_Transacao]],"mm")</f>
        <v>02</v>
      </c>
    </row>
    <row r="84" spans="1:9" x14ac:dyDescent="0.25">
      <c r="A84" s="1" t="s">
        <v>262</v>
      </c>
      <c r="B84" s="1" t="s">
        <v>263</v>
      </c>
      <c r="C84" s="1">
        <v>21</v>
      </c>
      <c r="D84" s="3">
        <v>45292.5</v>
      </c>
      <c r="E84" s="2">
        <v>45494</v>
      </c>
      <c r="F84" s="1" t="s">
        <v>114</v>
      </c>
      <c r="G84" s="1" t="s">
        <v>134</v>
      </c>
      <c r="H84" s="1">
        <v>790</v>
      </c>
      <c r="I84" s="1" t="str">
        <f>TEXT(Tabela1[[#This Row],[Ultima_Transacao]],"mm")</f>
        <v>07</v>
      </c>
    </row>
    <row r="85" spans="1:9" x14ac:dyDescent="0.25">
      <c r="A85" s="1" t="s">
        <v>264</v>
      </c>
      <c r="B85" s="1" t="s">
        <v>265</v>
      </c>
      <c r="C85" s="1">
        <v>28</v>
      </c>
      <c r="D85" s="3">
        <v>27733.919999999998</v>
      </c>
      <c r="E85" s="2">
        <v>45572</v>
      </c>
      <c r="F85" s="1" t="s">
        <v>126</v>
      </c>
      <c r="G85" s="1" t="s">
        <v>111</v>
      </c>
      <c r="H85" s="1">
        <v>751</v>
      </c>
      <c r="I85" s="1" t="str">
        <f>TEXT(Tabela1[[#This Row],[Ultima_Transacao]],"mm")</f>
        <v>10</v>
      </c>
    </row>
    <row r="86" spans="1:9" x14ac:dyDescent="0.25">
      <c r="A86" s="1" t="s">
        <v>266</v>
      </c>
      <c r="B86" s="1" t="s">
        <v>267</v>
      </c>
      <c r="C86" s="1">
        <v>42</v>
      </c>
      <c r="D86" s="3">
        <v>41895.160000000003</v>
      </c>
      <c r="E86" s="2">
        <v>45649</v>
      </c>
      <c r="F86" s="1" t="s">
        <v>294</v>
      </c>
      <c r="G86" s="1" t="s">
        <v>134</v>
      </c>
      <c r="H86" s="1">
        <v>648</v>
      </c>
      <c r="I86" s="1" t="str">
        <f>TEXT(Tabela1[[#This Row],[Ultima_Transacao]],"mm")</f>
        <v>12</v>
      </c>
    </row>
    <row r="87" spans="1:9" x14ac:dyDescent="0.25">
      <c r="A87" s="1" t="s">
        <v>268</v>
      </c>
      <c r="B87" s="1" t="s">
        <v>305</v>
      </c>
      <c r="C87" s="1">
        <v>18</v>
      </c>
      <c r="D87" s="3">
        <v>29542.97</v>
      </c>
      <c r="E87" s="2">
        <v>45489</v>
      </c>
      <c r="F87" s="1" t="s">
        <v>114</v>
      </c>
      <c r="G87" s="1" t="s">
        <v>127</v>
      </c>
      <c r="H87" s="1">
        <v>488</v>
      </c>
      <c r="I87" s="1" t="str">
        <f>TEXT(Tabela1[[#This Row],[Ultima_Transacao]],"mm")</f>
        <v>07</v>
      </c>
    </row>
    <row r="88" spans="1:9" x14ac:dyDescent="0.25">
      <c r="A88" s="1" t="s">
        <v>269</v>
      </c>
      <c r="B88" s="1" t="s">
        <v>171</v>
      </c>
      <c r="C88" s="1">
        <v>42</v>
      </c>
      <c r="D88" s="3">
        <v>8256.6</v>
      </c>
      <c r="E88" s="2">
        <v>45481</v>
      </c>
      <c r="F88" s="1" t="s">
        <v>114</v>
      </c>
      <c r="G88" s="1" t="s">
        <v>111</v>
      </c>
      <c r="H88" s="1">
        <v>352</v>
      </c>
      <c r="I88" s="1" t="str">
        <f>TEXT(Tabela1[[#This Row],[Ultima_Transacao]],"mm")</f>
        <v>07</v>
      </c>
    </row>
    <row r="89" spans="1:9" x14ac:dyDescent="0.25">
      <c r="A89" s="1" t="s">
        <v>270</v>
      </c>
      <c r="B89" s="1" t="s">
        <v>271</v>
      </c>
      <c r="C89" s="1">
        <v>34</v>
      </c>
      <c r="D89" s="3">
        <v>7244.83</v>
      </c>
      <c r="E89" s="2">
        <v>45372</v>
      </c>
      <c r="F89" s="1" t="s">
        <v>114</v>
      </c>
      <c r="G89" s="1" t="s">
        <v>127</v>
      </c>
      <c r="H89" s="1">
        <v>558</v>
      </c>
      <c r="I89" s="1" t="str">
        <f>TEXT(Tabela1[[#This Row],[Ultima_Transacao]],"mm")</f>
        <v>03</v>
      </c>
    </row>
    <row r="90" spans="1:9" x14ac:dyDescent="0.25">
      <c r="A90" s="1" t="s">
        <v>272</v>
      </c>
      <c r="B90" s="1" t="s">
        <v>273</v>
      </c>
      <c r="C90" s="1">
        <v>68</v>
      </c>
      <c r="D90" s="3">
        <v>16104.66</v>
      </c>
      <c r="E90" s="2">
        <v>45627</v>
      </c>
      <c r="F90" s="1" t="s">
        <v>126</v>
      </c>
      <c r="G90" s="1" t="s">
        <v>134</v>
      </c>
      <c r="H90" s="1">
        <v>789</v>
      </c>
      <c r="I90" s="1" t="str">
        <f>TEXT(Tabela1[[#This Row],[Ultima_Transacao]],"mm")</f>
        <v>12</v>
      </c>
    </row>
    <row r="91" spans="1:9" x14ac:dyDescent="0.25">
      <c r="A91" s="1" t="s">
        <v>274</v>
      </c>
      <c r="B91" s="1" t="s">
        <v>275</v>
      </c>
      <c r="C91" s="1">
        <v>68</v>
      </c>
      <c r="D91" s="3">
        <v>45050.09</v>
      </c>
      <c r="E91" s="2">
        <v>45347</v>
      </c>
      <c r="F91" s="1" t="s">
        <v>126</v>
      </c>
      <c r="G91" s="1" t="s">
        <v>134</v>
      </c>
      <c r="H91" s="1">
        <v>416</v>
      </c>
      <c r="I91" s="1" t="str">
        <f>TEXT(Tabela1[[#This Row],[Ultima_Transacao]],"mm")</f>
        <v>02</v>
      </c>
    </row>
    <row r="92" spans="1:9" x14ac:dyDescent="0.25">
      <c r="A92" s="1" t="s">
        <v>276</v>
      </c>
      <c r="B92" s="1" t="s">
        <v>225</v>
      </c>
      <c r="C92" s="1">
        <v>47</v>
      </c>
      <c r="D92" s="3">
        <v>40009.99</v>
      </c>
      <c r="E92" s="2">
        <v>45481</v>
      </c>
      <c r="F92" s="1" t="s">
        <v>114</v>
      </c>
      <c r="G92" s="1" t="s">
        <v>134</v>
      </c>
      <c r="H92" s="1">
        <v>366</v>
      </c>
      <c r="I92" s="1" t="str">
        <f>TEXT(Tabela1[[#This Row],[Ultima_Transacao]],"mm")</f>
        <v>07</v>
      </c>
    </row>
    <row r="93" spans="1:9" x14ac:dyDescent="0.25">
      <c r="A93" s="1" t="s">
        <v>277</v>
      </c>
      <c r="B93" s="1" t="s">
        <v>278</v>
      </c>
      <c r="C93" s="1">
        <v>36</v>
      </c>
      <c r="D93" s="3">
        <v>43174.43</v>
      </c>
      <c r="E93" s="2">
        <v>45377</v>
      </c>
      <c r="F93" s="1" t="s">
        <v>294</v>
      </c>
      <c r="G93" s="1" t="s">
        <v>111</v>
      </c>
      <c r="H93" s="1">
        <v>710</v>
      </c>
      <c r="I93" s="1" t="str">
        <f>TEXT(Tabela1[[#This Row],[Ultima_Transacao]],"mm")</f>
        <v>03</v>
      </c>
    </row>
    <row r="94" spans="1:9" x14ac:dyDescent="0.25">
      <c r="A94" s="1" t="s">
        <v>279</v>
      </c>
      <c r="B94" s="1" t="s">
        <v>280</v>
      </c>
      <c r="C94" s="1">
        <v>45</v>
      </c>
      <c r="D94" s="3">
        <v>45047.31</v>
      </c>
      <c r="E94" s="2">
        <v>45643</v>
      </c>
      <c r="F94" s="1" t="s">
        <v>126</v>
      </c>
      <c r="G94" s="1" t="s">
        <v>134</v>
      </c>
      <c r="H94" s="1">
        <v>803</v>
      </c>
      <c r="I94" s="1" t="str">
        <f>TEXT(Tabela1[[#This Row],[Ultima_Transacao]],"mm")</f>
        <v>12</v>
      </c>
    </row>
    <row r="95" spans="1:9" x14ac:dyDescent="0.25">
      <c r="A95" s="1" t="s">
        <v>281</v>
      </c>
      <c r="B95" s="1" t="s">
        <v>282</v>
      </c>
      <c r="C95" s="1">
        <v>62</v>
      </c>
      <c r="D95" s="3">
        <v>11293.75</v>
      </c>
      <c r="E95" s="2">
        <v>45506</v>
      </c>
      <c r="F95" s="1" t="s">
        <v>294</v>
      </c>
      <c r="G95" s="1" t="s">
        <v>134</v>
      </c>
      <c r="H95" s="1">
        <v>375</v>
      </c>
      <c r="I95" s="1" t="str">
        <f>TEXT(Tabela1[[#This Row],[Ultima_Transacao]],"mm")</f>
        <v>08</v>
      </c>
    </row>
    <row r="96" spans="1:9" x14ac:dyDescent="0.25">
      <c r="A96" s="1" t="s">
        <v>283</v>
      </c>
      <c r="B96" s="1" t="s">
        <v>284</v>
      </c>
      <c r="C96" s="1">
        <v>64</v>
      </c>
      <c r="D96" s="3">
        <v>13226.96</v>
      </c>
      <c r="E96" s="2">
        <v>45543</v>
      </c>
      <c r="F96" s="1" t="s">
        <v>126</v>
      </c>
      <c r="G96" s="1" t="s">
        <v>111</v>
      </c>
      <c r="H96" s="1">
        <v>354</v>
      </c>
      <c r="I96" s="1" t="str">
        <f>TEXT(Tabela1[[#This Row],[Ultima_Transacao]],"mm")</f>
        <v>09</v>
      </c>
    </row>
    <row r="97" spans="1:9" x14ac:dyDescent="0.25">
      <c r="A97" s="1" t="s">
        <v>285</v>
      </c>
      <c r="B97" s="1" t="s">
        <v>286</v>
      </c>
      <c r="C97" s="1">
        <v>68</v>
      </c>
      <c r="D97" s="3">
        <v>6036.89</v>
      </c>
      <c r="E97" s="2">
        <v>45337</v>
      </c>
      <c r="F97" s="1" t="s">
        <v>126</v>
      </c>
      <c r="G97" s="1" t="s">
        <v>111</v>
      </c>
      <c r="H97" s="1">
        <v>455</v>
      </c>
      <c r="I97" s="1" t="str">
        <f>TEXT(Tabela1[[#This Row],[Ultima_Transacao]],"mm")</f>
        <v>02</v>
      </c>
    </row>
    <row r="98" spans="1:9" x14ac:dyDescent="0.25">
      <c r="A98" s="1" t="s">
        <v>287</v>
      </c>
      <c r="B98" s="1" t="s">
        <v>304</v>
      </c>
      <c r="C98" s="1">
        <v>53</v>
      </c>
      <c r="D98" s="3">
        <v>39225.699999999997</v>
      </c>
      <c r="E98" s="2">
        <v>45377</v>
      </c>
      <c r="F98" s="1" t="s">
        <v>294</v>
      </c>
      <c r="G98" s="1" t="s">
        <v>111</v>
      </c>
      <c r="H98" s="1">
        <v>452</v>
      </c>
      <c r="I98" s="1" t="str">
        <f>TEXT(Tabela1[[#This Row],[Ultima_Transacao]],"mm")</f>
        <v>03</v>
      </c>
    </row>
    <row r="99" spans="1:9" x14ac:dyDescent="0.25">
      <c r="A99" s="1" t="s">
        <v>288</v>
      </c>
      <c r="B99" s="1" t="s">
        <v>289</v>
      </c>
      <c r="C99" s="1">
        <v>60</v>
      </c>
      <c r="D99" s="3">
        <v>44322.6</v>
      </c>
      <c r="E99" s="2">
        <v>45526</v>
      </c>
      <c r="F99" s="1" t="s">
        <v>294</v>
      </c>
      <c r="G99" s="1" t="s">
        <v>134</v>
      </c>
      <c r="H99" s="1">
        <v>611</v>
      </c>
      <c r="I99" s="1" t="str">
        <f>TEXT(Tabela1[[#This Row],[Ultima_Transacao]],"mm")</f>
        <v>08</v>
      </c>
    </row>
    <row r="100" spans="1:9" x14ac:dyDescent="0.25">
      <c r="A100" s="1" t="s">
        <v>290</v>
      </c>
      <c r="B100" s="1" t="s">
        <v>291</v>
      </c>
      <c r="C100" s="1">
        <v>63</v>
      </c>
      <c r="D100" s="3">
        <v>20912.490000000002</v>
      </c>
      <c r="E100" s="2">
        <v>45553</v>
      </c>
      <c r="F100" s="1" t="s">
        <v>294</v>
      </c>
      <c r="G100" s="1" t="s">
        <v>134</v>
      </c>
      <c r="H100" s="1">
        <v>387</v>
      </c>
      <c r="I100" s="1" t="str">
        <f>TEXT(Tabela1[[#This Row],[Ultima_Transacao]],"mm")</f>
        <v>09</v>
      </c>
    </row>
    <row r="101" spans="1:9" x14ac:dyDescent="0.25">
      <c r="A101" s="1" t="s">
        <v>292</v>
      </c>
      <c r="B101" s="1" t="s">
        <v>293</v>
      </c>
      <c r="C101" s="1">
        <v>49</v>
      </c>
      <c r="D101" s="3">
        <v>31412.41</v>
      </c>
      <c r="E101" s="2">
        <v>45576</v>
      </c>
      <c r="F101" s="1" t="s">
        <v>126</v>
      </c>
      <c r="G101" s="1" t="s">
        <v>111</v>
      </c>
      <c r="H101" s="1">
        <v>554</v>
      </c>
      <c r="I101" s="1" t="str">
        <f>TEXT(Tabela1[[#This Row],[Ultima_Transacao]],"mm")</f>
        <v>10</v>
      </c>
    </row>
  </sheetData>
  <mergeCells count="1">
    <mergeCell ref="K2:L2"/>
  </mergeCells>
  <phoneticPr fontId="2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90C9-BC69-44C0-816F-294BC15F635A}">
  <dimension ref="A2:G5"/>
  <sheetViews>
    <sheetView workbookViewId="0">
      <selection activeCell="C12" sqref="C12"/>
    </sheetView>
  </sheetViews>
  <sheetFormatPr defaultRowHeight="15" x14ac:dyDescent="0.25"/>
  <cols>
    <col min="1" max="1" width="14.5703125" customWidth="1"/>
    <col min="2" max="2" width="16.140625" customWidth="1"/>
    <col min="3" max="3" width="22.42578125" customWidth="1"/>
    <col min="5" max="5" width="10.5703125" customWidth="1"/>
    <col min="6" max="6" width="10.85546875" customWidth="1"/>
    <col min="7" max="7" width="13.7109375" customWidth="1"/>
  </cols>
  <sheetData>
    <row r="2" spans="1:7" ht="15.75" x14ac:dyDescent="0.25">
      <c r="A2" s="4"/>
      <c r="B2" s="6" t="s">
        <v>306</v>
      </c>
      <c r="C2" s="6" t="s">
        <v>307</v>
      </c>
      <c r="E2" s="18" t="s">
        <v>311</v>
      </c>
      <c r="F2" s="19"/>
      <c r="G2" s="20"/>
    </row>
    <row r="3" spans="1:7" x14ac:dyDescent="0.25">
      <c r="A3" s="5" t="s">
        <v>308</v>
      </c>
      <c r="B3" s="7">
        <f>AVERAGE(Tabela1[Saldo_Conta])</f>
        <v>25831.324900000021</v>
      </c>
      <c r="C3" s="8">
        <f>AVERAGE(Tabela1[Pontuacao_Credito])</f>
        <v>584.77</v>
      </c>
      <c r="E3" s="9" t="s">
        <v>312</v>
      </c>
      <c r="F3" s="9" t="s">
        <v>314</v>
      </c>
      <c r="G3" s="9" t="s">
        <v>313</v>
      </c>
    </row>
    <row r="4" spans="1:7" x14ac:dyDescent="0.25">
      <c r="A4" s="5" t="s">
        <v>309</v>
      </c>
      <c r="B4" s="8">
        <f>MEDIAN(Tabela1[Saldo_Conta])</f>
        <v>27883.129999999997</v>
      </c>
      <c r="C4" s="8">
        <f>MEDIAN(Tabela1[Pontuacao_Credito])</f>
        <v>584</v>
      </c>
      <c r="E4" s="8">
        <f>COUNTIF(Tabela1[Idade],"&lt;=25")</f>
        <v>19</v>
      </c>
      <c r="F4" s="8">
        <f>COUNTIFS(Tabela1[Idade],"&gt;=26",Tabela1[Idade],"&lt;=40")</f>
        <v>25</v>
      </c>
      <c r="G4" s="8">
        <f>COUNTIF(Tabela1[Idade],"&gt;40")</f>
        <v>56</v>
      </c>
    </row>
    <row r="5" spans="1:7" x14ac:dyDescent="0.25">
      <c r="A5" s="5" t="s">
        <v>310</v>
      </c>
      <c r="B5" s="7">
        <f>_xlfn.STDEV.P(Tabela1[Saldo_Conta])</f>
        <v>14709.988414420732</v>
      </c>
      <c r="C5" s="7">
        <f>_xlfn.STDEV.P(Tabela1[Pontuacao_Credito])</f>
        <v>151.71907296052134</v>
      </c>
    </row>
  </sheetData>
  <mergeCells count="1">
    <mergeCell ref="E2:G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0834-DD75-4681-8ADD-5981F203237B}">
  <dimension ref="A1:G3"/>
  <sheetViews>
    <sheetView workbookViewId="0">
      <selection activeCell="K11" sqref="K11"/>
    </sheetView>
  </sheetViews>
  <sheetFormatPr defaultRowHeight="15" x14ac:dyDescent="0.25"/>
  <cols>
    <col min="1" max="1" width="11.7109375" customWidth="1"/>
    <col min="2" max="2" width="14.140625" customWidth="1"/>
    <col min="3" max="3" width="22.7109375" customWidth="1"/>
    <col min="4" max="4" width="9.140625" customWidth="1"/>
    <col min="5" max="5" width="14.7109375" customWidth="1"/>
    <col min="6" max="6" width="16.140625" customWidth="1"/>
    <col min="7" max="7" width="20.5703125" customWidth="1"/>
  </cols>
  <sheetData>
    <row r="1" spans="1:7" ht="18.75" x14ac:dyDescent="0.3">
      <c r="A1" s="21" t="s">
        <v>315</v>
      </c>
      <c r="B1" s="21"/>
      <c r="C1" s="21"/>
      <c r="E1" s="21" t="s">
        <v>316</v>
      </c>
      <c r="F1" s="21"/>
      <c r="G1" s="21"/>
    </row>
    <row r="2" spans="1:7" ht="18.75" x14ac:dyDescent="0.3">
      <c r="A2" s="10" t="s">
        <v>126</v>
      </c>
      <c r="B2" s="10" t="s">
        <v>294</v>
      </c>
      <c r="C2" s="10" t="s">
        <v>114</v>
      </c>
      <c r="E2" s="10" t="s">
        <v>127</v>
      </c>
      <c r="F2" s="10" t="s">
        <v>111</v>
      </c>
      <c r="G2" s="10" t="s">
        <v>134</v>
      </c>
    </row>
    <row r="3" spans="1:7" x14ac:dyDescent="0.25">
      <c r="A3" s="8">
        <f>COUNTIF(Tabela1[Tipo_Conta],"Corrente")</f>
        <v>28</v>
      </c>
      <c r="B3" s="8">
        <f>COUNTIF(Tabela1[Tipo_Conta],"Poupança")</f>
        <v>42</v>
      </c>
      <c r="C3" s="8">
        <f>COUNTIF(Tabela1[Tipo_Conta],"Investimento")</f>
        <v>30</v>
      </c>
      <c r="E3" s="8">
        <f>COUNTIF(Tabela1[Status_Conta],"Ativa")</f>
        <v>31</v>
      </c>
      <c r="F3" s="8">
        <f>COUNTIF(Tabela1[Status_Conta],"Inativa")</f>
        <v>33</v>
      </c>
      <c r="G3" s="8">
        <f>COUNTIF(Tabela1[Status_Conta],"Encerrada")</f>
        <v>36</v>
      </c>
    </row>
  </sheetData>
  <mergeCells count="2">
    <mergeCell ref="A1:C1"/>
    <mergeCell ref="E1:G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7C61-292E-4776-803F-CAD2E0418B3A}">
  <dimension ref="A3:E8"/>
  <sheetViews>
    <sheetView workbookViewId="0">
      <selection activeCell="J15" sqref="J15"/>
    </sheetView>
  </sheetViews>
  <sheetFormatPr defaultRowHeight="15" x14ac:dyDescent="0.25"/>
  <cols>
    <col min="1" max="1" width="35.85546875" customWidth="1"/>
    <col min="2" max="2" width="19.5703125" bestFit="1" customWidth="1"/>
    <col min="3" max="3" width="9.7109375" bestFit="1" customWidth="1"/>
    <col min="4" max="4" width="7" bestFit="1" customWidth="1"/>
    <col min="5" max="5" width="10.7109375" bestFit="1" customWidth="1"/>
  </cols>
  <sheetData>
    <row r="3" spans="1:5" x14ac:dyDescent="0.25">
      <c r="A3" s="11" t="s">
        <v>320</v>
      </c>
      <c r="B3" s="11" t="s">
        <v>319</v>
      </c>
    </row>
    <row r="4" spans="1:5" x14ac:dyDescent="0.25">
      <c r="A4" s="11" t="s">
        <v>317</v>
      </c>
      <c r="B4" t="s">
        <v>127</v>
      </c>
      <c r="C4" t="s">
        <v>134</v>
      </c>
      <c r="D4" t="s">
        <v>111</v>
      </c>
      <c r="E4" t="s">
        <v>318</v>
      </c>
    </row>
    <row r="5" spans="1:5" x14ac:dyDescent="0.25">
      <c r="A5" s="12" t="s">
        <v>126</v>
      </c>
      <c r="B5">
        <v>8</v>
      </c>
      <c r="C5">
        <v>9</v>
      </c>
      <c r="D5">
        <v>11</v>
      </c>
      <c r="E5">
        <v>28</v>
      </c>
    </row>
    <row r="6" spans="1:5" x14ac:dyDescent="0.25">
      <c r="A6" s="12" t="s">
        <v>114</v>
      </c>
      <c r="B6">
        <v>6</v>
      </c>
      <c r="C6">
        <v>11</v>
      </c>
      <c r="D6">
        <v>13</v>
      </c>
      <c r="E6">
        <v>30</v>
      </c>
    </row>
    <row r="7" spans="1:5" x14ac:dyDescent="0.25">
      <c r="A7" s="12" t="s">
        <v>294</v>
      </c>
      <c r="B7">
        <v>17</v>
      </c>
      <c r="C7">
        <v>16</v>
      </c>
      <c r="D7">
        <v>9</v>
      </c>
      <c r="E7">
        <v>42</v>
      </c>
    </row>
    <row r="8" spans="1:5" x14ac:dyDescent="0.25">
      <c r="A8" s="12" t="s">
        <v>318</v>
      </c>
      <c r="B8">
        <v>31</v>
      </c>
      <c r="C8">
        <v>36</v>
      </c>
      <c r="D8">
        <v>33</v>
      </c>
      <c r="E8">
        <v>100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475C-1350-4C48-ADFC-8AB4ABA25C93}">
  <dimension ref="A3:B7"/>
  <sheetViews>
    <sheetView workbookViewId="0">
      <selection activeCell="M14" sqref="M14"/>
    </sheetView>
  </sheetViews>
  <sheetFormatPr defaultRowHeight="15" x14ac:dyDescent="0.25"/>
  <cols>
    <col min="1" max="1" width="18" bestFit="1" customWidth="1"/>
    <col min="2" max="2" width="20.28515625" bestFit="1" customWidth="1"/>
  </cols>
  <sheetData>
    <row r="3" spans="1:2" x14ac:dyDescent="0.25">
      <c r="A3" s="11" t="s">
        <v>317</v>
      </c>
      <c r="B3" t="s">
        <v>321</v>
      </c>
    </row>
    <row r="4" spans="1:2" x14ac:dyDescent="0.25">
      <c r="A4" s="12" t="s">
        <v>126</v>
      </c>
      <c r="B4" s="13">
        <v>685577.52</v>
      </c>
    </row>
    <row r="5" spans="1:2" x14ac:dyDescent="0.25">
      <c r="A5" s="12" t="s">
        <v>114</v>
      </c>
      <c r="B5" s="13">
        <v>836981.69</v>
      </c>
    </row>
    <row r="6" spans="1:2" x14ac:dyDescent="0.25">
      <c r="A6" s="12" t="s">
        <v>294</v>
      </c>
      <c r="B6" s="13">
        <v>1060573.28</v>
      </c>
    </row>
    <row r="7" spans="1:2" x14ac:dyDescent="0.25">
      <c r="A7" s="12" t="s">
        <v>318</v>
      </c>
      <c r="B7" s="13">
        <v>2583132.4900000002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01EF-F9F9-4D64-91E2-EE4B3381CB76}">
  <dimension ref="A1:B13"/>
  <sheetViews>
    <sheetView workbookViewId="0">
      <selection activeCell="E23" sqref="E23"/>
    </sheetView>
  </sheetViews>
  <sheetFormatPr defaultRowHeight="15" x14ac:dyDescent="0.25"/>
  <cols>
    <col min="1" max="1" width="20.5703125" customWidth="1"/>
    <col min="2" max="2" width="23.5703125" customWidth="1"/>
  </cols>
  <sheetData>
    <row r="1" spans="1:2" x14ac:dyDescent="0.25">
      <c r="A1" s="17" t="s">
        <v>335</v>
      </c>
      <c r="B1" s="17"/>
    </row>
    <row r="2" spans="1:2" ht="15.75" x14ac:dyDescent="0.25">
      <c r="A2" s="15" t="s">
        <v>323</v>
      </c>
      <c r="B2" s="14">
        <f>COUNTIF(Tabela1[Mês],"01")</f>
        <v>8</v>
      </c>
    </row>
    <row r="3" spans="1:2" ht="15.75" x14ac:dyDescent="0.25">
      <c r="A3" s="15" t="s">
        <v>324</v>
      </c>
      <c r="B3" s="14">
        <f>COUNTIF(Tabela1[Mês],"02")</f>
        <v>7</v>
      </c>
    </row>
    <row r="4" spans="1:2" ht="15.75" x14ac:dyDescent="0.25">
      <c r="A4" s="15" t="s">
        <v>325</v>
      </c>
      <c r="B4" s="14">
        <f>COUNTIF(Tabela1[Mês],"03")</f>
        <v>8</v>
      </c>
    </row>
    <row r="5" spans="1:2" ht="15.75" x14ac:dyDescent="0.25">
      <c r="A5" s="15" t="s">
        <v>326</v>
      </c>
      <c r="B5" s="14">
        <f>COUNTIF(Tabela1[Mês],"04")</f>
        <v>9</v>
      </c>
    </row>
    <row r="6" spans="1:2" ht="15.75" x14ac:dyDescent="0.25">
      <c r="A6" s="15" t="s">
        <v>327</v>
      </c>
      <c r="B6" s="14">
        <f>COUNTIF(Tabela1[Mês],"05")</f>
        <v>11</v>
      </c>
    </row>
    <row r="7" spans="1:2" ht="15.75" x14ac:dyDescent="0.25">
      <c r="A7" s="15" t="s">
        <v>328</v>
      </c>
      <c r="B7" s="14">
        <f>COUNTIF(Tabela1[Mês],"06")</f>
        <v>3</v>
      </c>
    </row>
    <row r="8" spans="1:2" ht="15.75" x14ac:dyDescent="0.25">
      <c r="A8" s="15" t="s">
        <v>329</v>
      </c>
      <c r="B8" s="14">
        <f>COUNTIF(Tabela1[Mês],"07")</f>
        <v>13</v>
      </c>
    </row>
    <row r="9" spans="1:2" ht="15.75" x14ac:dyDescent="0.25">
      <c r="A9" s="15" t="s">
        <v>330</v>
      </c>
      <c r="B9" s="14">
        <f>COUNTIF(Tabela1[Mês],"08")</f>
        <v>7</v>
      </c>
    </row>
    <row r="10" spans="1:2" ht="15.75" x14ac:dyDescent="0.25">
      <c r="A10" s="15" t="s">
        <v>331</v>
      </c>
      <c r="B10" s="14">
        <f>COUNTIF(Tabela1[Mês],"09")</f>
        <v>5</v>
      </c>
    </row>
    <row r="11" spans="1:2" ht="15.75" x14ac:dyDescent="0.25">
      <c r="A11" s="15" t="s">
        <v>332</v>
      </c>
      <c r="B11" s="14">
        <f>COUNTIF(Tabela1[Mês],"10")</f>
        <v>11</v>
      </c>
    </row>
    <row r="12" spans="1:2" ht="15.75" x14ac:dyDescent="0.25">
      <c r="A12" s="15" t="s">
        <v>333</v>
      </c>
      <c r="B12" s="14">
        <f>COUNTIF(Tabela1[Mês],"11")</f>
        <v>7</v>
      </c>
    </row>
    <row r="13" spans="1:2" ht="15.75" x14ac:dyDescent="0.25">
      <c r="A13" s="15" t="s">
        <v>334</v>
      </c>
      <c r="B13" s="14">
        <f>COUNTIF(Tabela1[Mês],"12")</f>
        <v>11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A803-F3C2-4BB5-ADDF-48B5A11B0C0F}">
  <dimension ref="A1:L7"/>
  <sheetViews>
    <sheetView tabSelected="1" view="pageBreakPreview" topLeftCell="A40" zoomScale="60" zoomScaleNormal="100" workbookViewId="0">
      <selection activeCell="L17" sqref="L17"/>
    </sheetView>
  </sheetViews>
  <sheetFormatPr defaultRowHeight="15" x14ac:dyDescent="0.25"/>
  <cols>
    <col min="1" max="1" width="8.7109375" customWidth="1"/>
    <col min="2" max="2" width="13.42578125" customWidth="1"/>
    <col min="3" max="3" width="20.7109375" customWidth="1"/>
    <col min="4" max="4" width="22.5703125" customWidth="1"/>
    <col min="5" max="6" width="9.140625" customWidth="1"/>
    <col min="12" max="12" width="10.7109375" customWidth="1"/>
  </cols>
  <sheetData>
    <row r="1" spans="1:12" ht="33.75" customHeight="1" x14ac:dyDescent="0.25">
      <c r="A1" s="22" t="s">
        <v>336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3" spans="1:12" ht="18.75" x14ac:dyDescent="0.25">
      <c r="B3" s="23" t="s">
        <v>337</v>
      </c>
      <c r="C3" s="23"/>
      <c r="D3" s="23"/>
    </row>
    <row r="4" spans="1:12" ht="15.75" x14ac:dyDescent="0.25">
      <c r="B4" s="4"/>
      <c r="C4" s="6" t="s">
        <v>306</v>
      </c>
      <c r="D4" s="6" t="s">
        <v>307</v>
      </c>
    </row>
    <row r="5" spans="1:12" x14ac:dyDescent="0.25">
      <c r="B5" s="5" t="s">
        <v>308</v>
      </c>
      <c r="C5" s="16">
        <f>AVERAGE(Tabela1[Saldo_Conta])</f>
        <v>25831.324900000021</v>
      </c>
      <c r="D5" s="8">
        <f>AVERAGE(Tabela1[Pontuacao_Credito])</f>
        <v>584.77</v>
      </c>
    </row>
    <row r="6" spans="1:12" x14ac:dyDescent="0.25">
      <c r="B6" s="5" t="s">
        <v>309</v>
      </c>
      <c r="C6" s="16">
        <f>MEDIAN(Tabela1[Saldo_Conta])</f>
        <v>27883.129999999997</v>
      </c>
      <c r="D6" s="8">
        <f>MEDIAN(Tabela1[Pontuacao_Credito])</f>
        <v>584</v>
      </c>
    </row>
    <row r="7" spans="1:12" x14ac:dyDescent="0.25">
      <c r="B7" s="5" t="s">
        <v>310</v>
      </c>
      <c r="C7" s="16">
        <f>_xlfn.STDEV.P(Tabela1[Saldo_Conta])</f>
        <v>14709.988414420732</v>
      </c>
      <c r="D7" s="7">
        <f>_xlfn.STDEV.P(Tabela1[Pontuacao_Credito])</f>
        <v>151.71907296052134</v>
      </c>
    </row>
  </sheetData>
  <mergeCells count="2">
    <mergeCell ref="A1:L1"/>
    <mergeCell ref="B3:D3"/>
  </mergeCells>
  <pageMargins left="0.511811024" right="0.511811024" top="0.78740157499999996" bottom="0.78740157499999996" header="0.31496062000000002" footer="0.31496062000000002"/>
  <pageSetup paperSize="9" scale="64" orientation="portrait" r:id="rId1"/>
  <rowBreaks count="1" manualBreakCount="1">
    <brk id="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Base_Dados_Bancaria</vt:lpstr>
      <vt:lpstr>ajustes</vt:lpstr>
      <vt:lpstr>analise_descritiva</vt:lpstr>
      <vt:lpstr>Segmentacao_de_Clientes</vt:lpstr>
      <vt:lpstr>TipoXStatus</vt:lpstr>
      <vt:lpstr>SaldoXTipo</vt:lpstr>
      <vt:lpstr>Análise Temporal</vt:lpstr>
      <vt:lpstr>RELATÓRIO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Matteus Silva</dc:creator>
  <cp:lastModifiedBy>Matteus Silva</cp:lastModifiedBy>
  <cp:lastPrinted>2025-01-03T19:53:52Z</cp:lastPrinted>
  <dcterms:created xsi:type="dcterms:W3CDTF">2025-01-01T22:57:46Z</dcterms:created>
  <dcterms:modified xsi:type="dcterms:W3CDTF">2025-01-04T20:28:10Z</dcterms:modified>
</cp:coreProperties>
</file>